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gruponso-my.sharepoint.com/personal/cesar_saraiva_santabrigida_com_br/Documents/Área de Trabalho/"/>
    </mc:Choice>
  </mc:AlternateContent>
  <xr:revisionPtr revIDLastSave="11" documentId="8_{01A387A9-B671-4DC7-BC08-619A93257E3C}" xr6:coauthVersionLast="47" xr6:coauthVersionMax="47" xr10:uidLastSave="{5EEAF2AF-D930-4BF2-A3F9-6154B7D1EF1C}"/>
  <bookViews>
    <workbookView xWindow="-110" yWindow="-110" windowWidth="19420" windowHeight="10300" tabRatio="794" xr2:uid="{E2E9DEF4-E5CD-4BEA-BB65-B2E28243F8EC}"/>
  </bookViews>
  <sheets>
    <sheet name="Tabela Jogos" sheetId="37" r:id="rId1"/>
    <sheet name="Jogos" sheetId="38" state="hidden" r:id="rId2"/>
  </sheets>
  <definedNames>
    <definedName name="África_Sul_against">#REF!,#REF!,#REF!</definedName>
    <definedName name="África_Sul_played">#REF!,#REF!,#REF!</definedName>
    <definedName name="Alemanha_against">#REF!,#REF!,#REF!</definedName>
    <definedName name="Alemanha_played">#REF!,#REF!,#REF!</definedName>
    <definedName name="Arábia_Saudita_against">#REF!,#REF!,#REF!</definedName>
    <definedName name="Arábia_Saudita_played">#REF!,#REF!,#REF!</definedName>
    <definedName name="Argentina_against">#REF!,#REF!,#REF!</definedName>
    <definedName name="Argentina_played">#REF!,#REF!,#REF!</definedName>
    <definedName name="AS2DocOpenMode" hidden="1">"AS2DocumentBrowse"</definedName>
    <definedName name="Bélgica_against">#REF!,#REF!,#REF!</definedName>
    <definedName name="Bélgica_played">#REF!,#REF!,#REF!</definedName>
    <definedName name="Brasil_against">#REF!,#REF!,#REF!</definedName>
    <definedName name="Brasil_played">#REF!,#REF!,#REF!</definedName>
    <definedName name="Camarões_against">#REF!,#REF!,#REF!</definedName>
    <definedName name="Camarões_played">#REF!,#REF!,#REF!</definedName>
    <definedName name="China_against">#REF!,#REF!,#REF!</definedName>
    <definedName name="China_played">#REF!,#REF!,#REF!</definedName>
    <definedName name="Coreia_against">#REF!,#REF!,#REF!</definedName>
    <definedName name="Coreia_played">#REF!,#REF!,#REF!</definedName>
    <definedName name="Costa_Rica_against">#REF!,#REF!,#REF!</definedName>
    <definedName name="Costa_Rica_played">#REF!,#REF!,#REF!</definedName>
    <definedName name="Croácia_against">#REF!,#REF!,#REF!</definedName>
    <definedName name="Croácia_played">#REF!,#REF!,#REF!</definedName>
    <definedName name="Dinamarca_against">#REF!,#REF!,#REF!</definedName>
    <definedName name="Dinamarca_played">#REF!,#REF!,#REF!</definedName>
    <definedName name="Equador_against">#REF!,#REF!,#REF!</definedName>
    <definedName name="Equador_played">#REF!,#REF!,#REF!</definedName>
    <definedName name="Eslovénia_against">#REF!,#REF!,#REF!</definedName>
    <definedName name="Eslovénia_played">#REF!,#REF!,#REF!</definedName>
    <definedName name="Espanha_against">#REF!,#REF!,#REF!</definedName>
    <definedName name="Espanha_played">#REF!,#REF!,#REF!</definedName>
    <definedName name="EUA_against">#REF!,#REF!,#REF!</definedName>
    <definedName name="EUA_played">#REF!,#REF!,#REF!</definedName>
    <definedName name="França_against">#REF!,#REF!,#REF!</definedName>
    <definedName name="França_played">#REF!,#REF!,#REF!</definedName>
    <definedName name="Inglaterra_against">#REF!,#REF!,#REF!</definedName>
    <definedName name="Inglaterra_played">#REF!,#REF!,#REF!</definedName>
    <definedName name="Irlanda_against">#REF!,#REF!,#REF!</definedName>
    <definedName name="Irlanda_played">#REF!,#REF!,#REF!</definedName>
    <definedName name="Itália_against">#REF!,#REF!,#REF!</definedName>
    <definedName name="Itália_played">#REF!,#REF!,#REF!</definedName>
    <definedName name="Japão_against">#REF!,#REF!,#REF!</definedName>
    <definedName name="Japão_played">#REF!,#REF!,#REF!</definedName>
    <definedName name="México_against">#REF!,#REF!,#REF!</definedName>
    <definedName name="México_played">#REF!,#REF!,#REF!</definedName>
    <definedName name="Nigéria_against">#REF!,#REF!,#REF!</definedName>
    <definedName name="Nigéria_played">#REF!,#REF!,#REF!</definedName>
    <definedName name="Paraguai_against">#REF!,#REF!,#REF!</definedName>
    <definedName name="Paraguai_played">#REF!,#REF!,#REF!</definedName>
    <definedName name="Polónia_against">#REF!,#REF!,#REF!</definedName>
    <definedName name="Polónia_played">#REF!,#REF!,#REF!</definedName>
    <definedName name="Portugal_against">#REF!,#REF!,#REF!</definedName>
    <definedName name="Portugal_played">#REF!,#REF!,#REF!</definedName>
    <definedName name="Rússia_against">#REF!,#REF!,#REF!</definedName>
    <definedName name="Rússia_played">#REF!,#REF!,#REF!</definedName>
    <definedName name="Senegal_against">#REF!,#REF!,#REF!</definedName>
    <definedName name="Senegal_played">#REF!,#REF!,#REF!</definedName>
    <definedName name="Suécia_against">#REF!,#REF!,#REF!</definedName>
    <definedName name="Suécia_played">#REF!,#REF!,#REF!</definedName>
    <definedName name="Tunísia_against">#REF!,#REF!,#REF!</definedName>
    <definedName name="Tunísia_played">#REF!,#REF!,#REF!</definedName>
    <definedName name="Turquia_against">#REF!,#REF!,#REF!</definedName>
    <definedName name="Turquia_played">#REF!,#REF!,#REF!</definedName>
    <definedName name="Uruguai_against">#REF!,#REF!,#REF!</definedName>
    <definedName name="Uruguai_played">#REF!,#REF!,#REF!</definedName>
    <definedName name="UU">#REF!,#REF!,#REF!</definedName>
    <definedName name="www">#REF!,#REF!,#REF!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38" l="1"/>
  <c r="E63" i="38"/>
  <c r="E62" i="38"/>
  <c r="E61" i="38"/>
  <c r="F64" i="38"/>
  <c r="F63" i="38"/>
  <c r="F62" i="38"/>
  <c r="F61" i="38"/>
  <c r="H61" i="38"/>
  <c r="G61" i="38"/>
  <c r="D61" i="38"/>
  <c r="C61" i="38"/>
  <c r="H62" i="38"/>
  <c r="G62" i="38"/>
  <c r="D62" i="38"/>
  <c r="C62" i="38"/>
  <c r="H63" i="38"/>
  <c r="G63" i="38"/>
  <c r="I63" i="38" s="1"/>
  <c r="D63" i="38"/>
  <c r="C63" i="38"/>
  <c r="H64" i="38"/>
  <c r="I64" i="38" s="1"/>
  <c r="G64" i="38"/>
  <c r="D64" i="38"/>
  <c r="B64" i="38" s="1"/>
  <c r="C64" i="38"/>
  <c r="F56" i="38"/>
  <c r="F55" i="38"/>
  <c r="F54" i="38"/>
  <c r="F53" i="38"/>
  <c r="E56" i="38"/>
  <c r="E55" i="38"/>
  <c r="E54" i="38"/>
  <c r="E53" i="38"/>
  <c r="D56" i="38"/>
  <c r="D55" i="38"/>
  <c r="D54" i="38"/>
  <c r="D53" i="38"/>
  <c r="C56" i="38"/>
  <c r="G56" i="38"/>
  <c r="H56" i="38"/>
  <c r="H55" i="38"/>
  <c r="G55" i="38"/>
  <c r="C55" i="38"/>
  <c r="H54" i="38"/>
  <c r="G54" i="38"/>
  <c r="C54" i="38"/>
  <c r="H53" i="38"/>
  <c r="G53" i="38"/>
  <c r="C53" i="38"/>
  <c r="E48" i="38"/>
  <c r="F48" i="38"/>
  <c r="F47" i="38"/>
  <c r="F46" i="38"/>
  <c r="F45" i="38"/>
  <c r="E47" i="38"/>
  <c r="E46" i="38"/>
  <c r="E45" i="38"/>
  <c r="D48" i="38"/>
  <c r="D47" i="38"/>
  <c r="D46" i="38"/>
  <c r="D45" i="38"/>
  <c r="C48" i="38"/>
  <c r="G48" i="38"/>
  <c r="H48" i="38"/>
  <c r="H47" i="38"/>
  <c r="G47" i="38"/>
  <c r="C47" i="38"/>
  <c r="H46" i="38"/>
  <c r="G46" i="38"/>
  <c r="C46" i="38"/>
  <c r="H45" i="38"/>
  <c r="G45" i="38"/>
  <c r="C45" i="38"/>
  <c r="E40" i="38"/>
  <c r="D40" i="38"/>
  <c r="B40" i="38" s="1"/>
  <c r="H40" i="38"/>
  <c r="H37" i="38"/>
  <c r="F40" i="38"/>
  <c r="F38" i="38"/>
  <c r="E38" i="38"/>
  <c r="G40" i="38"/>
  <c r="C40" i="38"/>
  <c r="H38" i="38"/>
  <c r="G38" i="38"/>
  <c r="D38" i="38"/>
  <c r="C38" i="38"/>
  <c r="H39" i="38"/>
  <c r="G39" i="38"/>
  <c r="F39" i="38"/>
  <c r="E39" i="38"/>
  <c r="D39" i="38"/>
  <c r="C39" i="38"/>
  <c r="G37" i="38"/>
  <c r="F37" i="38"/>
  <c r="E37" i="38"/>
  <c r="D37" i="38"/>
  <c r="C37" i="38"/>
  <c r="G29" i="38"/>
  <c r="H29" i="38"/>
  <c r="H31" i="38"/>
  <c r="F29" i="38"/>
  <c r="E29" i="38"/>
  <c r="D29" i="38"/>
  <c r="C29" i="38"/>
  <c r="F31" i="38"/>
  <c r="E31" i="38"/>
  <c r="G31" i="38"/>
  <c r="D31" i="38"/>
  <c r="C31" i="38"/>
  <c r="H30" i="38"/>
  <c r="G30" i="38"/>
  <c r="I30" i="38" s="1"/>
  <c r="F30" i="38"/>
  <c r="E30" i="38"/>
  <c r="D30" i="38"/>
  <c r="C30" i="38"/>
  <c r="H32" i="38"/>
  <c r="G32" i="38"/>
  <c r="F32" i="38"/>
  <c r="E32" i="38"/>
  <c r="D32" i="38"/>
  <c r="C32" i="38"/>
  <c r="C21" i="38"/>
  <c r="D21" i="38"/>
  <c r="E21" i="38"/>
  <c r="F21" i="38"/>
  <c r="G21" i="38"/>
  <c r="H21" i="38"/>
  <c r="C22" i="38"/>
  <c r="E14" i="38"/>
  <c r="D14" i="38"/>
  <c r="D13" i="38"/>
  <c r="H15" i="38"/>
  <c r="G15" i="38"/>
  <c r="F15" i="38"/>
  <c r="E15" i="38"/>
  <c r="D15" i="38"/>
  <c r="B15" i="38" s="1"/>
  <c r="C15" i="38"/>
  <c r="F14" i="38"/>
  <c r="H14" i="38"/>
  <c r="G14" i="38"/>
  <c r="C14" i="38"/>
  <c r="H13" i="38"/>
  <c r="G13" i="38"/>
  <c r="F13" i="38"/>
  <c r="E13" i="38"/>
  <c r="C13" i="38"/>
  <c r="H16" i="38"/>
  <c r="I16" i="38" s="1"/>
  <c r="G16" i="38"/>
  <c r="F16" i="38"/>
  <c r="E16" i="38"/>
  <c r="D16" i="38"/>
  <c r="C16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B48" i="38"/>
  <c r="I14" i="38"/>
  <c r="I48" i="38"/>
  <c r="I38" i="38"/>
  <c r="I31" i="38"/>
  <c r="C79" i="37"/>
  <c r="I80" i="37"/>
  <c r="C85" i="37" s="1"/>
  <c r="C82" i="37"/>
  <c r="I79" i="37"/>
  <c r="I85" i="37" s="1"/>
  <c r="C89" i="37" s="1"/>
  <c r="M76" i="37" s="1"/>
  <c r="M81" i="37" s="1"/>
  <c r="I81" i="37"/>
  <c r="I82" i="37"/>
  <c r="I86" i="37" s="1"/>
  <c r="C80" i="37"/>
  <c r="C81" i="37"/>
  <c r="C86" i="37" s="1"/>
  <c r="I89" i="37" s="1"/>
  <c r="B39" i="38" l="1"/>
  <c r="K39" i="38" s="1"/>
  <c r="L39" i="38" s="1"/>
  <c r="I29" i="38"/>
  <c r="I23" i="38"/>
  <c r="I7" i="38"/>
  <c r="I13" i="38"/>
  <c r="I62" i="38"/>
  <c r="I54" i="38"/>
  <c r="B7" i="38"/>
  <c r="B31" i="38"/>
  <c r="B14" i="38"/>
  <c r="B30" i="38"/>
  <c r="B62" i="38"/>
  <c r="B61" i="38"/>
  <c r="B63" i="38"/>
  <c r="K64" i="38" s="1"/>
  <c r="L64" i="38" s="1"/>
  <c r="I61" i="38"/>
  <c r="B55" i="38"/>
  <c r="B56" i="38"/>
  <c r="B53" i="38"/>
  <c r="I55" i="38"/>
  <c r="I46" i="38"/>
  <c r="B45" i="38"/>
  <c r="I47" i="38"/>
  <c r="B47" i="38"/>
  <c r="K48" i="38" s="1"/>
  <c r="L48" i="38" s="1"/>
  <c r="I45" i="38"/>
  <c r="I37" i="38"/>
  <c r="B37" i="38"/>
  <c r="I39" i="38"/>
  <c r="I40" i="38"/>
  <c r="I32" i="38"/>
  <c r="B32" i="38"/>
  <c r="B29" i="38"/>
  <c r="K29" i="38" s="1"/>
  <c r="L29" i="38" s="1"/>
  <c r="I21" i="38"/>
  <c r="I22" i="38"/>
  <c r="B24" i="38"/>
  <c r="I24" i="38"/>
  <c r="B22" i="38"/>
  <c r="B23" i="38"/>
  <c r="K23" i="38" s="1"/>
  <c r="L23" i="38" s="1"/>
  <c r="B13" i="38"/>
  <c r="K13" i="38" s="1"/>
  <c r="L13" i="38" s="1"/>
  <c r="B16" i="38"/>
  <c r="K16" i="38" s="1"/>
  <c r="L16" i="38" s="1"/>
  <c r="I8" i="38"/>
  <c r="B6" i="38"/>
  <c r="B8" i="38"/>
  <c r="B5" i="38"/>
  <c r="B54" i="38"/>
  <c r="K53" i="38" s="1"/>
  <c r="L53" i="38" s="1"/>
  <c r="I53" i="38"/>
  <c r="I56" i="38"/>
  <c r="B38" i="38"/>
  <c r="K38" i="38" s="1"/>
  <c r="L38" i="38" s="1"/>
  <c r="B46" i="38"/>
  <c r="K46" i="38"/>
  <c r="L46" i="38" s="1"/>
  <c r="K31" i="38"/>
  <c r="L31" i="38" s="1"/>
  <c r="B21" i="38"/>
  <c r="I15" i="38"/>
  <c r="I6" i="38"/>
  <c r="I5" i="38"/>
  <c r="K63" i="38" l="1"/>
  <c r="L63" i="38" s="1"/>
  <c r="K32" i="38"/>
  <c r="L32" i="38" s="1"/>
  <c r="K40" i="38"/>
  <c r="L40" i="38" s="1"/>
  <c r="K14" i="38"/>
  <c r="L14" i="38" s="1"/>
  <c r="K45" i="38"/>
  <c r="L45" i="38" s="1"/>
  <c r="K7" i="38"/>
  <c r="L7" i="38" s="1"/>
  <c r="K62" i="38"/>
  <c r="L62" i="38" s="1"/>
  <c r="N62" i="38" s="1"/>
  <c r="O62" i="38" s="1"/>
  <c r="K61" i="38"/>
  <c r="L61" i="38" s="1"/>
  <c r="N61" i="38" s="1"/>
  <c r="O61" i="38" s="1"/>
  <c r="K56" i="38"/>
  <c r="L56" i="38" s="1"/>
  <c r="K54" i="38"/>
  <c r="L54" i="38" s="1"/>
  <c r="N56" i="38" s="1"/>
  <c r="O56" i="38" s="1"/>
  <c r="K55" i="38"/>
  <c r="L55" i="38" s="1"/>
  <c r="N55" i="38" s="1"/>
  <c r="O55" i="38" s="1"/>
  <c r="K47" i="38"/>
  <c r="L47" i="38" s="1"/>
  <c r="K37" i="38"/>
  <c r="L37" i="38" s="1"/>
  <c r="N39" i="38" s="1"/>
  <c r="O39" i="38" s="1"/>
  <c r="K30" i="38"/>
  <c r="L30" i="38" s="1"/>
  <c r="N30" i="38" s="1"/>
  <c r="O30" i="38" s="1"/>
  <c r="N31" i="38"/>
  <c r="O31" i="38" s="1"/>
  <c r="K21" i="38"/>
  <c r="L21" i="38" s="1"/>
  <c r="N23" i="38" s="1"/>
  <c r="O23" i="38" s="1"/>
  <c r="K24" i="38"/>
  <c r="L24" i="38" s="1"/>
  <c r="K15" i="38"/>
  <c r="L15" i="38" s="1"/>
  <c r="N13" i="38" s="1"/>
  <c r="O13" i="38" s="1"/>
  <c r="N14" i="38"/>
  <c r="O14" i="38" s="1"/>
  <c r="K8" i="38"/>
  <c r="L8" i="38" s="1"/>
  <c r="K5" i="38"/>
  <c r="L5" i="38" s="1"/>
  <c r="N5" i="38" s="1"/>
  <c r="O5" i="38" s="1"/>
  <c r="K6" i="38"/>
  <c r="L6" i="38" s="1"/>
  <c r="N6" i="38" s="1"/>
  <c r="O6" i="38" s="1"/>
  <c r="N40" i="38"/>
  <c r="O40" i="38" s="1"/>
  <c r="N38" i="38"/>
  <c r="O38" i="38" s="1"/>
  <c r="N46" i="38"/>
  <c r="O46" i="38" s="1"/>
  <c r="N48" i="38"/>
  <c r="O48" i="38" s="1"/>
  <c r="N29" i="38"/>
  <c r="O29" i="38" s="1"/>
  <c r="K22" i="38"/>
  <c r="L22" i="38" s="1"/>
  <c r="N16" i="38"/>
  <c r="O16" i="38" s="1"/>
  <c r="N45" i="38" l="1"/>
  <c r="O45" i="38" s="1"/>
  <c r="Q48" i="38" s="1"/>
  <c r="N64" i="38"/>
  <c r="O64" i="38" s="1"/>
  <c r="Q64" i="38" s="1"/>
  <c r="S64" i="38" s="1"/>
  <c r="N63" i="38"/>
  <c r="O63" i="38" s="1"/>
  <c r="Q63" i="38" s="1"/>
  <c r="R63" i="38" s="1"/>
  <c r="N54" i="38"/>
  <c r="O54" i="38" s="1"/>
  <c r="Q54" i="38" s="1"/>
  <c r="S54" i="38" s="1"/>
  <c r="N53" i="38"/>
  <c r="O53" i="38" s="1"/>
  <c r="Q56" i="38" s="1"/>
  <c r="R56" i="38" s="1"/>
  <c r="N47" i="38"/>
  <c r="O47" i="38" s="1"/>
  <c r="Q46" i="38" s="1"/>
  <c r="R46" i="38" s="1"/>
  <c r="N37" i="38"/>
  <c r="O37" i="38" s="1"/>
  <c r="Q40" i="38" s="1"/>
  <c r="Q31" i="38"/>
  <c r="R31" i="38" s="1"/>
  <c r="N32" i="38"/>
  <c r="O32" i="38" s="1"/>
  <c r="Q29" i="38" s="1"/>
  <c r="R29" i="38" s="1"/>
  <c r="Q30" i="38"/>
  <c r="N21" i="38"/>
  <c r="O21" i="38" s="1"/>
  <c r="N15" i="38"/>
  <c r="O15" i="38" s="1"/>
  <c r="Q15" i="38" s="1"/>
  <c r="R15" i="38" s="1"/>
  <c r="N7" i="38"/>
  <c r="O7" i="38" s="1"/>
  <c r="Q7" i="38" s="1"/>
  <c r="S7" i="38" s="1"/>
  <c r="N8" i="38"/>
  <c r="O8" i="38" s="1"/>
  <c r="Q8" i="38" s="1"/>
  <c r="R8" i="38" s="1"/>
  <c r="Q61" i="38"/>
  <c r="Q38" i="38"/>
  <c r="R38" i="38" s="1"/>
  <c r="Q39" i="38"/>
  <c r="Q45" i="38"/>
  <c r="Q32" i="38"/>
  <c r="N22" i="38"/>
  <c r="O22" i="38" s="1"/>
  <c r="N24" i="38"/>
  <c r="O24" i="38" s="1"/>
  <c r="Q16" i="38"/>
  <c r="R16" i="38" s="1"/>
  <c r="Q13" i="38"/>
  <c r="R64" i="38" l="1"/>
  <c r="S63" i="38"/>
  <c r="Q62" i="38"/>
  <c r="S62" i="38" s="1"/>
  <c r="Q55" i="38"/>
  <c r="S55" i="38" s="1"/>
  <c r="Q53" i="38"/>
  <c r="R53" i="38" s="1"/>
  <c r="R54" i="38"/>
  <c r="S56" i="38"/>
  <c r="Q47" i="38"/>
  <c r="R47" i="38" s="1"/>
  <c r="S46" i="38"/>
  <c r="R40" i="38"/>
  <c r="S40" i="38"/>
  <c r="Q37" i="38"/>
  <c r="R37" i="38" s="1"/>
  <c r="S38" i="38"/>
  <c r="S31" i="38"/>
  <c r="S29" i="38"/>
  <c r="S30" i="38"/>
  <c r="R30" i="38"/>
  <c r="Q24" i="38"/>
  <c r="S24" i="38" s="1"/>
  <c r="Q14" i="38"/>
  <c r="R14" i="38" s="1"/>
  <c r="S15" i="38"/>
  <c r="Q6" i="38"/>
  <c r="R6" i="38" s="1"/>
  <c r="Q5" i="38"/>
  <c r="S5" i="38" s="1"/>
  <c r="R7" i="38"/>
  <c r="S8" i="38"/>
  <c r="S61" i="38"/>
  <c r="R61" i="38"/>
  <c r="S39" i="38"/>
  <c r="R39" i="38"/>
  <c r="R45" i="38"/>
  <c r="S45" i="38"/>
  <c r="R48" i="38"/>
  <c r="S48" i="38"/>
  <c r="S32" i="38"/>
  <c r="R32" i="38"/>
  <c r="Q22" i="38"/>
  <c r="Q23" i="38"/>
  <c r="Q21" i="38"/>
  <c r="S16" i="38"/>
  <c r="S13" i="38"/>
  <c r="R13" i="38"/>
  <c r="S37" i="38" l="1"/>
  <c r="U38" i="38" s="1"/>
  <c r="R62" i="38"/>
  <c r="U61" i="38" s="1"/>
  <c r="U63" i="38"/>
  <c r="V63" i="38" s="1"/>
  <c r="U64" i="38"/>
  <c r="W64" i="38" s="1"/>
  <c r="R55" i="38"/>
  <c r="U56" i="38" s="1"/>
  <c r="W56" i="38" s="1"/>
  <c r="S53" i="38"/>
  <c r="U53" i="38" s="1"/>
  <c r="V53" i="38" s="1"/>
  <c r="S47" i="38"/>
  <c r="U48" i="38" s="1"/>
  <c r="U30" i="38"/>
  <c r="V30" i="38" s="1"/>
  <c r="U29" i="38"/>
  <c r="V29" i="38" s="1"/>
  <c r="R24" i="38"/>
  <c r="U7" i="38"/>
  <c r="W7" i="38" s="1"/>
  <c r="S14" i="38"/>
  <c r="U14" i="38" s="1"/>
  <c r="U15" i="38"/>
  <c r="V15" i="38" s="1"/>
  <c r="R5" i="38"/>
  <c r="S6" i="38"/>
  <c r="U8" i="38"/>
  <c r="V8" i="38" s="1"/>
  <c r="U16" i="38"/>
  <c r="V16" i="38" s="1"/>
  <c r="W63" i="38"/>
  <c r="U39" i="38"/>
  <c r="U40" i="38"/>
  <c r="U46" i="38"/>
  <c r="U45" i="38"/>
  <c r="U31" i="38"/>
  <c r="U32" i="38"/>
  <c r="S22" i="38"/>
  <c r="R22" i="38"/>
  <c r="R21" i="38"/>
  <c r="S21" i="38"/>
  <c r="S23" i="38"/>
  <c r="R23" i="38"/>
  <c r="U37" i="38" l="1"/>
  <c r="V37" i="38" s="1"/>
  <c r="W38" i="38"/>
  <c r="V38" i="38"/>
  <c r="U62" i="38"/>
  <c r="V64" i="38"/>
  <c r="U55" i="38"/>
  <c r="V55" i="38" s="1"/>
  <c r="U54" i="38"/>
  <c r="V54" i="38" s="1"/>
  <c r="W53" i="38"/>
  <c r="V56" i="38"/>
  <c r="U47" i="38"/>
  <c r="W37" i="38"/>
  <c r="W30" i="38"/>
  <c r="W29" i="38"/>
  <c r="V7" i="38"/>
  <c r="U13" i="38"/>
  <c r="W13" i="38" s="1"/>
  <c r="W15" i="38"/>
  <c r="U6" i="38"/>
  <c r="V6" i="38" s="1"/>
  <c r="W8" i="38"/>
  <c r="U5" i="38"/>
  <c r="W5" i="38" s="1"/>
  <c r="W16" i="38"/>
  <c r="V61" i="38"/>
  <c r="W61" i="38"/>
  <c r="W62" i="38"/>
  <c r="V62" i="38"/>
  <c r="W40" i="38"/>
  <c r="V40" i="38"/>
  <c r="W39" i="38"/>
  <c r="V39" i="38"/>
  <c r="W47" i="38"/>
  <c r="V47" i="38"/>
  <c r="W45" i="38"/>
  <c r="V45" i="38"/>
  <c r="W48" i="38"/>
  <c r="V48" i="38"/>
  <c r="W46" i="38"/>
  <c r="V46" i="38"/>
  <c r="V31" i="38"/>
  <c r="W31" i="38"/>
  <c r="V32" i="38"/>
  <c r="W32" i="38"/>
  <c r="U23" i="38"/>
  <c r="U24" i="38"/>
  <c r="U22" i="38"/>
  <c r="U21" i="38"/>
  <c r="V14" i="38"/>
  <c r="W14" i="38"/>
  <c r="W55" i="38" l="1"/>
  <c r="X53" i="38" s="1"/>
  <c r="Y53" i="38" s="1"/>
  <c r="W54" i="38"/>
  <c r="X56" i="38" s="1"/>
  <c r="Y56" i="38" s="1"/>
  <c r="X30" i="38"/>
  <c r="Y30" i="38" s="1"/>
  <c r="X31" i="38"/>
  <c r="Z31" i="38" s="1"/>
  <c r="X32" i="38"/>
  <c r="Y32" i="38" s="1"/>
  <c r="V13" i="38"/>
  <c r="X15" i="38" s="1"/>
  <c r="W6" i="38"/>
  <c r="X8" i="38" s="1"/>
  <c r="V5" i="38"/>
  <c r="X7" i="38" s="1"/>
  <c r="Y7" i="38" s="1"/>
  <c r="X61" i="38"/>
  <c r="X63" i="38"/>
  <c r="X62" i="38"/>
  <c r="X64" i="38"/>
  <c r="Z53" i="38"/>
  <c r="X38" i="38"/>
  <c r="X40" i="38"/>
  <c r="X39" i="38"/>
  <c r="X37" i="38"/>
  <c r="X47" i="38"/>
  <c r="X45" i="38"/>
  <c r="X46" i="38"/>
  <c r="X48" i="38"/>
  <c r="X29" i="38"/>
  <c r="W21" i="38"/>
  <c r="V21" i="38"/>
  <c r="W22" i="38"/>
  <c r="V22" i="38"/>
  <c r="W24" i="38"/>
  <c r="V24" i="38"/>
  <c r="W23" i="38"/>
  <c r="V23" i="38"/>
  <c r="X16" i="38"/>
  <c r="X14" i="38"/>
  <c r="X55" i="38" l="1"/>
  <c r="X54" i="38"/>
  <c r="Z54" i="38" s="1"/>
  <c r="Z56" i="38"/>
  <c r="AB56" i="38" s="1"/>
  <c r="AC56" i="38" s="1"/>
  <c r="Z30" i="38"/>
  <c r="Y31" i="38"/>
  <c r="Z32" i="38"/>
  <c r="X13" i="38"/>
  <c r="Z13" i="38" s="1"/>
  <c r="Y8" i="38"/>
  <c r="Z8" i="38"/>
  <c r="X6" i="38"/>
  <c r="Z6" i="38" s="1"/>
  <c r="Z7" i="38"/>
  <c r="X5" i="38"/>
  <c r="Y64" i="38"/>
  <c r="Z64" i="38"/>
  <c r="Z62" i="38"/>
  <c r="Y62" i="38"/>
  <c r="Z63" i="38"/>
  <c r="Y63" i="38"/>
  <c r="Y61" i="38"/>
  <c r="Z61" i="38"/>
  <c r="Z37" i="38"/>
  <c r="Y37" i="38"/>
  <c r="Z39" i="38"/>
  <c r="Y39" i="38"/>
  <c r="Z40" i="38"/>
  <c r="Y40" i="38"/>
  <c r="Y38" i="38"/>
  <c r="Z38" i="38"/>
  <c r="Y48" i="38"/>
  <c r="Z48" i="38"/>
  <c r="Z45" i="38"/>
  <c r="Y45" i="38"/>
  <c r="Z46" i="38"/>
  <c r="Y46" i="38"/>
  <c r="Z47" i="38"/>
  <c r="Y47" i="38"/>
  <c r="Y29" i="38"/>
  <c r="Z29" i="38"/>
  <c r="X22" i="38"/>
  <c r="X24" i="38"/>
  <c r="X23" i="38"/>
  <c r="X21" i="38"/>
  <c r="Z15" i="38"/>
  <c r="Y15" i="38"/>
  <c r="Z14" i="38"/>
  <c r="Y14" i="38"/>
  <c r="Z16" i="38"/>
  <c r="Y16" i="38"/>
  <c r="Y55" i="38" l="1"/>
  <c r="Z55" i="38"/>
  <c r="Y54" i="38"/>
  <c r="AB53" i="38"/>
  <c r="AD53" i="38" s="1"/>
  <c r="AB47" i="38"/>
  <c r="AD47" i="38" s="1"/>
  <c r="AB38" i="38"/>
  <c r="AE38" i="38" s="1"/>
  <c r="AB31" i="38"/>
  <c r="AC31" i="38" s="1"/>
  <c r="AB30" i="38"/>
  <c r="AD30" i="38" s="1"/>
  <c r="Y13" i="38"/>
  <c r="AB16" i="38" s="1"/>
  <c r="AC16" i="38" s="1"/>
  <c r="Y6" i="38"/>
  <c r="AB6" i="38" s="1"/>
  <c r="AD6" i="38" s="1"/>
  <c r="Z5" i="38"/>
  <c r="Y5" i="38"/>
  <c r="AB62" i="38"/>
  <c r="AB63" i="38"/>
  <c r="AB61" i="38"/>
  <c r="AB64" i="38"/>
  <c r="AD56" i="38"/>
  <c r="AE56" i="38"/>
  <c r="AB40" i="38"/>
  <c r="AD40" i="38" s="1"/>
  <c r="AB39" i="38"/>
  <c r="AB37" i="38"/>
  <c r="AB45" i="38"/>
  <c r="AB46" i="38"/>
  <c r="AB48" i="38"/>
  <c r="AB29" i="38"/>
  <c r="AB32" i="38"/>
  <c r="Z22" i="38"/>
  <c r="Y22" i="38"/>
  <c r="Y23" i="38"/>
  <c r="Z23" i="38"/>
  <c r="Z21" i="38"/>
  <c r="Y21" i="38"/>
  <c r="Y24" i="38"/>
  <c r="Z24" i="38"/>
  <c r="AB14" i="38"/>
  <c r="AB13" i="38"/>
  <c r="AB15" i="38"/>
  <c r="AB55" i="38" l="1"/>
  <c r="AB54" i="38"/>
  <c r="AE53" i="38"/>
  <c r="AC53" i="38"/>
  <c r="AE47" i="38"/>
  <c r="AC47" i="38"/>
  <c r="AD38" i="38"/>
  <c r="AC38" i="38"/>
  <c r="AE30" i="38"/>
  <c r="AC30" i="38"/>
  <c r="AD31" i="38"/>
  <c r="AE31" i="38"/>
  <c r="AB22" i="38"/>
  <c r="AC22" i="38" s="1"/>
  <c r="AB7" i="38"/>
  <c r="AD7" i="38" s="1"/>
  <c r="AD16" i="38"/>
  <c r="AE16" i="38"/>
  <c r="AC6" i="38"/>
  <c r="AE6" i="38"/>
  <c r="AB8" i="38"/>
  <c r="AB5" i="38"/>
  <c r="AC64" i="38"/>
  <c r="AD64" i="38"/>
  <c r="AE64" i="38"/>
  <c r="AE63" i="38"/>
  <c r="AC63" i="38"/>
  <c r="AD63" i="38"/>
  <c r="AD61" i="38"/>
  <c r="AC61" i="38"/>
  <c r="AE61" i="38"/>
  <c r="AE62" i="38"/>
  <c r="AC62" i="38"/>
  <c r="AD62" i="38"/>
  <c r="AC40" i="38"/>
  <c r="AE40" i="38"/>
  <c r="AC37" i="38"/>
  <c r="AE37" i="38"/>
  <c r="AD37" i="38"/>
  <c r="AD39" i="38"/>
  <c r="AC39" i="38"/>
  <c r="AE39" i="38"/>
  <c r="AD48" i="38"/>
  <c r="AE48" i="38"/>
  <c r="AC48" i="38"/>
  <c r="AD46" i="38"/>
  <c r="AC46" i="38"/>
  <c r="AE46" i="38"/>
  <c r="AE45" i="38"/>
  <c r="AD45" i="38"/>
  <c r="AC45" i="38"/>
  <c r="AD32" i="38"/>
  <c r="AC32" i="38"/>
  <c r="AE32" i="38"/>
  <c r="AD29" i="38"/>
  <c r="AE29" i="38"/>
  <c r="AC29" i="38"/>
  <c r="AB24" i="38"/>
  <c r="AB21" i="38"/>
  <c r="AB23" i="38"/>
  <c r="AD15" i="38"/>
  <c r="AC15" i="38"/>
  <c r="AE15" i="38"/>
  <c r="AD13" i="38"/>
  <c r="AC13" i="38"/>
  <c r="AE13" i="38"/>
  <c r="AE14" i="38"/>
  <c r="AC14" i="38"/>
  <c r="AD14" i="38"/>
  <c r="AC54" i="38" l="1"/>
  <c r="AD54" i="38"/>
  <c r="AE54" i="38"/>
  <c r="AD55" i="38"/>
  <c r="AE55" i="38"/>
  <c r="AC55" i="38"/>
  <c r="AF53" i="38"/>
  <c r="AG53" i="38" s="1"/>
  <c r="AF48" i="38"/>
  <c r="AG48" i="38" s="1"/>
  <c r="AE22" i="38"/>
  <c r="AD22" i="38"/>
  <c r="AC7" i="38"/>
  <c r="AE7" i="38"/>
  <c r="AC5" i="38"/>
  <c r="AE5" i="38"/>
  <c r="AD5" i="38"/>
  <c r="AE8" i="38"/>
  <c r="AC8" i="38"/>
  <c r="AD8" i="38"/>
  <c r="AF16" i="38"/>
  <c r="AG16" i="38" s="1"/>
  <c r="AF61" i="38"/>
  <c r="AG61" i="38" s="1"/>
  <c r="AF63" i="38"/>
  <c r="AF62" i="38"/>
  <c r="AF64" i="38"/>
  <c r="AF38" i="38"/>
  <c r="AG38" i="38" s="1"/>
  <c r="AF39" i="38"/>
  <c r="AF40" i="38"/>
  <c r="AF37" i="38"/>
  <c r="AF47" i="38"/>
  <c r="AH47" i="38" s="1"/>
  <c r="AF46" i="38"/>
  <c r="AF45" i="38"/>
  <c r="AF29" i="38"/>
  <c r="AH29" i="38" s="1"/>
  <c r="AF32" i="38"/>
  <c r="AF30" i="38"/>
  <c r="AF31" i="38"/>
  <c r="AC21" i="38"/>
  <c r="AE21" i="38"/>
  <c r="AD21" i="38"/>
  <c r="AE23" i="38"/>
  <c r="AD23" i="38"/>
  <c r="AC23" i="38"/>
  <c r="AC24" i="38"/>
  <c r="AD24" i="38"/>
  <c r="AE24" i="38"/>
  <c r="AF14" i="38"/>
  <c r="AH14" i="38" s="1"/>
  <c r="AF13" i="38"/>
  <c r="AF15" i="38"/>
  <c r="AF54" i="38" l="1"/>
  <c r="AI54" i="38" s="1"/>
  <c r="AH54" i="38"/>
  <c r="AF56" i="38"/>
  <c r="AF55" i="38"/>
  <c r="AG54" i="38"/>
  <c r="AI53" i="38"/>
  <c r="AH53" i="38"/>
  <c r="AH48" i="38"/>
  <c r="AI48" i="38"/>
  <c r="AF23" i="38"/>
  <c r="AI23" i="38" s="1"/>
  <c r="AF21" i="38"/>
  <c r="AG21" i="38" s="1"/>
  <c r="AF22" i="38"/>
  <c r="AI22" i="38" s="1"/>
  <c r="AF8" i="38"/>
  <c r="AH8" i="38" s="1"/>
  <c r="AH16" i="38"/>
  <c r="AI16" i="38"/>
  <c r="AF7" i="38"/>
  <c r="AG7" i="38" s="1"/>
  <c r="AF5" i="38"/>
  <c r="AF6" i="38"/>
  <c r="AI61" i="38"/>
  <c r="AH61" i="38"/>
  <c r="AG64" i="38"/>
  <c r="AH64" i="38"/>
  <c r="AI64" i="38"/>
  <c r="AI62" i="38"/>
  <c r="AH62" i="38"/>
  <c r="AG62" i="38"/>
  <c r="AH63" i="38"/>
  <c r="AI63" i="38"/>
  <c r="AG63" i="38"/>
  <c r="AH38" i="38"/>
  <c r="AI38" i="38"/>
  <c r="AG40" i="38"/>
  <c r="AH40" i="38"/>
  <c r="AI40" i="38"/>
  <c r="AH39" i="38"/>
  <c r="AG39" i="38"/>
  <c r="AI39" i="38"/>
  <c r="AI37" i="38"/>
  <c r="AH37" i="38"/>
  <c r="AG37" i="38"/>
  <c r="AG47" i="38"/>
  <c r="AI47" i="38"/>
  <c r="AH46" i="38"/>
  <c r="AG46" i="38"/>
  <c r="AI46" i="38"/>
  <c r="AH45" i="38"/>
  <c r="AG45" i="38"/>
  <c r="AI45" i="38"/>
  <c r="AG29" i="38"/>
  <c r="AI29" i="38"/>
  <c r="AI30" i="38"/>
  <c r="AH30" i="38"/>
  <c r="AG30" i="38"/>
  <c r="AH32" i="38"/>
  <c r="AG32" i="38"/>
  <c r="AI32" i="38"/>
  <c r="AG31" i="38"/>
  <c r="AI31" i="38"/>
  <c r="AH31" i="38"/>
  <c r="AF24" i="38"/>
  <c r="AI14" i="38"/>
  <c r="AG14" i="38"/>
  <c r="AI13" i="38"/>
  <c r="AH13" i="38"/>
  <c r="AG13" i="38"/>
  <c r="AI15" i="38"/>
  <c r="AH15" i="38"/>
  <c r="AG15" i="38"/>
  <c r="AI55" i="38" l="1"/>
  <c r="AH55" i="38"/>
  <c r="AG55" i="38"/>
  <c r="AH56" i="38"/>
  <c r="AI56" i="38"/>
  <c r="AG56" i="38"/>
  <c r="AH23" i="38"/>
  <c r="AG23" i="38"/>
  <c r="AG22" i="38"/>
  <c r="AI21" i="38"/>
  <c r="AH22" i="38"/>
  <c r="AH21" i="38"/>
  <c r="AI8" i="38"/>
  <c r="AG8" i="38"/>
  <c r="AH7" i="38"/>
  <c r="AI7" i="38"/>
  <c r="AG6" i="38"/>
  <c r="AH6" i="38"/>
  <c r="AI6" i="38"/>
  <c r="AH5" i="38"/>
  <c r="AG5" i="38"/>
  <c r="AI5" i="38"/>
  <c r="AJ14" i="38"/>
  <c r="AK14" i="38" s="1"/>
  <c r="AJ61" i="38"/>
  <c r="AL61" i="38" s="1"/>
  <c r="AJ62" i="38"/>
  <c r="AJ64" i="38"/>
  <c r="AJ63" i="38"/>
  <c r="AJ40" i="38"/>
  <c r="AK40" i="38" s="1"/>
  <c r="AJ39" i="38"/>
  <c r="AJ38" i="38"/>
  <c r="AJ37" i="38"/>
  <c r="AJ45" i="38"/>
  <c r="AM45" i="38" s="1"/>
  <c r="AJ47" i="38"/>
  <c r="AJ46" i="38"/>
  <c r="AJ48" i="38"/>
  <c r="AJ31" i="38"/>
  <c r="AK31" i="38" s="1"/>
  <c r="AJ29" i="38"/>
  <c r="AJ32" i="38"/>
  <c r="AJ30" i="38"/>
  <c r="AG24" i="38"/>
  <c r="AH24" i="38"/>
  <c r="AI24" i="38"/>
  <c r="AJ15" i="38"/>
  <c r="AM15" i="38" s="1"/>
  <c r="AJ16" i="38"/>
  <c r="AM16" i="38" s="1"/>
  <c r="AJ13" i="38"/>
  <c r="AJ56" i="38" l="1"/>
  <c r="AM56" i="38" s="1"/>
  <c r="AJ54" i="38"/>
  <c r="AM54" i="38" s="1"/>
  <c r="AJ55" i="38"/>
  <c r="AL55" i="38" s="1"/>
  <c r="AK56" i="38"/>
  <c r="AL56" i="38"/>
  <c r="AJ53" i="38"/>
  <c r="AM31" i="38"/>
  <c r="AL31" i="38"/>
  <c r="AJ21" i="38"/>
  <c r="AL21" i="38" s="1"/>
  <c r="AJ23" i="38"/>
  <c r="AM23" i="38" s="1"/>
  <c r="AJ22" i="38"/>
  <c r="AL22" i="38" s="1"/>
  <c r="AL14" i="38"/>
  <c r="AM14" i="38"/>
  <c r="AJ8" i="38"/>
  <c r="AM8" i="38" s="1"/>
  <c r="AJ6" i="38"/>
  <c r="AL6" i="38" s="1"/>
  <c r="AJ7" i="38"/>
  <c r="AJ5" i="38"/>
  <c r="AK15" i="38"/>
  <c r="AL15" i="38"/>
  <c r="AM61" i="38"/>
  <c r="AK61" i="38"/>
  <c r="AL63" i="38"/>
  <c r="AK63" i="38"/>
  <c r="AM63" i="38"/>
  <c r="AK62" i="38"/>
  <c r="AL62" i="38"/>
  <c r="AM62" i="38"/>
  <c r="AL64" i="38"/>
  <c r="AK64" i="38"/>
  <c r="AM64" i="38"/>
  <c r="AM40" i="38"/>
  <c r="AL40" i="38"/>
  <c r="AL39" i="38"/>
  <c r="AK39" i="38"/>
  <c r="AM39" i="38"/>
  <c r="AM37" i="38"/>
  <c r="AK37" i="38"/>
  <c r="AL37" i="38"/>
  <c r="AL38" i="38"/>
  <c r="AM38" i="38"/>
  <c r="AK38" i="38"/>
  <c r="AK45" i="38"/>
  <c r="AL45" i="38"/>
  <c r="AK48" i="38"/>
  <c r="AL48" i="38"/>
  <c r="AM48" i="38"/>
  <c r="AL47" i="38"/>
  <c r="AK47" i="38"/>
  <c r="AM47" i="38"/>
  <c r="AM46" i="38"/>
  <c r="AL46" i="38"/>
  <c r="AK46" i="38"/>
  <c r="AM30" i="38"/>
  <c r="AK30" i="38"/>
  <c r="AL30" i="38"/>
  <c r="AK32" i="38"/>
  <c r="AL32" i="38"/>
  <c r="AM32" i="38"/>
  <c r="AM29" i="38"/>
  <c r="AL29" i="38"/>
  <c r="AK29" i="38"/>
  <c r="AJ24" i="38"/>
  <c r="AL16" i="38"/>
  <c r="AK16" i="38"/>
  <c r="AK13" i="38"/>
  <c r="AM13" i="38"/>
  <c r="AL13" i="38"/>
  <c r="AM55" i="38" l="1"/>
  <c r="AL54" i="38"/>
  <c r="AK55" i="38"/>
  <c r="AN55" i="38" s="1"/>
  <c r="AO55" i="38" s="1"/>
  <c r="AK54" i="38"/>
  <c r="AM53" i="38"/>
  <c r="AK53" i="38"/>
  <c r="AL53" i="38"/>
  <c r="AK22" i="38"/>
  <c r="AM21" i="38"/>
  <c r="AK21" i="38"/>
  <c r="AL23" i="38"/>
  <c r="AK23" i="38"/>
  <c r="AM22" i="38"/>
  <c r="AN14" i="38"/>
  <c r="AP14" i="38" s="1"/>
  <c r="AN15" i="38"/>
  <c r="AQ15" i="38" s="1"/>
  <c r="AL8" i="38"/>
  <c r="AK8" i="38"/>
  <c r="AK6" i="38"/>
  <c r="AM6" i="38"/>
  <c r="AM7" i="38"/>
  <c r="AL7" i="38"/>
  <c r="AK7" i="38"/>
  <c r="AK5" i="38"/>
  <c r="AM5" i="38"/>
  <c r="AL5" i="38"/>
  <c r="AN16" i="38"/>
  <c r="AO16" i="38" s="1"/>
  <c r="AN61" i="38"/>
  <c r="L62" i="37" s="1"/>
  <c r="AN62" i="38"/>
  <c r="AN63" i="38"/>
  <c r="AN64" i="38"/>
  <c r="AN37" i="38"/>
  <c r="AN40" i="38"/>
  <c r="AN39" i="38"/>
  <c r="AN38" i="38"/>
  <c r="AN45" i="38"/>
  <c r="AO45" i="38" s="1"/>
  <c r="AN47" i="38"/>
  <c r="AN46" i="38"/>
  <c r="AN48" i="38"/>
  <c r="AN29" i="38"/>
  <c r="AQ29" i="38" s="1"/>
  <c r="AN31" i="38"/>
  <c r="AO31" i="38" s="1"/>
  <c r="AN32" i="38"/>
  <c r="AN30" i="38"/>
  <c r="AL24" i="38"/>
  <c r="AK24" i="38"/>
  <c r="AM24" i="38"/>
  <c r="L15" i="37"/>
  <c r="AO14" i="38"/>
  <c r="AN13" i="38"/>
  <c r="AN54" i="38" l="1"/>
  <c r="AP54" i="38"/>
  <c r="AQ55" i="38"/>
  <c r="L56" i="37"/>
  <c r="AP55" i="38"/>
  <c r="AN53" i="38"/>
  <c r="AN56" i="38"/>
  <c r="L46" i="37"/>
  <c r="O46" i="37" s="1"/>
  <c r="AQ45" i="38"/>
  <c r="L30" i="37"/>
  <c r="S30" i="37" s="1"/>
  <c r="L32" i="37"/>
  <c r="O32" i="37" s="1"/>
  <c r="AP29" i="38"/>
  <c r="AO29" i="38"/>
  <c r="AN22" i="38"/>
  <c r="AN23" i="38"/>
  <c r="AN24" i="38"/>
  <c r="AQ24" i="38" s="1"/>
  <c r="AQ14" i="38"/>
  <c r="AP16" i="38"/>
  <c r="AP15" i="38"/>
  <c r="AQ16" i="38"/>
  <c r="L17" i="37"/>
  <c r="Q17" i="37" s="1"/>
  <c r="L16" i="37"/>
  <c r="M16" i="37" s="1"/>
  <c r="AO15" i="38"/>
  <c r="AN7" i="38"/>
  <c r="L8" i="37" s="1"/>
  <c r="S8" i="37" s="1"/>
  <c r="AN5" i="38"/>
  <c r="AN8" i="38"/>
  <c r="AN6" i="38"/>
  <c r="AO61" i="38"/>
  <c r="AP61" i="38"/>
  <c r="AQ61" i="38"/>
  <c r="L65" i="37"/>
  <c r="AP64" i="38"/>
  <c r="AQ64" i="38"/>
  <c r="AO64" i="38"/>
  <c r="AP63" i="38"/>
  <c r="AO63" i="38"/>
  <c r="AQ63" i="38"/>
  <c r="L64" i="37"/>
  <c r="AO62" i="38"/>
  <c r="AP62" i="38"/>
  <c r="L63" i="37"/>
  <c r="AQ62" i="38"/>
  <c r="N62" i="37"/>
  <c r="C75" i="37" s="1"/>
  <c r="O62" i="37"/>
  <c r="M62" i="37"/>
  <c r="P62" i="37"/>
  <c r="Q62" i="37"/>
  <c r="T62" i="37"/>
  <c r="S62" i="37"/>
  <c r="R62" i="37"/>
  <c r="N56" i="37"/>
  <c r="Q56" i="37"/>
  <c r="P56" i="37"/>
  <c r="S56" i="37"/>
  <c r="R56" i="37"/>
  <c r="O56" i="37"/>
  <c r="M56" i="37"/>
  <c r="T56" i="37"/>
  <c r="L39" i="37"/>
  <c r="AQ38" i="38"/>
  <c r="AO38" i="38"/>
  <c r="AP38" i="38"/>
  <c r="L40" i="37"/>
  <c r="AO39" i="38"/>
  <c r="AP39" i="38"/>
  <c r="AQ39" i="38"/>
  <c r="AO40" i="38"/>
  <c r="AQ40" i="38"/>
  <c r="L41" i="37"/>
  <c r="AP40" i="38"/>
  <c r="L38" i="37"/>
  <c r="AQ37" i="38"/>
  <c r="AO37" i="38"/>
  <c r="AP37" i="38"/>
  <c r="AP45" i="38"/>
  <c r="AP47" i="38"/>
  <c r="L48" i="37"/>
  <c r="AO47" i="38"/>
  <c r="AQ47" i="38"/>
  <c r="N46" i="37"/>
  <c r="C76" i="37" s="1"/>
  <c r="T46" i="37"/>
  <c r="AO46" i="38"/>
  <c r="L47" i="37"/>
  <c r="AQ46" i="38"/>
  <c r="AP46" i="38"/>
  <c r="AQ48" i="38"/>
  <c r="AO48" i="38"/>
  <c r="L49" i="37"/>
  <c r="AP48" i="38"/>
  <c r="AQ31" i="38"/>
  <c r="AP31" i="38"/>
  <c r="P30" i="37"/>
  <c r="O30" i="37"/>
  <c r="AP32" i="38"/>
  <c r="L33" i="37"/>
  <c r="AO32" i="38"/>
  <c r="AQ32" i="38"/>
  <c r="AQ30" i="38"/>
  <c r="L31" i="37"/>
  <c r="AP30" i="38"/>
  <c r="AO30" i="38"/>
  <c r="AN21" i="38"/>
  <c r="AO22" i="38"/>
  <c r="L23" i="37"/>
  <c r="AP22" i="38"/>
  <c r="AQ22" i="38"/>
  <c r="L25" i="37"/>
  <c r="AP24" i="38"/>
  <c r="P17" i="37"/>
  <c r="R17" i="37"/>
  <c r="P15" i="37"/>
  <c r="O15" i="37"/>
  <c r="R15" i="37"/>
  <c r="M15" i="37"/>
  <c r="S15" i="37"/>
  <c r="Q15" i="37"/>
  <c r="N15" i="37"/>
  <c r="I69" i="37" s="1"/>
  <c r="T15" i="37"/>
  <c r="AO13" i="38"/>
  <c r="L14" i="37"/>
  <c r="AP13" i="38"/>
  <c r="AQ13" i="38"/>
  <c r="P16" i="37"/>
  <c r="N16" i="37"/>
  <c r="AQ54" i="38" l="1"/>
  <c r="AO54" i="38"/>
  <c r="L55" i="37"/>
  <c r="N17" i="37"/>
  <c r="T17" i="37"/>
  <c r="AO56" i="38"/>
  <c r="AP56" i="38"/>
  <c r="L57" i="37"/>
  <c r="AQ56" i="38"/>
  <c r="L54" i="37"/>
  <c r="AQ53" i="38"/>
  <c r="AO53" i="38"/>
  <c r="AP53" i="38"/>
  <c r="R46" i="37"/>
  <c r="Q46" i="37"/>
  <c r="M46" i="37"/>
  <c r="S46" i="37"/>
  <c r="P46" i="37"/>
  <c r="R32" i="37"/>
  <c r="P32" i="37"/>
  <c r="S32" i="37"/>
  <c r="Q30" i="37"/>
  <c r="N32" i="37"/>
  <c r="Q32" i="37"/>
  <c r="M32" i="37"/>
  <c r="R30" i="37"/>
  <c r="T32" i="37"/>
  <c r="M30" i="37"/>
  <c r="T30" i="37"/>
  <c r="N30" i="37"/>
  <c r="C72" i="37" s="1"/>
  <c r="AO24" i="38"/>
  <c r="AQ23" i="38"/>
  <c r="L24" i="37"/>
  <c r="AP23" i="38"/>
  <c r="AO23" i="38"/>
  <c r="AP7" i="38"/>
  <c r="Q8" i="37"/>
  <c r="R8" i="37"/>
  <c r="S16" i="37"/>
  <c r="Q16" i="37"/>
  <c r="O17" i="37"/>
  <c r="M17" i="37"/>
  <c r="T16" i="37"/>
  <c r="S17" i="37"/>
  <c r="O16" i="37"/>
  <c r="R16" i="37"/>
  <c r="T8" i="37"/>
  <c r="AO7" i="38"/>
  <c r="AQ7" i="38"/>
  <c r="M8" i="37"/>
  <c r="N8" i="37"/>
  <c r="O8" i="37"/>
  <c r="P8" i="37"/>
  <c r="L9" i="37"/>
  <c r="AO8" i="38"/>
  <c r="AP8" i="38"/>
  <c r="AQ8" i="38"/>
  <c r="AO5" i="38"/>
  <c r="L6" i="37"/>
  <c r="AP5" i="38"/>
  <c r="AQ5" i="38"/>
  <c r="AP6" i="38"/>
  <c r="AQ6" i="38"/>
  <c r="AO6" i="38"/>
  <c r="L7" i="37"/>
  <c r="T63" i="37"/>
  <c r="M63" i="37"/>
  <c r="N63" i="37"/>
  <c r="I74" i="37" s="1"/>
  <c r="Q63" i="37"/>
  <c r="P63" i="37"/>
  <c r="S63" i="37"/>
  <c r="R63" i="37"/>
  <c r="O63" i="37"/>
  <c r="Q64" i="37"/>
  <c r="S64" i="37"/>
  <c r="R64" i="37"/>
  <c r="P64" i="37"/>
  <c r="M64" i="37"/>
  <c r="T64" i="37"/>
  <c r="N64" i="37"/>
  <c r="O64" i="37"/>
  <c r="R65" i="37"/>
  <c r="S65" i="37"/>
  <c r="M65" i="37"/>
  <c r="O65" i="37"/>
  <c r="T65" i="37"/>
  <c r="N65" i="37"/>
  <c r="P65" i="37"/>
  <c r="Q65" i="37"/>
  <c r="O41" i="37"/>
  <c r="P41" i="37"/>
  <c r="N41" i="37"/>
  <c r="Q41" i="37"/>
  <c r="R41" i="37"/>
  <c r="M41" i="37"/>
  <c r="S41" i="37"/>
  <c r="T41" i="37"/>
  <c r="O40" i="37"/>
  <c r="P40" i="37"/>
  <c r="N40" i="37"/>
  <c r="M40" i="37"/>
  <c r="S40" i="37"/>
  <c r="R40" i="37"/>
  <c r="T40" i="37"/>
  <c r="Q40" i="37"/>
  <c r="P38" i="37"/>
  <c r="R38" i="37"/>
  <c r="O38" i="37"/>
  <c r="N38" i="37"/>
  <c r="C73" i="37" s="1"/>
  <c r="T38" i="37"/>
  <c r="Q38" i="37"/>
  <c r="M38" i="37"/>
  <c r="S38" i="37"/>
  <c r="R39" i="37"/>
  <c r="P39" i="37"/>
  <c r="M39" i="37"/>
  <c r="N39" i="37"/>
  <c r="I76" i="37" s="1"/>
  <c r="S39" i="37"/>
  <c r="O39" i="37"/>
  <c r="Q39" i="37"/>
  <c r="T39" i="37"/>
  <c r="T47" i="37"/>
  <c r="P47" i="37"/>
  <c r="O47" i="37"/>
  <c r="S47" i="37"/>
  <c r="M47" i="37"/>
  <c r="R47" i="37"/>
  <c r="Q47" i="37"/>
  <c r="N47" i="37"/>
  <c r="I73" i="37" s="1"/>
  <c r="O49" i="37"/>
  <c r="Q49" i="37"/>
  <c r="N49" i="37"/>
  <c r="P49" i="37"/>
  <c r="S49" i="37"/>
  <c r="T49" i="37"/>
  <c r="R49" i="37"/>
  <c r="M49" i="37"/>
  <c r="Q48" i="37"/>
  <c r="T48" i="37"/>
  <c r="N48" i="37"/>
  <c r="P48" i="37"/>
  <c r="R48" i="37"/>
  <c r="O48" i="37"/>
  <c r="M48" i="37"/>
  <c r="S48" i="37"/>
  <c r="N31" i="37"/>
  <c r="I70" i="37" s="1"/>
  <c r="S31" i="37"/>
  <c r="R31" i="37"/>
  <c r="P31" i="37"/>
  <c r="Q31" i="37"/>
  <c r="M31" i="37"/>
  <c r="T31" i="37"/>
  <c r="O31" i="37"/>
  <c r="S33" i="37"/>
  <c r="P33" i="37"/>
  <c r="N33" i="37"/>
  <c r="O33" i="37"/>
  <c r="T33" i="37"/>
  <c r="R33" i="37"/>
  <c r="Q33" i="37"/>
  <c r="M33" i="37"/>
  <c r="N25" i="37"/>
  <c r="S25" i="37"/>
  <c r="R25" i="37"/>
  <c r="P25" i="37"/>
  <c r="M25" i="37"/>
  <c r="O25" i="37"/>
  <c r="T25" i="37"/>
  <c r="Q25" i="37"/>
  <c r="L22" i="37"/>
  <c r="AQ21" i="38"/>
  <c r="AO21" i="38"/>
  <c r="AP21" i="38"/>
  <c r="M23" i="37"/>
  <c r="R23" i="37"/>
  <c r="T23" i="37"/>
  <c r="N23" i="37"/>
  <c r="I72" i="37" s="1"/>
  <c r="S23" i="37"/>
  <c r="P23" i="37"/>
  <c r="Q23" i="37"/>
  <c r="O23" i="37"/>
  <c r="O14" i="37"/>
  <c r="N14" i="37"/>
  <c r="C71" i="37" s="1"/>
  <c r="P14" i="37"/>
  <c r="Q14" i="37"/>
  <c r="R14" i="37"/>
  <c r="S14" i="37"/>
  <c r="M14" i="37"/>
  <c r="T14" i="37"/>
  <c r="R55" i="37" l="1"/>
  <c r="S55" i="37"/>
  <c r="Q55" i="37"/>
  <c r="M55" i="37"/>
  <c r="O55" i="37"/>
  <c r="T55" i="37"/>
  <c r="N55" i="37"/>
  <c r="I75" i="37" s="1"/>
  <c r="P55" i="37"/>
  <c r="O54" i="37"/>
  <c r="N54" i="37"/>
  <c r="C74" i="37" s="1"/>
  <c r="M54" i="37"/>
  <c r="S54" i="37"/>
  <c r="Q54" i="37"/>
  <c r="R54" i="37"/>
  <c r="T54" i="37"/>
  <c r="P54" i="37"/>
  <c r="P57" i="37"/>
  <c r="T57" i="37"/>
  <c r="S57" i="37"/>
  <c r="Q57" i="37"/>
  <c r="N57" i="37"/>
  <c r="M57" i="37"/>
  <c r="O57" i="37"/>
  <c r="R57" i="37"/>
  <c r="Q24" i="37"/>
  <c r="S24" i="37"/>
  <c r="P24" i="37"/>
  <c r="N24" i="37"/>
  <c r="M24" i="37"/>
  <c r="T24" i="37"/>
  <c r="O24" i="37"/>
  <c r="R24" i="37"/>
  <c r="R6" i="37"/>
  <c r="O6" i="37"/>
  <c r="T6" i="37"/>
  <c r="P6" i="37"/>
  <c r="S6" i="37"/>
  <c r="M6" i="37"/>
  <c r="Q6" i="37"/>
  <c r="N6" i="37"/>
  <c r="C69" i="37" s="1"/>
  <c r="T9" i="37"/>
  <c r="R9" i="37"/>
  <c r="N9" i="37"/>
  <c r="O9" i="37"/>
  <c r="M9" i="37"/>
  <c r="P9" i="37"/>
  <c r="Q9" i="37"/>
  <c r="S9" i="37"/>
  <c r="P7" i="37"/>
  <c r="O7" i="37"/>
  <c r="S7" i="37"/>
  <c r="Q7" i="37"/>
  <c r="R7" i="37"/>
  <c r="N7" i="37"/>
  <c r="I71" i="37" s="1"/>
  <c r="M7" i="37"/>
  <c r="T7" i="37"/>
  <c r="Q22" i="37"/>
  <c r="O22" i="37"/>
  <c r="M22" i="37"/>
  <c r="P22" i="37"/>
  <c r="R22" i="37"/>
  <c r="N22" i="37"/>
  <c r="C70" i="37" s="1"/>
  <c r="T22" i="37"/>
  <c r="S22" i="37"/>
</calcChain>
</file>

<file path=xl/sharedStrings.xml><?xml version="1.0" encoding="utf-8"?>
<sst xmlns="http://schemas.openxmlformats.org/spreadsheetml/2006/main" count="621" uniqueCount="92">
  <si>
    <t xml:space="preserve">NOME: 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</si>
  <si>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</si>
  <si>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</si>
  <si>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</si>
  <si>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</si>
  <si>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</si>
  <si>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</si>
  <si>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</si>
  <si>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</si>
  <si>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</si>
  <si>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</si>
  <si>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</si>
  <si>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</si>
  <si>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</si>
  <si>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</si>
  <si>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</si>
  <si>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</si>
  <si>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</si>
  <si>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</si>
  <si>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</si>
  <si>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</si>
  <si>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</si>
  <si>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</si>
  <si>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</si>
  <si>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</si>
  <si>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</si>
  <si>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</si>
  <si>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</si>
  <si>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</si>
  <si>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</si>
  <si>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</si>
  <si>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</si>
  <si>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</si>
  <si>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</si>
  <si>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</si>
  <si>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</si>
  <si>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</si>
  <si>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</si>
  <si>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</si>
  <si>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</si>
  <si>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</si>
  <si>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</si>
  <si>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</si>
  <si>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</si>
  <si>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</si>
  <si>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</si>
  <si>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</si>
  <si>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</si>
  <si>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</si>
  <si>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</si>
  <si>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</si>
  <si>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</si>
  <si>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</si>
  <si>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</si>
  <si>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</si>
  <si>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</si>
  <si>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</si>
  <si>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</si>
  <si>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</si>
  <si>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</si>
  <si>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</si>
  <si>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</si>
  <si>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</si>
  <si>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</si>
  <si>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</si>
  <si>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</si>
  <si>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</si>
  <si>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</si>
  <si>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</si>
  <si>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</si>
  <si>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</si>
  <si>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</si>
  <si>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</si>
  <si>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</si>
  <si>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</si>
  <si>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</si>
  <si>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</si>
  <si>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</si>
  <si>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</si>
  <si>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</si>
  <si>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</si>
  <si>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</si>
  <si>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</si>
  <si>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</si>
  <si>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</si>
  <si>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</si>
  <si>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</si>
  <si>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</si>
  <si>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</si>
  <si>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</si>
  <si>
    <t>Kylian Mbappé</t>
  </si>
  <si>
    <t>Cesar Saraiva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</si>
</sst>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Esc.&quot;_-;\-* #,##0.00\ &quot;Esc.&quot;_-;_-* &quot;-&quot;??\ &quot;Esc.&quot;_-;_-@_-"/>
    <numFmt numFmtId="165" formatCode="_-* #,##0.00\ _E_s_c_._-;\-* #,##0.00\ _E_s_c_._-;_-* &quot;-&quot;??\ _E_s_c_._-;_-@_-"/>
    <numFmt numFmtId="166" formatCode="dd/mm/yy;@"/>
    <numFmt numFmtId="167" formatCode="h:mm\ \a;@"/>
    <numFmt numFmtId="168" formatCode="h:mm;@"/>
  </numFmts>
  <fonts count="58" x14ac:knownFonts="1">
    <font>
      <sz val="10"/>
      <name val="Arial"/>
    </font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sz val="10"/>
      <color indexed="62"/>
      <name val="Verdana"/>
      <family val="2"/>
    </font>
    <font>
      <sz val="10"/>
      <color indexed="62"/>
      <name val="Arial"/>
      <family val="2"/>
    </font>
    <font>
      <sz val="10"/>
      <color indexed="41"/>
      <name val="Arial"/>
      <family val="2"/>
    </font>
    <font>
      <sz val="10"/>
      <color indexed="59"/>
      <name val="Arial"/>
      <family val="2"/>
    </font>
    <font>
      <sz val="10"/>
      <color indexed="56"/>
      <name val="Verdana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sz val="8"/>
      <color indexed="60"/>
      <name val="Arial"/>
      <family val="2"/>
    </font>
    <font>
      <sz val="8"/>
      <color indexed="54"/>
      <name val="Arial"/>
      <family val="2"/>
    </font>
    <font>
      <b/>
      <sz val="10"/>
      <name val="Arial"/>
      <family val="2"/>
    </font>
    <font>
      <sz val="24"/>
      <color indexed="25"/>
      <name val="Arial"/>
      <family val="2"/>
    </font>
    <font>
      <sz val="24"/>
      <name val="Arial"/>
      <family val="2"/>
    </font>
    <font>
      <sz val="10"/>
      <color indexed="30"/>
      <name val="Arial"/>
      <family val="2"/>
    </font>
    <font>
      <sz val="8"/>
      <color indexed="25"/>
      <name val="Arial"/>
      <family val="2"/>
    </font>
    <font>
      <sz val="10"/>
      <color indexed="21"/>
      <name val="Arial"/>
      <family val="2"/>
    </font>
    <font>
      <sz val="9"/>
      <color indexed="25"/>
      <name val="Arial"/>
      <family val="2"/>
    </font>
    <font>
      <sz val="10"/>
      <color indexed="56"/>
      <name val="Arial"/>
      <family val="2"/>
    </font>
    <font>
      <sz val="10"/>
      <color indexed="25"/>
      <name val="Verdana"/>
      <family val="2"/>
    </font>
    <font>
      <sz val="10"/>
      <color indexed="25"/>
      <name val="Arial"/>
      <family val="2"/>
    </font>
    <font>
      <sz val="12"/>
      <color indexed="25"/>
      <name val="Arial"/>
      <family val="2"/>
    </font>
    <font>
      <u/>
      <sz val="10"/>
      <color indexed="21"/>
      <name val="Arial"/>
      <family val="2"/>
    </font>
    <font>
      <u/>
      <sz val="9"/>
      <color indexed="21"/>
      <name val="Arial"/>
      <family val="2"/>
    </font>
    <font>
      <u/>
      <sz val="8"/>
      <color indexed="21"/>
      <name val="Arial"/>
      <family val="2"/>
    </font>
    <font>
      <sz val="8"/>
      <color indexed="24"/>
      <name val="Arial"/>
      <family val="2"/>
    </font>
    <font>
      <sz val="16"/>
      <color indexed="62"/>
      <name val="Arial"/>
      <family val="2"/>
    </font>
    <font>
      <sz val="9"/>
      <color indexed="22"/>
      <name val="Arial"/>
      <family val="2"/>
    </font>
    <font>
      <b/>
      <sz val="8"/>
      <color indexed="5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  <font>
      <sz val="9"/>
      <color theme="9" tint="-0.499984740745262"/>
      <name val="Arial"/>
      <family val="2"/>
    </font>
    <font>
      <b/>
      <sz val="8"/>
      <color theme="1"/>
      <name val="Arial"/>
      <family val="2"/>
    </font>
    <font>
      <sz val="9"/>
      <color theme="9" tint="-0.499984740745262"/>
      <name val="Verdana"/>
      <family val="2"/>
    </font>
    <font>
      <sz val="10"/>
      <color theme="9" tint="-0.499984740745262"/>
      <name val="Arial"/>
      <family val="2"/>
    </font>
    <font>
      <b/>
      <sz val="9"/>
      <color theme="9" tint="-0.499984740745262"/>
      <name val="Arial"/>
      <family val="2"/>
    </font>
    <font>
      <sz val="8"/>
      <color theme="9" tint="-0.499984740745262"/>
      <name val="Arial"/>
      <family val="2"/>
    </font>
    <font>
      <b/>
      <sz val="10"/>
      <color theme="9" tint="-0.499984740745262"/>
      <name val="Verdana"/>
      <family val="2"/>
    </font>
    <font>
      <sz val="8"/>
      <color theme="9" tint="-0.499984740745262"/>
      <name val="Verdana"/>
      <family val="2"/>
    </font>
    <font>
      <sz val="10"/>
      <color theme="9" tint="-0.499984740745262"/>
      <name val="Verdana"/>
      <family val="2"/>
    </font>
    <font>
      <sz val="6"/>
      <color theme="9" tint="-0.499984740745262"/>
      <name val="Arial"/>
      <family val="2"/>
    </font>
    <font>
      <b/>
      <sz val="9"/>
      <color theme="1"/>
      <name val="Arial"/>
      <family val="2"/>
    </font>
    <font>
      <b/>
      <sz val="9"/>
      <color theme="1" tint="0.34998626667073579"/>
      <name val="Arial"/>
      <family val="2"/>
    </font>
    <font>
      <b/>
      <sz val="8"/>
      <color theme="9" tint="-0.499984740745262"/>
      <name val="Verdana"/>
      <family val="2"/>
    </font>
    <font>
      <b/>
      <sz val="8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22"/>
      <color theme="9" tint="-0.499984740745262"/>
      <name val="Aptos"/>
      <family val="2"/>
    </font>
    <font>
      <sz val="24"/>
      <color theme="9" tint="-0.499984740745262"/>
      <name val="Arial"/>
      <family val="2"/>
    </font>
    <font>
      <u/>
      <sz val="8"/>
      <color theme="9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53">
    <xf numFmtId="0" fontId="0" fillId="0" borderId="0" xfId="0"/>
    <xf numFmtId="0" fontId="16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29" fillId="3" borderId="0" xfId="0" applyNumberFormat="1" applyFont="1" applyFill="1" applyAlignment="1">
      <alignment horizontal="center" vertical="center" wrapText="1"/>
    </xf>
    <xf numFmtId="166" fontId="22" fillId="3" borderId="6" xfId="0" applyNumberFormat="1" applyFont="1" applyFill="1" applyBorder="1" applyAlignment="1">
      <alignment horizontal="center" vertical="center" wrapText="1"/>
    </xf>
    <xf numFmtId="168" fontId="22" fillId="3" borderId="6" xfId="0" applyNumberFormat="1" applyFont="1" applyFill="1" applyBorder="1" applyAlignment="1">
      <alignment horizontal="center" vertical="center" wrapText="1"/>
    </xf>
    <xf numFmtId="166" fontId="0" fillId="3" borderId="4" xfId="0" applyNumberFormat="1" applyFill="1" applyBorder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66" fontId="27" fillId="3" borderId="5" xfId="0" applyNumberFormat="1" applyFont="1" applyFill="1" applyBorder="1" applyAlignment="1">
      <alignment horizontal="center" vertical="center" wrapText="1"/>
    </xf>
    <xf numFmtId="168" fontId="27" fillId="3" borderId="5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66" fontId="30" fillId="3" borderId="1" xfId="0" applyNumberFormat="1" applyFont="1" applyFill="1" applyBorder="1" applyAlignment="1">
      <alignment horizontal="center" vertical="center" wrapText="1"/>
    </xf>
    <xf numFmtId="20" fontId="12" fillId="3" borderId="4" xfId="0" applyNumberFormat="1" applyFont="1" applyFill="1" applyBorder="1" applyAlignment="1">
      <alignment horizontal="center" vertical="center" wrapText="1"/>
    </xf>
    <xf numFmtId="166" fontId="12" fillId="3" borderId="9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0" fontId="36" fillId="3" borderId="8" xfId="0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center" vertical="center" wrapText="1"/>
    </xf>
    <xf numFmtId="0" fontId="36" fillId="3" borderId="9" xfId="0" applyFont="1" applyFill="1" applyBorder="1" applyAlignment="1">
      <alignment horizontal="center" vertical="center" wrapText="1"/>
    </xf>
    <xf numFmtId="0" fontId="36" fillId="3" borderId="7" xfId="0" applyFont="1" applyFill="1" applyBorder="1" applyAlignment="1">
      <alignment horizontal="center" vertical="center" wrapText="1"/>
    </xf>
    <xf numFmtId="0" fontId="36" fillId="3" borderId="11" xfId="0" applyFont="1" applyFill="1" applyBorder="1" applyAlignment="1">
      <alignment horizontal="center" vertical="center" wrapText="1"/>
    </xf>
    <xf numFmtId="0" fontId="36" fillId="3" borderId="2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20" fontId="39" fillId="3" borderId="2" xfId="0" applyNumberFormat="1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 wrapText="1"/>
    </xf>
    <xf numFmtId="0" fontId="40" fillId="3" borderId="6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41" fillId="3" borderId="5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8" fillId="3" borderId="7" xfId="0" applyFont="1" applyFill="1" applyBorder="1" applyAlignment="1">
      <alignment horizontal="center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38" fillId="3" borderId="5" xfId="0" applyFont="1" applyFill="1" applyBorder="1" applyAlignment="1">
      <alignment horizontal="center" vertical="center" wrapText="1"/>
    </xf>
    <xf numFmtId="0" fontId="41" fillId="3" borderId="0" xfId="0" applyFont="1" applyFill="1" applyAlignment="1">
      <alignment horizontal="center" vertical="center" wrapText="1"/>
    </xf>
    <xf numFmtId="167" fontId="38" fillId="3" borderId="5" xfId="0" applyNumberFormat="1" applyFont="1" applyFill="1" applyBorder="1" applyAlignment="1">
      <alignment horizontal="center" vertical="center" wrapText="1"/>
    </xf>
    <xf numFmtId="167" fontId="38" fillId="3" borderId="6" xfId="0" applyNumberFormat="1" applyFont="1" applyFill="1" applyBorder="1" applyAlignment="1">
      <alignment horizontal="center" vertical="center" wrapText="1"/>
    </xf>
    <xf numFmtId="166" fontId="32" fillId="3" borderId="1" xfId="0" applyNumberFormat="1" applyFont="1" applyFill="1" applyBorder="1" applyAlignment="1">
      <alignment horizontal="center" vertical="center" wrapText="1"/>
    </xf>
    <xf numFmtId="20" fontId="32" fillId="3" borderId="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7" fontId="43" fillId="3" borderId="5" xfId="0" applyNumberFormat="1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 wrapText="1"/>
    </xf>
    <xf numFmtId="0" fontId="45" fillId="3" borderId="0" xfId="0" applyFont="1" applyFill="1" applyAlignment="1">
      <alignment horizontal="center" vertical="center" wrapText="1"/>
    </xf>
    <xf numFmtId="0" fontId="46" fillId="3" borderId="6" xfId="0" applyFont="1" applyFill="1" applyBorder="1" applyAlignment="1">
      <alignment horizontal="center" vertical="center" wrapText="1"/>
    </xf>
    <xf numFmtId="167" fontId="43" fillId="3" borderId="6" xfId="0" applyNumberFormat="1" applyFont="1" applyFill="1" applyBorder="1" applyAlignment="1">
      <alignment horizontal="center" vertical="center" wrapText="1"/>
    </xf>
    <xf numFmtId="0" fontId="42" fillId="3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48" fillId="3" borderId="3" xfId="0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center" vertical="center" wrapText="1"/>
    </xf>
    <xf numFmtId="0" fontId="34" fillId="3" borderId="0" xfId="0" applyFont="1" applyFill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20" fontId="32" fillId="3" borderId="0" xfId="0" applyNumberFormat="1" applyFont="1" applyFill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43" fillId="0" borderId="0" xfId="0" applyFont="1" applyAlignment="1">
      <alignment horizontal="right"/>
    </xf>
    <xf numFmtId="0" fontId="41" fillId="0" borderId="0" xfId="0" applyFont="1" applyAlignment="1">
      <alignment wrapText="1"/>
    </xf>
    <xf numFmtId="0" fontId="52" fillId="0" borderId="0" xfId="0" applyFont="1"/>
    <xf numFmtId="0" fontId="53" fillId="3" borderId="0" xfId="0" applyFont="1" applyFill="1" applyAlignment="1">
      <alignment horizontal="center" vertical="center" wrapText="1"/>
    </xf>
    <xf numFmtId="0" fontId="54" fillId="3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66" fontId="27" fillId="3" borderId="0" xfId="0" applyNumberFormat="1" applyFont="1" applyFill="1" applyAlignment="1">
      <alignment horizontal="center" vertical="center" wrapText="1"/>
    </xf>
    <xf numFmtId="168" fontId="27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1" fillId="3" borderId="4" xfId="0" applyFont="1" applyFill="1" applyBorder="1" applyAlignment="1">
      <alignment horizontal="center" vertical="center" wrapText="1"/>
    </xf>
    <xf numFmtId="0" fontId="47" fillId="3" borderId="6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164" fontId="55" fillId="0" borderId="0" xfId="1" applyFont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166" fontId="52" fillId="3" borderId="1" xfId="0" applyNumberFormat="1" applyFont="1" applyFill="1" applyBorder="1" applyAlignment="1">
      <alignment horizontal="left" vertical="center" wrapText="1"/>
    </xf>
    <xf numFmtId="166" fontId="52" fillId="3" borderId="6" xfId="0" applyNumberFormat="1" applyFont="1" applyFill="1" applyBorder="1" applyAlignment="1">
      <alignment horizontal="left" vertical="center" wrapText="1"/>
    </xf>
    <xf numFmtId="0" fontId="25" fillId="3" borderId="0" xfId="0" applyFont="1" applyFill="1" applyAlignment="1">
      <alignment horizontal="center" vertical="center" wrapText="1"/>
    </xf>
    <xf numFmtId="166" fontId="52" fillId="3" borderId="1" xfId="0" applyNumberFormat="1" applyFont="1" applyFill="1" applyBorder="1" applyAlignment="1">
      <alignment horizontal="center" vertical="center" wrapText="1"/>
    </xf>
    <xf numFmtId="166" fontId="52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center" vertical="center" wrapText="1"/>
    </xf>
    <xf numFmtId="0" fontId="41" fillId="3" borderId="10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2" fillId="3" borderId="6" xfId="0" applyFont="1" applyFill="1" applyBorder="1" applyAlignment="1">
      <alignment horizontal="center" vertical="center" wrapText="1"/>
    </xf>
    <xf numFmtId="0" fontId="47" fillId="3" borderId="6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166" fontId="13" fillId="3" borderId="9" xfId="0" applyNumberFormat="1" applyFont="1" applyFill="1" applyBorder="1" applyAlignment="1">
      <alignment horizontal="center" vertical="center" wrapText="1"/>
    </xf>
    <xf numFmtId="166" fontId="13" fillId="3" borderId="4" xfId="0" applyNumberFormat="1" applyFont="1" applyFill="1" applyBorder="1" applyAlignment="1">
      <alignment horizontal="center" vertical="center" wrapText="1"/>
    </xf>
    <xf numFmtId="166" fontId="13" fillId="3" borderId="11" xfId="0" applyNumberFormat="1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0" fontId="56" fillId="4" borderId="12" xfId="0" applyFont="1" applyFill="1" applyBorder="1" applyAlignment="1">
      <alignment horizontal="center" vertical="center" wrapText="1"/>
    </xf>
    <xf numFmtId="0" fontId="42" fillId="3" borderId="11" xfId="0" applyFont="1" applyFill="1" applyBorder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/>
    </xf>
  </cellXfs>
  <cellStyles count="7">
    <cellStyle name="Moeda" xfId="1" builtinId="4"/>
    <cellStyle name="Normal" xfId="0" builtinId="0"/>
    <cellStyle name="Normal 2" xfId="2" xr:uid="{984BD1A4-0D08-48D7-BE7F-81CBCDBF9932}"/>
    <cellStyle name="Porcentagem 2" xfId="3" xr:uid="{3395F626-9544-4276-835C-0CC3D1FA2F71}"/>
    <cellStyle name="Porcentagem 2 2" xfId="4" xr:uid="{85C4DAE5-E154-4CB4-8D52-FDF17C1B5A81}"/>
    <cellStyle name="Vírgula 2" xfId="5" xr:uid="{4D57FCE6-F659-4249-AFCF-F44963EF4A0C}"/>
    <cellStyle name="Vírgula 2 2" xfId="6" xr:uid="{D6615F75-339E-4CAC-95E2-F2986FE260D2}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180975</xdr:colOff>
      <xdr:row>1</xdr:row>
      <xdr:rowOff>9525</xdr:rowOff>
    </xdr:to>
    <xdr:pic>
      <xdr:nvPicPr>
        <xdr:cNvPr id="33673" name="Imagem 2" descr="Grupos, premiação e mais: saiba tudo do Super Mundial de Clubes">
          <a:extLst>
            <a:ext uri="{FF2B5EF4-FFF2-40B4-BE49-F238E27FC236}">
              <a16:creationId xmlns:a16="http://schemas.microsoft.com/office/drawing/2014/main" id="{A9576F56-2A0F-8532-8B98-1516CA607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391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9950-5FB4-4EA8-8BB3-C6AD2962D395}">
  <sheetPr codeName="Plan2"/>
  <dimension ref="A1:X93"/>
  <sheetViews>
    <sheetView tabSelected="1" workbookViewId="0">
      <selection activeCell="A3" sqref="A3:C3"/>
    </sheetView>
  </sheetViews>
  <sheetFormatPr defaultColWidth="9.1796875" defaultRowHeight="12" customHeight="1" x14ac:dyDescent="0.25"/>
  <cols>
    <col min="1" max="1" width="8.81640625" style="22" customWidth="1"/>
    <col min="2" max="2" width="7.453125" style="14" customWidth="1"/>
    <col min="3" max="3" width="16.26953125" style="70" bestFit="1" customWidth="1"/>
    <col min="4" max="4" width="4.453125" style="14" customWidth="1"/>
    <col min="5" max="5" width="3.453125" style="14" customWidth="1"/>
    <col min="6" max="6" width="2.7265625" style="78" customWidth="1"/>
    <col min="7" max="7" width="3.453125" style="14" customWidth="1"/>
    <col min="8" max="8" width="4.453125" style="14" customWidth="1"/>
    <col min="9" max="9" width="16.54296875" style="70" bestFit="1" customWidth="1"/>
    <col min="10" max="10" width="3.453125" style="1" customWidth="1"/>
    <col min="11" max="11" width="8.7265625" style="14" customWidth="1"/>
    <col min="12" max="12" width="15.7265625" style="70" customWidth="1"/>
    <col min="13" max="14" width="5.1796875" style="14" customWidth="1"/>
    <col min="15" max="17" width="2.81640625" style="14" customWidth="1"/>
    <col min="18" max="20" width="3.26953125" style="14" customWidth="1"/>
    <col min="21" max="16384" width="9.1796875" style="14"/>
  </cols>
  <sheetData>
    <row r="1" spans="1:24" ht="209.25" customHeight="1" x14ac:dyDescent="0.25">
      <c r="A1"/>
      <c r="B1" s="116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3"/>
    </row>
    <row r="2" spans="1:24" ht="30" thickBot="1" x14ac:dyDescent="0.3">
      <c r="A2" s="144" t="s">
        <v>0</v>
      </c>
      <c r="B2" s="144"/>
      <c r="C2" s="145" t="s">
        <v>91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3"/>
      <c r="W2"/>
    </row>
    <row r="3" spans="1:24" ht="13.9" customHeight="1" x14ac:dyDescent="0.25">
      <c r="A3" s="146" t="s">
        <v>1</v>
      </c>
      <c r="B3" s="147"/>
      <c r="C3" s="147"/>
      <c r="D3" s="17"/>
      <c r="E3" s="148"/>
      <c r="F3" s="148"/>
      <c r="G3" s="148"/>
      <c r="H3" s="17"/>
      <c r="I3" s="71"/>
      <c r="K3" s="3"/>
      <c r="L3" s="79"/>
      <c r="M3" s="18"/>
      <c r="N3" s="18"/>
      <c r="O3" s="18"/>
      <c r="P3" s="18"/>
      <c r="Q3" s="17"/>
      <c r="R3" s="19"/>
      <c r="S3" s="19"/>
      <c r="T3" s="20"/>
      <c r="U3" s="15"/>
      <c r="W3" s="14" t="s">
        <v>2</v>
      </c>
    </row>
    <row r="4" spans="1:24" ht="13.9" customHeight="1" x14ac:dyDescent="0.25">
      <c r="A4" s="73">
        <v>45822</v>
      </c>
      <c r="B4" s="61" t="s">
        <v>3</v>
      </c>
      <c r="C4" s="60" t="s">
        <v>4</v>
      </c>
      <c r="D4" s="21"/>
      <c r="E4" s="32">
        <v>0</v>
      </c>
      <c r="F4" s="75" t="s">
        <v>5</v>
      </c>
      <c r="G4" s="33">
        <v>2</v>
      </c>
      <c r="H4" s="32"/>
      <c r="I4" s="62" t="s">
        <v>6</v>
      </c>
      <c r="K4" s="2"/>
      <c r="L4" s="127" t="s">
        <v>7</v>
      </c>
      <c r="M4" s="127"/>
      <c r="N4" s="127"/>
      <c r="O4" s="127"/>
      <c r="P4" s="127"/>
      <c r="Q4" s="127"/>
      <c r="R4" s="127"/>
      <c r="S4" s="127"/>
      <c r="T4" s="128"/>
      <c r="U4" s="15"/>
    </row>
    <row r="5" spans="1:24" ht="13.9" customHeight="1" x14ac:dyDescent="0.25">
      <c r="A5" s="73">
        <v>45823</v>
      </c>
      <c r="B5" s="61" t="s">
        <v>8</v>
      </c>
      <c r="C5" s="60" t="s">
        <v>9</v>
      </c>
      <c r="D5" s="34"/>
      <c r="E5" s="32">
        <v>1</v>
      </c>
      <c r="F5" s="75" t="s">
        <v>5</v>
      </c>
      <c r="G5" s="33">
        <v>1</v>
      </c>
      <c r="H5" s="32"/>
      <c r="I5" s="62" t="s">
        <v>10</v>
      </c>
      <c r="K5" s="115"/>
      <c r="L5" s="80"/>
      <c r="M5" s="85" t="s">
        <v>11</v>
      </c>
      <c r="N5" s="85" t="s">
        <v>12</v>
      </c>
      <c r="O5" s="85" t="s">
        <v>13</v>
      </c>
      <c r="P5" s="85" t="s">
        <v>14</v>
      </c>
      <c r="Q5" s="85" t="s">
        <v>15</v>
      </c>
      <c r="R5" s="85" t="s">
        <v>16</v>
      </c>
      <c r="S5" s="85" t="s">
        <v>17</v>
      </c>
      <c r="T5" s="86" t="s">
        <v>18</v>
      </c>
      <c r="U5" s="15"/>
    </row>
    <row r="6" spans="1:24" ht="13.9" customHeight="1" x14ac:dyDescent="0.25">
      <c r="A6" s="73">
        <v>45827</v>
      </c>
      <c r="B6" s="61" t="s">
        <v>19</v>
      </c>
      <c r="C6" s="60" t="s">
        <v>9</v>
      </c>
      <c r="D6" s="21"/>
      <c r="E6" s="32">
        <v>2</v>
      </c>
      <c r="F6" s="75" t="s">
        <v>5</v>
      </c>
      <c r="G6" s="33">
        <v>0</v>
      </c>
      <c r="H6" s="35"/>
      <c r="I6" s="62" t="s">
        <v>4</v>
      </c>
      <c r="K6" s="115"/>
      <c r="L6" s="81" t="str">
        <f>Jogos!AN5</f>
        <v>Palmeiras</v>
      </c>
      <c r="M6" s="87">
        <f>VLOOKUP($L6,Jogos!$A$5:$I$8,2,FALSE)</f>
        <v>7</v>
      </c>
      <c r="N6" s="87">
        <f>VLOOKUP($L6,Jogos!$A$5:$I$8,3,FALSE)</f>
        <v>3</v>
      </c>
      <c r="O6" s="87">
        <f>VLOOKUP($L6,Jogos!$A$5:$I$8,4,FALSE)</f>
        <v>2</v>
      </c>
      <c r="P6" s="87">
        <f>VLOOKUP($L6,Jogos!$A$5:$I$8,5,FALSE)</f>
        <v>1</v>
      </c>
      <c r="Q6" s="87">
        <f>VLOOKUP($L6,Jogos!$A$5:$I$8,6,FALSE)</f>
        <v>0</v>
      </c>
      <c r="R6" s="87">
        <f>VLOOKUP($L6,Jogos!$A$5:$I$8,7,FALSE)</f>
        <v>5</v>
      </c>
      <c r="S6" s="87">
        <f>VLOOKUP($L6,Jogos!$A$5:$I$8,8,FALSE)</f>
        <v>2</v>
      </c>
      <c r="T6" s="87">
        <f>VLOOKUP($L6,Jogos!$A$5:$I$8,9,FALSE)</f>
        <v>3</v>
      </c>
      <c r="U6" s="15"/>
      <c r="X6" s="14" t="s">
        <v>2</v>
      </c>
    </row>
    <row r="7" spans="1:24" ht="13.9" customHeight="1" x14ac:dyDescent="0.25">
      <c r="A7" s="73">
        <v>45827</v>
      </c>
      <c r="B7" s="61" t="s">
        <v>20</v>
      </c>
      <c r="C7" s="60" t="s">
        <v>6</v>
      </c>
      <c r="D7" s="21"/>
      <c r="E7" s="32">
        <v>1</v>
      </c>
      <c r="F7" s="75" t="s">
        <v>5</v>
      </c>
      <c r="G7" s="36">
        <v>2</v>
      </c>
      <c r="H7" s="35"/>
      <c r="I7" s="62" t="s">
        <v>10</v>
      </c>
      <c r="K7" s="115"/>
      <c r="L7" s="81" t="str">
        <f>Jogos!AN6</f>
        <v>Porto</v>
      </c>
      <c r="M7" s="87">
        <f>VLOOKUP($L7,Jogos!$A$5:$I$8,2,FALSE)</f>
        <v>7</v>
      </c>
      <c r="N7" s="87">
        <f>VLOOKUP($L7,Jogos!$A$5:$I$8,3,FALSE)</f>
        <v>3</v>
      </c>
      <c r="O7" s="87">
        <f>VLOOKUP($L7,Jogos!$A$5:$I$8,4,FALSE)</f>
        <v>2</v>
      </c>
      <c r="P7" s="87">
        <f>VLOOKUP($L7,Jogos!$A$5:$I$8,5,FALSE)</f>
        <v>1</v>
      </c>
      <c r="Q7" s="87">
        <f>VLOOKUP($L7,Jogos!$A$5:$I$8,6,FALSE)</f>
        <v>0</v>
      </c>
      <c r="R7" s="87">
        <f>VLOOKUP($L7,Jogos!$A$5:$I$8,7,FALSE)</f>
        <v>5</v>
      </c>
      <c r="S7" s="87">
        <f>VLOOKUP($L7,Jogos!$A$5:$I$8,8,FALSE)</f>
        <v>2</v>
      </c>
      <c r="T7" s="87">
        <f>VLOOKUP($L7,Jogos!$A$5:$I$8,9,FALSE)</f>
        <v>3</v>
      </c>
      <c r="U7" s="15"/>
    </row>
    <row r="8" spans="1:24" ht="13.9" customHeight="1" x14ac:dyDescent="0.25">
      <c r="A8" s="73">
        <v>45831</v>
      </c>
      <c r="B8" s="61" t="s">
        <v>21</v>
      </c>
      <c r="C8" s="60" t="s">
        <v>6</v>
      </c>
      <c r="D8" s="34"/>
      <c r="E8" s="32">
        <v>1</v>
      </c>
      <c r="F8" s="75" t="s">
        <v>5</v>
      </c>
      <c r="G8" s="36">
        <v>2</v>
      </c>
      <c r="H8" s="32"/>
      <c r="I8" s="62" t="s">
        <v>9</v>
      </c>
      <c r="K8" s="115"/>
      <c r="L8" s="81" t="str">
        <f>Jogos!AN7</f>
        <v>Inter Miami</v>
      </c>
      <c r="M8" s="87">
        <f>VLOOKUP($L8,Jogos!$A$5:$I$8,2,FALSE)</f>
        <v>3</v>
      </c>
      <c r="N8" s="87">
        <f>VLOOKUP($L8,Jogos!$A$5:$I$8,3,FALSE)</f>
        <v>3</v>
      </c>
      <c r="O8" s="87">
        <f>VLOOKUP($L8,Jogos!$A$5:$I$8,4,FALSE)</f>
        <v>1</v>
      </c>
      <c r="P8" s="87">
        <f>VLOOKUP($L8,Jogos!$A$5:$I$8,5,FALSE)</f>
        <v>0</v>
      </c>
      <c r="Q8" s="87">
        <f>VLOOKUP($L8,Jogos!$A$5:$I$8,6,FALSE)</f>
        <v>2</v>
      </c>
      <c r="R8" s="87">
        <f>VLOOKUP($L8,Jogos!$A$5:$I$8,7,FALSE)</f>
        <v>4</v>
      </c>
      <c r="S8" s="87">
        <f>VLOOKUP($L8,Jogos!$A$5:$I$8,8,FALSE)</f>
        <v>4</v>
      </c>
      <c r="T8" s="87">
        <f>VLOOKUP($L8,Jogos!$A$5:$I$8,9,FALSE)</f>
        <v>0</v>
      </c>
      <c r="U8" s="15"/>
    </row>
    <row r="9" spans="1:24" ht="13.9" customHeight="1" x14ac:dyDescent="0.25">
      <c r="A9" s="73">
        <v>45831</v>
      </c>
      <c r="B9" s="61" t="s">
        <v>21</v>
      </c>
      <c r="C9" s="60" t="s">
        <v>22</v>
      </c>
      <c r="D9" s="34"/>
      <c r="E9" s="32">
        <v>2</v>
      </c>
      <c r="F9" s="75" t="s">
        <v>5</v>
      </c>
      <c r="G9" s="33">
        <v>0</v>
      </c>
      <c r="H9" s="32"/>
      <c r="I9" s="62" t="s">
        <v>4</v>
      </c>
      <c r="K9" s="3"/>
      <c r="L9" s="81" t="str">
        <f>Jogos!AN8</f>
        <v>Al Ahly</v>
      </c>
      <c r="M9" s="87">
        <f>VLOOKUP($L9,Jogos!$A$5:$I$8,2,FALSE)</f>
        <v>0</v>
      </c>
      <c r="N9" s="87">
        <f>VLOOKUP($L9,Jogos!$A$5:$I$8,3,FALSE)</f>
        <v>3</v>
      </c>
      <c r="O9" s="87">
        <f>VLOOKUP($L9,Jogos!$A$5:$I$8,4,FALSE)</f>
        <v>0</v>
      </c>
      <c r="P9" s="87">
        <f>VLOOKUP($L9,Jogos!$A$5:$I$8,5,FALSE)</f>
        <v>0</v>
      </c>
      <c r="Q9" s="87">
        <f>VLOOKUP($L9,Jogos!$A$5:$I$8,6,FALSE)</f>
        <v>3</v>
      </c>
      <c r="R9" s="87">
        <f>VLOOKUP($L9,Jogos!$A$5:$I$8,7,FALSE)</f>
        <v>0</v>
      </c>
      <c r="S9" s="87">
        <f>VLOOKUP($L9,Jogos!$A$5:$I$8,8,FALSE)</f>
        <v>6</v>
      </c>
      <c r="T9" s="87">
        <f>VLOOKUP($L9,Jogos!$A$5:$I$8,9,FALSE)</f>
        <v>-6</v>
      </c>
      <c r="U9" s="15"/>
    </row>
    <row r="10" spans="1:24" ht="13.9" customHeight="1" x14ac:dyDescent="0.25">
      <c r="A10" s="24"/>
      <c r="B10" s="25"/>
      <c r="C10" s="63"/>
      <c r="D10" s="36"/>
      <c r="E10" s="36"/>
      <c r="F10" s="75"/>
      <c r="G10" s="36"/>
      <c r="H10" s="36"/>
      <c r="I10" s="63"/>
      <c r="K10" s="4"/>
      <c r="L10" s="82"/>
      <c r="M10" s="36"/>
      <c r="N10" s="36"/>
      <c r="O10" s="36"/>
      <c r="P10" s="36"/>
      <c r="Q10" s="36"/>
      <c r="R10" s="36"/>
      <c r="S10" s="36"/>
      <c r="T10" s="36"/>
    </row>
    <row r="11" spans="1:24" ht="13.9" customHeight="1" x14ac:dyDescent="0.25">
      <c r="A11" s="129" t="s">
        <v>23</v>
      </c>
      <c r="B11" s="130"/>
      <c r="C11" s="130"/>
      <c r="D11" s="37"/>
      <c r="E11" s="126"/>
      <c r="F11" s="126"/>
      <c r="G11" s="126"/>
      <c r="H11" s="37"/>
      <c r="I11" s="72"/>
      <c r="K11" s="5"/>
      <c r="L11" s="83"/>
      <c r="M11" s="6"/>
      <c r="N11" s="6"/>
      <c r="O11" s="6"/>
      <c r="P11" s="6"/>
      <c r="Q11" s="37"/>
      <c r="R11" s="7"/>
      <c r="S11" s="7"/>
      <c r="T11" s="8"/>
      <c r="U11" s="16"/>
    </row>
    <row r="12" spans="1:24" ht="13.9" customHeight="1" x14ac:dyDescent="0.25">
      <c r="A12" s="73">
        <v>45823</v>
      </c>
      <c r="B12" s="74" t="s">
        <v>20</v>
      </c>
      <c r="C12" s="60" t="s">
        <v>24</v>
      </c>
      <c r="D12" s="21"/>
      <c r="E12" s="32">
        <v>2</v>
      </c>
      <c r="F12" s="75" t="s">
        <v>5</v>
      </c>
      <c r="G12" s="33">
        <v>1</v>
      </c>
      <c r="H12" s="32"/>
      <c r="I12" s="62" t="s">
        <v>25</v>
      </c>
      <c r="K12" s="2"/>
      <c r="L12" s="127" t="s">
        <v>26</v>
      </c>
      <c r="M12" s="127"/>
      <c r="N12" s="127"/>
      <c r="O12" s="127"/>
      <c r="P12" s="127"/>
      <c r="Q12" s="127"/>
      <c r="R12" s="127"/>
      <c r="S12" s="127"/>
      <c r="T12" s="128"/>
      <c r="U12" s="16"/>
    </row>
    <row r="13" spans="1:24" ht="13.9" customHeight="1" x14ac:dyDescent="0.25">
      <c r="A13" s="73">
        <v>45823</v>
      </c>
      <c r="B13" s="74" t="s">
        <v>27</v>
      </c>
      <c r="C13" s="60" t="s">
        <v>28</v>
      </c>
      <c r="D13" s="34"/>
      <c r="E13" s="32">
        <v>2</v>
      </c>
      <c r="F13" s="75" t="s">
        <v>5</v>
      </c>
      <c r="G13" s="33">
        <v>0</v>
      </c>
      <c r="H13" s="32"/>
      <c r="I13" s="62" t="s">
        <v>29</v>
      </c>
      <c r="K13" s="115"/>
      <c r="L13" s="80"/>
      <c r="M13" s="85" t="s">
        <v>11</v>
      </c>
      <c r="N13" s="85" t="s">
        <v>12</v>
      </c>
      <c r="O13" s="85" t="s">
        <v>13</v>
      </c>
      <c r="P13" s="85" t="s">
        <v>14</v>
      </c>
      <c r="Q13" s="85" t="s">
        <v>15</v>
      </c>
      <c r="R13" s="85" t="s">
        <v>16</v>
      </c>
      <c r="S13" s="85" t="s">
        <v>17</v>
      </c>
      <c r="T13" s="86" t="s">
        <v>18</v>
      </c>
      <c r="U13" s="16"/>
    </row>
    <row r="14" spans="1:24" ht="13.9" customHeight="1" x14ac:dyDescent="0.25">
      <c r="A14" s="73">
        <v>45827</v>
      </c>
      <c r="B14" s="74" t="s">
        <v>8</v>
      </c>
      <c r="C14" s="62" t="s">
        <v>29</v>
      </c>
      <c r="D14" s="21"/>
      <c r="E14" s="32">
        <v>0</v>
      </c>
      <c r="F14" s="75" t="s">
        <v>5</v>
      </c>
      <c r="G14" s="33">
        <v>2</v>
      </c>
      <c r="H14" s="35"/>
      <c r="I14" s="66" t="s">
        <v>25</v>
      </c>
      <c r="K14" s="115"/>
      <c r="L14" s="81" t="str">
        <f>Jogos!AN13</f>
        <v>Paris Saint-Germain</v>
      </c>
      <c r="M14" s="87">
        <f>VLOOKUP($L14,Jogos!$A$13:$I$16,2,FALSE)</f>
        <v>9</v>
      </c>
      <c r="N14" s="87">
        <f>VLOOKUP($L14,Jogos!$A$13:$I$16,3,FALSE)</f>
        <v>3</v>
      </c>
      <c r="O14" s="87">
        <f>VLOOKUP($L14,Jogos!$A$13:$I$16,4,FALSE)</f>
        <v>3</v>
      </c>
      <c r="P14" s="87">
        <f>VLOOKUP($L14,Jogos!$A$13:$I$16,5,FALSE)</f>
        <v>0</v>
      </c>
      <c r="Q14" s="87">
        <f>VLOOKUP($L14,Jogos!$A$13:$I$16,6,FALSE)</f>
        <v>0</v>
      </c>
      <c r="R14" s="87">
        <f>VLOOKUP($L14,Jogos!$A$13:$I$16,7,FALSE)</f>
        <v>7</v>
      </c>
      <c r="S14" s="87">
        <f>VLOOKUP($L14,Jogos!$A$13:$I$16,8,FALSE)</f>
        <v>2</v>
      </c>
      <c r="T14" s="87">
        <f>VLOOKUP($L14,Jogos!$A$13:$I$16,9,FALSE)</f>
        <v>5</v>
      </c>
      <c r="U14" s="16"/>
    </row>
    <row r="15" spans="1:24" ht="13.9" customHeight="1" x14ac:dyDescent="0.25">
      <c r="A15" s="73">
        <v>45827</v>
      </c>
      <c r="B15" s="90" t="s">
        <v>21</v>
      </c>
      <c r="C15" s="60" t="s">
        <v>24</v>
      </c>
      <c r="D15" s="34"/>
      <c r="E15" s="32">
        <v>2</v>
      </c>
      <c r="F15" s="75" t="s">
        <v>5</v>
      </c>
      <c r="G15" s="33">
        <v>1</v>
      </c>
      <c r="H15" s="32"/>
      <c r="I15" s="62" t="s">
        <v>28</v>
      </c>
      <c r="K15" s="115"/>
      <c r="L15" s="81" t="str">
        <f>Jogos!AN14</f>
        <v>Atlético de Madrid</v>
      </c>
      <c r="M15" s="87">
        <f>VLOOKUP($L15,Jogos!$A$13:$I$16,2,FALSE)</f>
        <v>6</v>
      </c>
      <c r="N15" s="87">
        <f>VLOOKUP($L15,Jogos!$A$13:$I$16,3,FALSE)</f>
        <v>3</v>
      </c>
      <c r="O15" s="87">
        <f>VLOOKUP($L15,Jogos!$A$13:$I$16,4,FALSE)</f>
        <v>2</v>
      </c>
      <c r="P15" s="87">
        <f>VLOOKUP($L15,Jogos!$A$13:$I$16,5,FALSE)</f>
        <v>0</v>
      </c>
      <c r="Q15" s="87">
        <f>VLOOKUP($L15,Jogos!$A$13:$I$16,6,FALSE)</f>
        <v>1</v>
      </c>
      <c r="R15" s="87">
        <f>VLOOKUP($L15,Jogos!$A$13:$I$16,7,FALSE)</f>
        <v>5</v>
      </c>
      <c r="S15" s="87">
        <f>VLOOKUP($L15,Jogos!$A$13:$I$16,8,FALSE)</f>
        <v>3</v>
      </c>
      <c r="T15" s="87">
        <f>VLOOKUP($L15,Jogos!$A$13:$I$16,9,FALSE)</f>
        <v>2</v>
      </c>
      <c r="U15" s="16"/>
    </row>
    <row r="16" spans="1:24" ht="13.9" customHeight="1" x14ac:dyDescent="0.25">
      <c r="A16" s="73">
        <v>45831</v>
      </c>
      <c r="B16" s="74" t="s">
        <v>20</v>
      </c>
      <c r="C16" s="62" t="s">
        <v>29</v>
      </c>
      <c r="D16" s="34"/>
      <c r="E16" s="32">
        <v>0</v>
      </c>
      <c r="F16" s="75" t="s">
        <v>5</v>
      </c>
      <c r="G16" s="33">
        <v>3</v>
      </c>
      <c r="H16" s="32"/>
      <c r="I16" s="62" t="s">
        <v>24</v>
      </c>
      <c r="K16" s="115"/>
      <c r="L16" s="81" t="str">
        <f>Jogos!AN15</f>
        <v>Botafogo</v>
      </c>
      <c r="M16" s="87">
        <f>VLOOKUP($L16,Jogos!$A$13:$I$16,2,FALSE)</f>
        <v>3</v>
      </c>
      <c r="N16" s="87">
        <f>VLOOKUP($L16,Jogos!$A$13:$I$16,3,FALSE)</f>
        <v>3</v>
      </c>
      <c r="O16" s="87">
        <f>VLOOKUP($L16,Jogos!$A$13:$I$16,4,FALSE)</f>
        <v>1</v>
      </c>
      <c r="P16" s="87">
        <f>VLOOKUP($L16,Jogos!$A$13:$I$16,5,FALSE)</f>
        <v>0</v>
      </c>
      <c r="Q16" s="87">
        <f>VLOOKUP($L16,Jogos!$A$13:$I$16,6,FALSE)</f>
        <v>2</v>
      </c>
      <c r="R16" s="87">
        <f>VLOOKUP($L16,Jogos!$A$13:$I$16,7,FALSE)</f>
        <v>4</v>
      </c>
      <c r="S16" s="87">
        <f>VLOOKUP($L16,Jogos!$A$13:$I$16,8,FALSE)</f>
        <v>4</v>
      </c>
      <c r="T16" s="87">
        <f>VLOOKUP($L16,Jogos!$A$13:$I$16,9,FALSE)</f>
        <v>0</v>
      </c>
      <c r="U16" s="16"/>
    </row>
    <row r="17" spans="1:21" ht="13.9" customHeight="1" x14ac:dyDescent="0.25">
      <c r="A17" s="73">
        <v>45831</v>
      </c>
      <c r="B17" s="74" t="s">
        <v>20</v>
      </c>
      <c r="C17" s="62" t="s">
        <v>25</v>
      </c>
      <c r="D17" s="34"/>
      <c r="E17" s="32">
        <v>2</v>
      </c>
      <c r="F17" s="75" t="s">
        <v>5</v>
      </c>
      <c r="G17" s="33">
        <v>1</v>
      </c>
      <c r="H17" s="32"/>
      <c r="I17" s="62" t="s">
        <v>28</v>
      </c>
      <c r="K17" s="3"/>
      <c r="L17" s="81" t="str">
        <f>Jogos!AN16</f>
        <v>Seattle Sounders</v>
      </c>
      <c r="M17" s="87">
        <f>VLOOKUP($L17,Jogos!$A$13:$I$16,2,FALSE)</f>
        <v>0</v>
      </c>
      <c r="N17" s="87">
        <f>VLOOKUP($L17,Jogos!$A$13:$I$16,3,FALSE)</f>
        <v>3</v>
      </c>
      <c r="O17" s="87">
        <f>VLOOKUP($L17,Jogos!$A$13:$I$16,4,FALSE)</f>
        <v>0</v>
      </c>
      <c r="P17" s="87">
        <f>VLOOKUP($L17,Jogos!$A$13:$I$16,5,FALSE)</f>
        <v>0</v>
      </c>
      <c r="Q17" s="87">
        <f>VLOOKUP($L17,Jogos!$A$13:$I$16,6,FALSE)</f>
        <v>3</v>
      </c>
      <c r="R17" s="87">
        <f>VLOOKUP($L17,Jogos!$A$13:$I$16,7,FALSE)</f>
        <v>0</v>
      </c>
      <c r="S17" s="87">
        <f>VLOOKUP($L17,Jogos!$A$13:$I$16,8,FALSE)</f>
        <v>7</v>
      </c>
      <c r="T17" s="87">
        <f>VLOOKUP($L17,Jogos!$A$13:$I$16,9,FALSE)</f>
        <v>-7</v>
      </c>
      <c r="U17" s="16"/>
    </row>
    <row r="18" spans="1:21" ht="13.9" customHeight="1" x14ac:dyDescent="0.25">
      <c r="A18" s="24"/>
      <c r="B18" s="25"/>
      <c r="C18" s="62"/>
      <c r="D18" s="38"/>
      <c r="E18" s="39"/>
      <c r="F18" s="76"/>
      <c r="G18" s="39"/>
      <c r="H18" s="39"/>
      <c r="I18" s="62"/>
      <c r="K18" s="4"/>
      <c r="L18" s="82"/>
      <c r="M18" s="36"/>
      <c r="N18" s="36"/>
      <c r="O18" s="36"/>
      <c r="P18" s="36"/>
      <c r="Q18" s="36"/>
      <c r="R18" s="36"/>
      <c r="S18" s="36"/>
      <c r="T18" s="36"/>
    </row>
    <row r="19" spans="1:21" ht="13.9" customHeight="1" x14ac:dyDescent="0.25">
      <c r="A19" s="129" t="s">
        <v>30</v>
      </c>
      <c r="B19" s="130"/>
      <c r="C19" s="130"/>
      <c r="D19" s="37"/>
      <c r="E19" s="126"/>
      <c r="F19" s="126"/>
      <c r="G19" s="126"/>
      <c r="H19" s="37"/>
      <c r="I19" s="72"/>
      <c r="K19" s="5"/>
      <c r="L19" s="83"/>
      <c r="M19" s="6"/>
      <c r="N19" s="6"/>
      <c r="O19" s="6"/>
      <c r="P19" s="6"/>
      <c r="Q19" s="37"/>
      <c r="R19" s="7"/>
      <c r="S19" s="7"/>
      <c r="T19" s="8"/>
      <c r="U19" s="16"/>
    </row>
    <row r="20" spans="1:21" ht="13.9" customHeight="1" x14ac:dyDescent="0.25">
      <c r="A20" s="73">
        <v>45823</v>
      </c>
      <c r="B20" s="74" t="s">
        <v>19</v>
      </c>
      <c r="C20" s="60" t="s">
        <v>31</v>
      </c>
      <c r="D20" s="21"/>
      <c r="E20" s="32">
        <v>3</v>
      </c>
      <c r="F20" s="75" t="s">
        <v>5</v>
      </c>
      <c r="G20" s="33">
        <v>0</v>
      </c>
      <c r="H20" s="32"/>
      <c r="I20" s="62" t="s">
        <v>32</v>
      </c>
      <c r="K20" s="2"/>
      <c r="L20" s="127" t="s">
        <v>33</v>
      </c>
      <c r="M20" s="127"/>
      <c r="N20" s="127"/>
      <c r="O20" s="127"/>
      <c r="P20" s="127"/>
      <c r="Q20" s="127"/>
      <c r="R20" s="127"/>
      <c r="S20" s="127"/>
      <c r="T20" s="128"/>
      <c r="U20" s="16"/>
    </row>
    <row r="21" spans="1:21" ht="13.9" customHeight="1" x14ac:dyDescent="0.25">
      <c r="A21" s="73">
        <v>45824</v>
      </c>
      <c r="B21" s="74" t="s">
        <v>8</v>
      </c>
      <c r="C21" s="60" t="s">
        <v>34</v>
      </c>
      <c r="D21" s="34"/>
      <c r="E21" s="32">
        <v>1</v>
      </c>
      <c r="F21" s="75" t="s">
        <v>5</v>
      </c>
      <c r="G21" s="33">
        <v>2</v>
      </c>
      <c r="H21" s="32"/>
      <c r="I21" s="62" t="s">
        <v>35</v>
      </c>
      <c r="K21" s="115"/>
      <c r="L21" s="80"/>
      <c r="M21" s="88" t="s">
        <v>11</v>
      </c>
      <c r="N21" s="88" t="s">
        <v>12</v>
      </c>
      <c r="O21" s="88" t="s">
        <v>13</v>
      </c>
      <c r="P21" s="88" t="s">
        <v>14</v>
      </c>
      <c r="Q21" s="88" t="s">
        <v>15</v>
      </c>
      <c r="R21" s="88" t="s">
        <v>16</v>
      </c>
      <c r="S21" s="88" t="s">
        <v>17</v>
      </c>
      <c r="T21" s="89" t="s">
        <v>18</v>
      </c>
      <c r="U21" s="16"/>
    </row>
    <row r="22" spans="1:21" ht="13.9" customHeight="1" x14ac:dyDescent="0.25">
      <c r="A22" s="73">
        <v>45828</v>
      </c>
      <c r="B22" s="74" t="s">
        <v>19</v>
      </c>
      <c r="C22" s="62" t="s">
        <v>35</v>
      </c>
      <c r="D22" s="21"/>
      <c r="E22" s="32">
        <v>2</v>
      </c>
      <c r="F22" s="75" t="s">
        <v>5</v>
      </c>
      <c r="G22" s="33">
        <v>0</v>
      </c>
      <c r="H22" s="35"/>
      <c r="I22" s="62" t="s">
        <v>32</v>
      </c>
      <c r="K22" s="115"/>
      <c r="L22" s="81" t="str">
        <f>Jogos!AN21</f>
        <v>Bayern de Munique</v>
      </c>
      <c r="M22" s="87">
        <f>VLOOKUP($L22,Jogos!$A$21:$I$24,2,FALSE)</f>
        <v>9</v>
      </c>
      <c r="N22" s="87">
        <f>VLOOKUP($L22,Jogos!$A$21:$I$24,3,FALSE)</f>
        <v>3</v>
      </c>
      <c r="O22" s="87">
        <f>VLOOKUP($L22,Jogos!$A$21:$I$24,4,FALSE)</f>
        <v>3</v>
      </c>
      <c r="P22" s="87">
        <f>VLOOKUP($L22,Jogos!$A$21:$I$24,5,FALSE)</f>
        <v>0</v>
      </c>
      <c r="Q22" s="87">
        <f>VLOOKUP($L22,Jogos!$A$21:$I$24,6,FALSE)</f>
        <v>0</v>
      </c>
      <c r="R22" s="87">
        <f>VLOOKUP($L22,Jogos!$A$21:$I$24,7,FALSE)</f>
        <v>7</v>
      </c>
      <c r="S22" s="87">
        <f>VLOOKUP($L22,Jogos!$A$21:$I$24,8,FALSE)</f>
        <v>2</v>
      </c>
      <c r="T22" s="87">
        <f>VLOOKUP($L22,Jogos!$A$21:$I$24,9,FALSE)</f>
        <v>5</v>
      </c>
      <c r="U22" s="16"/>
    </row>
    <row r="23" spans="1:21" ht="13.9" customHeight="1" x14ac:dyDescent="0.25">
      <c r="A23" s="73">
        <v>45828</v>
      </c>
      <c r="B23" s="74" t="s">
        <v>21</v>
      </c>
      <c r="C23" s="60" t="s">
        <v>31</v>
      </c>
      <c r="D23" s="34"/>
      <c r="E23" s="32">
        <v>2</v>
      </c>
      <c r="F23" s="75" t="s">
        <v>5</v>
      </c>
      <c r="G23" s="33">
        <v>1</v>
      </c>
      <c r="H23" s="32"/>
      <c r="I23" s="62" t="s">
        <v>34</v>
      </c>
      <c r="K23" s="115"/>
      <c r="L23" s="81" t="str">
        <f>Jogos!AN22</f>
        <v>Benfica</v>
      </c>
      <c r="M23" s="87">
        <f>VLOOKUP($L23,Jogos!$A$21:$I$24,2,FALSE)</f>
        <v>6</v>
      </c>
      <c r="N23" s="87">
        <f>VLOOKUP($L23,Jogos!$A$21:$I$24,3,FALSE)</f>
        <v>3</v>
      </c>
      <c r="O23" s="87">
        <f>VLOOKUP($L23,Jogos!$A$21:$I$24,4,FALSE)</f>
        <v>2</v>
      </c>
      <c r="P23" s="87">
        <f>VLOOKUP($L23,Jogos!$A$21:$I$24,5,FALSE)</f>
        <v>0</v>
      </c>
      <c r="Q23" s="87">
        <f>VLOOKUP($L23,Jogos!$A$21:$I$24,6,FALSE)</f>
        <v>1</v>
      </c>
      <c r="R23" s="87">
        <f>VLOOKUP($L23,Jogos!$A$21:$I$24,7,FALSE)</f>
        <v>5</v>
      </c>
      <c r="S23" s="87">
        <f>VLOOKUP($L23,Jogos!$A$21:$I$24,8,FALSE)</f>
        <v>3</v>
      </c>
      <c r="T23" s="87">
        <f>VLOOKUP($L23,Jogos!$A$21:$I$24,9,FALSE)</f>
        <v>2</v>
      </c>
      <c r="U23" s="16"/>
    </row>
    <row r="24" spans="1:21" ht="13.9" customHeight="1" x14ac:dyDescent="0.25">
      <c r="A24" s="73">
        <v>45832</v>
      </c>
      <c r="B24" s="74" t="s">
        <v>20</v>
      </c>
      <c r="C24" s="62" t="s">
        <v>35</v>
      </c>
      <c r="D24" s="34"/>
      <c r="E24" s="32">
        <v>1</v>
      </c>
      <c r="F24" s="75" t="s">
        <v>5</v>
      </c>
      <c r="G24" s="33">
        <v>2</v>
      </c>
      <c r="H24" s="32"/>
      <c r="I24" s="62" t="s">
        <v>31</v>
      </c>
      <c r="K24" s="115"/>
      <c r="L24" s="81" t="str">
        <f>Jogos!AN23</f>
        <v>Boca Juniors</v>
      </c>
      <c r="M24" s="87">
        <f>VLOOKUP($L24,Jogos!$A$21:$I$24,2,FALSE)</f>
        <v>3</v>
      </c>
      <c r="N24" s="87">
        <f>VLOOKUP($L24,Jogos!$A$21:$I$24,3,FALSE)</f>
        <v>3</v>
      </c>
      <c r="O24" s="87">
        <f>VLOOKUP($L24,Jogos!$A$21:$I$24,4,FALSE)</f>
        <v>1</v>
      </c>
      <c r="P24" s="87">
        <f>VLOOKUP($L24,Jogos!$A$21:$I$24,5,FALSE)</f>
        <v>0</v>
      </c>
      <c r="Q24" s="87">
        <f>VLOOKUP($L24,Jogos!$A$21:$I$24,6,FALSE)</f>
        <v>2</v>
      </c>
      <c r="R24" s="87">
        <f>VLOOKUP($L24,Jogos!$A$21:$I$24,7,FALSE)</f>
        <v>5</v>
      </c>
      <c r="S24" s="87">
        <f>VLOOKUP($L24,Jogos!$A$21:$I$24,8,FALSE)</f>
        <v>4</v>
      </c>
      <c r="T24" s="87">
        <f>VLOOKUP($L24,Jogos!$A$21:$I$24,9,FALSE)</f>
        <v>1</v>
      </c>
      <c r="U24" s="16"/>
    </row>
    <row r="25" spans="1:21" ht="13.9" customHeight="1" x14ac:dyDescent="0.25">
      <c r="A25" s="73">
        <v>45832</v>
      </c>
      <c r="B25" s="74" t="s">
        <v>20</v>
      </c>
      <c r="C25" s="62" t="s">
        <v>32</v>
      </c>
      <c r="D25" s="34"/>
      <c r="E25" s="32">
        <v>0</v>
      </c>
      <c r="F25" s="75" t="s">
        <v>5</v>
      </c>
      <c r="G25" s="33">
        <v>3</v>
      </c>
      <c r="H25" s="32"/>
      <c r="I25" s="62" t="s">
        <v>34</v>
      </c>
      <c r="K25" s="3"/>
      <c r="L25" s="81" t="str">
        <f>Jogos!AN24</f>
        <v>Auckland City</v>
      </c>
      <c r="M25" s="87">
        <f>VLOOKUP($L25,Jogos!$A$21:$I$24,2,FALSE)</f>
        <v>0</v>
      </c>
      <c r="N25" s="87">
        <f>VLOOKUP($L25,Jogos!$A$21:$I$24,3,FALSE)</f>
        <v>3</v>
      </c>
      <c r="O25" s="87">
        <f>VLOOKUP($L25,Jogos!$A$21:$I$24,4,FALSE)</f>
        <v>0</v>
      </c>
      <c r="P25" s="87">
        <f>VLOOKUP($L25,Jogos!$A$21:$I$24,5,FALSE)</f>
        <v>0</v>
      </c>
      <c r="Q25" s="87">
        <f>VLOOKUP($L25,Jogos!$A$21:$I$24,6,FALSE)</f>
        <v>3</v>
      </c>
      <c r="R25" s="87">
        <f>VLOOKUP($L25,Jogos!$A$21:$I$24,7,FALSE)</f>
        <v>0</v>
      </c>
      <c r="S25" s="87">
        <f>VLOOKUP($L25,Jogos!$A$21:$I$24,8,FALSE)</f>
        <v>8</v>
      </c>
      <c r="T25" s="87">
        <f>VLOOKUP($L25,Jogos!$A$21:$I$24,9,FALSE)</f>
        <v>-8</v>
      </c>
      <c r="U25" s="16"/>
    </row>
    <row r="26" spans="1:21" ht="13.9" customHeight="1" x14ac:dyDescent="0.25">
      <c r="A26" s="24"/>
      <c r="B26" s="25"/>
      <c r="C26" s="62"/>
      <c r="D26" s="38"/>
      <c r="E26" s="39"/>
      <c r="F26" s="76"/>
      <c r="G26" s="39"/>
      <c r="H26" s="39"/>
      <c r="I26" s="69"/>
      <c r="K26" s="4"/>
      <c r="L26" s="82"/>
      <c r="M26" s="36"/>
      <c r="N26" s="36"/>
      <c r="O26" s="36"/>
      <c r="P26" s="36"/>
      <c r="Q26" s="36"/>
      <c r="R26" s="36"/>
      <c r="S26" s="36"/>
      <c r="T26" s="36"/>
    </row>
    <row r="27" spans="1:21" ht="13.9" customHeight="1" x14ac:dyDescent="0.25">
      <c r="A27" s="129" t="s">
        <v>36</v>
      </c>
      <c r="B27" s="130"/>
      <c r="C27" s="130"/>
      <c r="D27" s="37"/>
      <c r="E27" s="126"/>
      <c r="F27" s="126"/>
      <c r="G27" s="126"/>
      <c r="H27" s="37"/>
      <c r="I27" s="72"/>
      <c r="K27" s="5"/>
      <c r="L27" s="83"/>
      <c r="M27" s="6"/>
      <c r="N27" s="6"/>
      <c r="O27" s="6"/>
      <c r="P27" s="6"/>
      <c r="Q27" s="37"/>
      <c r="R27" s="7"/>
      <c r="S27" s="7"/>
      <c r="T27" s="8"/>
      <c r="U27" s="16"/>
    </row>
    <row r="28" spans="1:21" ht="13.9" customHeight="1" x14ac:dyDescent="0.25">
      <c r="A28" s="73">
        <v>45824</v>
      </c>
      <c r="B28" s="74" t="s">
        <v>20</v>
      </c>
      <c r="C28" s="60" t="s">
        <v>37</v>
      </c>
      <c r="D28" s="21"/>
      <c r="E28" s="32">
        <v>2</v>
      </c>
      <c r="F28" s="75" t="s">
        <v>5</v>
      </c>
      <c r="G28" s="33">
        <v>0</v>
      </c>
      <c r="H28" s="32"/>
      <c r="I28" s="62" t="s">
        <v>38</v>
      </c>
      <c r="K28" s="2"/>
      <c r="L28" s="149" t="s">
        <v>39</v>
      </c>
      <c r="M28" s="149"/>
      <c r="N28" s="149"/>
      <c r="O28" s="149"/>
      <c r="P28" s="149"/>
      <c r="Q28" s="149"/>
      <c r="R28" s="149"/>
      <c r="S28" s="149"/>
      <c r="T28" s="150"/>
      <c r="U28" s="16"/>
    </row>
    <row r="29" spans="1:21" ht="13.9" customHeight="1" x14ac:dyDescent="0.25">
      <c r="A29" s="73">
        <v>45824</v>
      </c>
      <c r="B29" s="74" t="s">
        <v>21</v>
      </c>
      <c r="C29" s="60" t="s">
        <v>40</v>
      </c>
      <c r="D29" s="34"/>
      <c r="E29" s="32">
        <v>3</v>
      </c>
      <c r="F29" s="75" t="s">
        <v>5</v>
      </c>
      <c r="G29" s="33">
        <v>1</v>
      </c>
      <c r="H29" s="32"/>
      <c r="I29" s="62" t="s">
        <v>41</v>
      </c>
      <c r="K29" s="115"/>
      <c r="L29" s="80"/>
      <c r="M29" s="88" t="s">
        <v>11</v>
      </c>
      <c r="N29" s="88" t="s">
        <v>12</v>
      </c>
      <c r="O29" s="88" t="s">
        <v>13</v>
      </c>
      <c r="P29" s="88" t="s">
        <v>14</v>
      </c>
      <c r="Q29" s="88" t="s">
        <v>15</v>
      </c>
      <c r="R29" s="88" t="s">
        <v>16</v>
      </c>
      <c r="S29" s="88" t="s">
        <v>17</v>
      </c>
      <c r="T29" s="89" t="s">
        <v>18</v>
      </c>
      <c r="U29" s="16"/>
    </row>
    <row r="30" spans="1:21" ht="13.9" customHeight="1" x14ac:dyDescent="0.25">
      <c r="A30" s="73">
        <v>45828</v>
      </c>
      <c r="B30" s="74" t="s">
        <v>42</v>
      </c>
      <c r="C30" s="60" t="s">
        <v>40</v>
      </c>
      <c r="D30" s="21"/>
      <c r="E30" s="32">
        <v>1</v>
      </c>
      <c r="F30" s="75" t="s">
        <v>5</v>
      </c>
      <c r="G30" s="33">
        <v>2</v>
      </c>
      <c r="H30" s="35"/>
      <c r="I30" s="62" t="s">
        <v>37</v>
      </c>
      <c r="K30" s="115"/>
      <c r="L30" s="81" t="str">
        <f>Jogos!AN29</f>
        <v>Chelsea</v>
      </c>
      <c r="M30" s="87">
        <f>VLOOKUP($L30,Jogos!$A$29:$I$32,2,FALSE)</f>
        <v>9</v>
      </c>
      <c r="N30" s="87">
        <f>VLOOKUP($L30,Jogos!$A$29:$I$32,3,FALSE)</f>
        <v>3</v>
      </c>
      <c r="O30" s="87">
        <f>VLOOKUP($L30,Jogos!$A$29:$I$32,4,FALSE)</f>
        <v>3</v>
      </c>
      <c r="P30" s="87">
        <f>VLOOKUP($L30,Jogos!$A$29:$I$32,5,FALSE)</f>
        <v>0</v>
      </c>
      <c r="Q30" s="87">
        <f>VLOOKUP($L30,Jogos!$A$29:$I$32,6,FALSE)</f>
        <v>0</v>
      </c>
      <c r="R30" s="87">
        <f>VLOOKUP($L30,Jogos!$A$29:$I$32,7,FALSE)</f>
        <v>7</v>
      </c>
      <c r="S30" s="87">
        <f>VLOOKUP($L30,Jogos!$A$29:$I$32,8,FALSE)</f>
        <v>1</v>
      </c>
      <c r="T30" s="87">
        <f>VLOOKUP($L30,Jogos!$A$29:$I$32,9,FALSE)</f>
        <v>6</v>
      </c>
      <c r="U30" s="16"/>
    </row>
    <row r="31" spans="1:21" ht="13.9" customHeight="1" x14ac:dyDescent="0.25">
      <c r="A31" s="73">
        <v>45828</v>
      </c>
      <c r="B31" s="74" t="s">
        <v>8</v>
      </c>
      <c r="C31" s="60" t="s">
        <v>38</v>
      </c>
      <c r="D31" s="34"/>
      <c r="E31" s="32">
        <v>2</v>
      </c>
      <c r="F31" s="75" t="s">
        <v>5</v>
      </c>
      <c r="G31" s="33">
        <v>1</v>
      </c>
      <c r="H31" s="32"/>
      <c r="I31" s="62" t="s">
        <v>41</v>
      </c>
      <c r="K31" s="115"/>
      <c r="L31" s="81" t="str">
        <f>Jogos!AN30</f>
        <v>Flamengo</v>
      </c>
      <c r="M31" s="87">
        <f>VLOOKUP($L31,Jogos!$A$29:$I$32,2,FALSE)</f>
        <v>6</v>
      </c>
      <c r="N31" s="87">
        <f>VLOOKUP($L31,Jogos!$A$29:$I$32,3,FALSE)</f>
        <v>3</v>
      </c>
      <c r="O31" s="87">
        <f>VLOOKUP($L31,Jogos!$A$29:$I$32,4,FALSE)</f>
        <v>2</v>
      </c>
      <c r="P31" s="87">
        <f>VLOOKUP($L31,Jogos!$A$29:$I$32,5,FALSE)</f>
        <v>0</v>
      </c>
      <c r="Q31" s="87">
        <f>VLOOKUP($L31,Jogos!$A$29:$I$32,6,FALSE)</f>
        <v>1</v>
      </c>
      <c r="R31" s="87">
        <f>VLOOKUP($L31,Jogos!$A$29:$I$32,7,FALSE)</f>
        <v>6</v>
      </c>
      <c r="S31" s="87">
        <f>VLOOKUP($L31,Jogos!$A$29:$I$32,8,FALSE)</f>
        <v>3</v>
      </c>
      <c r="T31" s="87">
        <f>VLOOKUP($L31,Jogos!$A$29:$I$32,9,FALSE)</f>
        <v>3</v>
      </c>
      <c r="U31" s="16"/>
    </row>
    <row r="32" spans="1:21" ht="13.9" customHeight="1" x14ac:dyDescent="0.25">
      <c r="A32" s="73">
        <v>45832</v>
      </c>
      <c r="B32" s="74" t="s">
        <v>21</v>
      </c>
      <c r="C32" s="60" t="s">
        <v>38</v>
      </c>
      <c r="D32" s="34"/>
      <c r="E32" s="32">
        <v>0</v>
      </c>
      <c r="F32" s="75" t="s">
        <v>5</v>
      </c>
      <c r="G32" s="33">
        <v>2</v>
      </c>
      <c r="H32" s="32"/>
      <c r="I32" s="62" t="s">
        <v>40</v>
      </c>
      <c r="K32" s="115"/>
      <c r="L32" s="81" t="str">
        <f>Jogos!AN31</f>
        <v>Los Angeles FC</v>
      </c>
      <c r="M32" s="87">
        <f>VLOOKUP($L32,Jogos!$A$29:$I$32,2,FALSE)</f>
        <v>3</v>
      </c>
      <c r="N32" s="87">
        <f>VLOOKUP($L32,Jogos!$A$29:$I$32,3,FALSE)</f>
        <v>3</v>
      </c>
      <c r="O32" s="87">
        <f>VLOOKUP($L32,Jogos!$A$29:$I$32,4,FALSE)</f>
        <v>1</v>
      </c>
      <c r="P32" s="87">
        <f>VLOOKUP($L32,Jogos!$A$29:$I$32,5,FALSE)</f>
        <v>0</v>
      </c>
      <c r="Q32" s="87">
        <f>VLOOKUP($L32,Jogos!$A$29:$I$32,6,FALSE)</f>
        <v>2</v>
      </c>
      <c r="R32" s="87">
        <f>VLOOKUP($L32,Jogos!$A$29:$I$32,7,FALSE)</f>
        <v>2</v>
      </c>
      <c r="S32" s="87">
        <f>VLOOKUP($L32,Jogos!$A$29:$I$32,8,FALSE)</f>
        <v>5</v>
      </c>
      <c r="T32" s="87">
        <f>VLOOKUP($L32,Jogos!$A$29:$I$32,9,FALSE)</f>
        <v>-3</v>
      </c>
      <c r="U32" s="16"/>
    </row>
    <row r="33" spans="1:21" ht="13.9" customHeight="1" x14ac:dyDescent="0.25">
      <c r="A33" s="73">
        <v>45832</v>
      </c>
      <c r="B33" s="74" t="s">
        <v>21</v>
      </c>
      <c r="C33" s="60" t="s">
        <v>41</v>
      </c>
      <c r="D33" s="34"/>
      <c r="E33" s="32">
        <v>0</v>
      </c>
      <c r="F33" s="75" t="s">
        <v>5</v>
      </c>
      <c r="G33" s="33">
        <v>3</v>
      </c>
      <c r="H33" s="32"/>
      <c r="I33" s="62" t="s">
        <v>37</v>
      </c>
      <c r="K33" s="3"/>
      <c r="L33" s="81" t="str">
        <f>Jogos!AN32</f>
        <v>Espérance</v>
      </c>
      <c r="M33" s="87">
        <f>VLOOKUP($L33,Jogos!$A$29:$I$32,2,FALSE)</f>
        <v>0</v>
      </c>
      <c r="N33" s="87">
        <f>VLOOKUP($L33,Jogos!$A$29:$I$32,3,FALSE)</f>
        <v>3</v>
      </c>
      <c r="O33" s="87">
        <f>VLOOKUP($L33,Jogos!$A$29:$I$32,4,FALSE)</f>
        <v>0</v>
      </c>
      <c r="P33" s="87">
        <f>VLOOKUP($L33,Jogos!$A$29:$I$32,5,FALSE)</f>
        <v>0</v>
      </c>
      <c r="Q33" s="87">
        <f>VLOOKUP($L33,Jogos!$A$29:$I$32,6,FALSE)</f>
        <v>3</v>
      </c>
      <c r="R33" s="87">
        <f>VLOOKUP($L33,Jogos!$A$29:$I$32,7,FALSE)</f>
        <v>2</v>
      </c>
      <c r="S33" s="87">
        <f>VLOOKUP($L33,Jogos!$A$29:$I$32,8,FALSE)</f>
        <v>8</v>
      </c>
      <c r="T33" s="87">
        <f>VLOOKUP($L33,Jogos!$A$29:$I$32,9,FALSE)</f>
        <v>-6</v>
      </c>
      <c r="U33" s="16"/>
    </row>
    <row r="34" spans="1:21" ht="13.9" customHeight="1" x14ac:dyDescent="0.25">
      <c r="A34" s="41"/>
      <c r="B34" s="25"/>
      <c r="C34" s="62"/>
      <c r="D34" s="38"/>
      <c r="E34" s="39"/>
      <c r="F34" s="76"/>
      <c r="G34" s="39"/>
      <c r="H34" s="39"/>
      <c r="I34" s="62"/>
      <c r="K34" s="4"/>
      <c r="L34" s="82"/>
      <c r="M34" s="36"/>
      <c r="N34" s="36"/>
      <c r="O34" s="36"/>
      <c r="P34" s="36"/>
      <c r="Q34" s="36"/>
      <c r="R34" s="36"/>
      <c r="S34" s="36"/>
      <c r="T34" s="36"/>
    </row>
    <row r="35" spans="1:21" ht="13.9" customHeight="1" x14ac:dyDescent="0.25">
      <c r="A35" s="129" t="s">
        <v>43</v>
      </c>
      <c r="B35" s="130"/>
      <c r="C35" s="130"/>
      <c r="D35" s="37"/>
      <c r="E35" s="126"/>
      <c r="F35" s="126"/>
      <c r="G35" s="126"/>
      <c r="H35" s="37"/>
      <c r="I35" s="72"/>
      <c r="K35" s="5"/>
      <c r="L35" s="83"/>
      <c r="M35" s="6"/>
      <c r="N35" s="6"/>
      <c r="O35" s="6"/>
      <c r="P35" s="6"/>
      <c r="Q35" s="37"/>
      <c r="R35" s="7"/>
      <c r="S35" s="7"/>
      <c r="T35" s="8"/>
      <c r="U35" s="16"/>
    </row>
    <row r="36" spans="1:21" ht="13.9" customHeight="1" x14ac:dyDescent="0.25">
      <c r="A36" s="73">
        <v>45825</v>
      </c>
      <c r="B36" s="74" t="s">
        <v>20</v>
      </c>
      <c r="C36" s="60" t="s">
        <v>44</v>
      </c>
      <c r="D36" s="21"/>
      <c r="E36" s="32">
        <v>2</v>
      </c>
      <c r="F36" s="75" t="s">
        <v>5</v>
      </c>
      <c r="G36" s="33">
        <v>0</v>
      </c>
      <c r="H36" s="32"/>
      <c r="I36" s="62" t="s">
        <v>45</v>
      </c>
      <c r="K36" s="2"/>
      <c r="L36" s="127" t="s">
        <v>46</v>
      </c>
      <c r="M36" s="127"/>
      <c r="N36" s="127"/>
      <c r="O36" s="127"/>
      <c r="P36" s="127"/>
      <c r="Q36" s="127"/>
      <c r="R36" s="127"/>
      <c r="S36" s="127"/>
      <c r="T36" s="128"/>
      <c r="U36" s="16"/>
    </row>
    <row r="37" spans="1:21" ht="13.9" customHeight="1" x14ac:dyDescent="0.25">
      <c r="A37" s="73">
        <v>45825</v>
      </c>
      <c r="B37" s="74" t="s">
        <v>21</v>
      </c>
      <c r="C37" s="60" t="s">
        <v>47</v>
      </c>
      <c r="D37" s="34"/>
      <c r="E37" s="32">
        <v>0</v>
      </c>
      <c r="F37" s="75" t="s">
        <v>5</v>
      </c>
      <c r="G37" s="33">
        <v>2</v>
      </c>
      <c r="H37" s="32"/>
      <c r="I37" s="62" t="s">
        <v>48</v>
      </c>
      <c r="K37" s="115"/>
      <c r="L37" s="80"/>
      <c r="M37" s="88" t="s">
        <v>11</v>
      </c>
      <c r="N37" s="88" t="s">
        <v>12</v>
      </c>
      <c r="O37" s="88" t="s">
        <v>13</v>
      </c>
      <c r="P37" s="88" t="s">
        <v>14</v>
      </c>
      <c r="Q37" s="88" t="s">
        <v>15</v>
      </c>
      <c r="R37" s="88" t="s">
        <v>16</v>
      </c>
      <c r="S37" s="88" t="s">
        <v>17</v>
      </c>
      <c r="T37" s="89" t="s">
        <v>18</v>
      </c>
      <c r="U37" s="16"/>
    </row>
    <row r="38" spans="1:21" ht="13.9" customHeight="1" x14ac:dyDescent="0.25">
      <c r="A38" s="73">
        <v>45829</v>
      </c>
      <c r="B38" s="91" t="s">
        <v>20</v>
      </c>
      <c r="C38" s="62" t="s">
        <v>48</v>
      </c>
      <c r="D38" s="21"/>
      <c r="E38" s="32">
        <v>3</v>
      </c>
      <c r="F38" s="75" t="s">
        <v>5</v>
      </c>
      <c r="G38" s="33">
        <v>0</v>
      </c>
      <c r="H38" s="35"/>
      <c r="I38" s="62" t="s">
        <v>45</v>
      </c>
      <c r="K38" s="115"/>
      <c r="L38" s="81" t="str">
        <f>Jogos!AN37</f>
        <v>Internazionale</v>
      </c>
      <c r="M38" s="87">
        <f>VLOOKUP($L38,Jogos!$A$37:$I$40,2,FALSE)</f>
        <v>9</v>
      </c>
      <c r="N38" s="87">
        <f>VLOOKUP($L38,Jogos!$A$37:$I$40,3,FALSE)</f>
        <v>3</v>
      </c>
      <c r="O38" s="87">
        <f>VLOOKUP($L38,Jogos!$A$37:$I$40,4,FALSE)</f>
        <v>3</v>
      </c>
      <c r="P38" s="87">
        <f>VLOOKUP($L38,Jogos!$A$37:$I$40,5,FALSE)</f>
        <v>0</v>
      </c>
      <c r="Q38" s="87">
        <f>VLOOKUP($L38,Jogos!$A$37:$I$40,6,FALSE)</f>
        <v>0</v>
      </c>
      <c r="R38" s="87">
        <f>VLOOKUP($L38,Jogos!$A$37:$I$40,7,FALSE)</f>
        <v>7</v>
      </c>
      <c r="S38" s="87">
        <f>VLOOKUP($L38,Jogos!$A$37:$I$40,8,FALSE)</f>
        <v>1</v>
      </c>
      <c r="T38" s="87">
        <f>VLOOKUP($L38,Jogos!$A$37:$I$40,9,FALSE)</f>
        <v>6</v>
      </c>
      <c r="U38" s="16"/>
    </row>
    <row r="39" spans="1:21" ht="13.9" customHeight="1" x14ac:dyDescent="0.25">
      <c r="A39" s="73">
        <v>45829</v>
      </c>
      <c r="B39" s="74" t="s">
        <v>21</v>
      </c>
      <c r="C39" s="60" t="s">
        <v>44</v>
      </c>
      <c r="D39" s="34"/>
      <c r="E39" s="32">
        <v>2</v>
      </c>
      <c r="F39" s="75" t="s">
        <v>5</v>
      </c>
      <c r="G39" s="33">
        <v>1</v>
      </c>
      <c r="H39" s="32"/>
      <c r="I39" s="62" t="s">
        <v>47</v>
      </c>
      <c r="K39" s="115"/>
      <c r="L39" s="81" t="str">
        <f>Jogos!AN38</f>
        <v>River Plate</v>
      </c>
      <c r="M39" s="87">
        <f>VLOOKUP($L39,Jogos!$A$37:$I$40,2,FALSE)</f>
        <v>6</v>
      </c>
      <c r="N39" s="87">
        <f>VLOOKUP($L39,Jogos!$A$37:$I$40,3,FALSE)</f>
        <v>3</v>
      </c>
      <c r="O39" s="87">
        <f>VLOOKUP($L39,Jogos!$A$37:$I$40,4,FALSE)</f>
        <v>2</v>
      </c>
      <c r="P39" s="87">
        <f>VLOOKUP($L39,Jogos!$A$37:$I$40,5,FALSE)</f>
        <v>0</v>
      </c>
      <c r="Q39" s="87">
        <f>VLOOKUP($L39,Jogos!$A$37:$I$40,6,FALSE)</f>
        <v>1</v>
      </c>
      <c r="R39" s="87">
        <f>VLOOKUP($L39,Jogos!$A$37:$I$40,7,FALSE)</f>
        <v>5</v>
      </c>
      <c r="S39" s="87">
        <f>VLOOKUP($L39,Jogos!$A$37:$I$40,8,FALSE)</f>
        <v>3</v>
      </c>
      <c r="T39" s="87">
        <f>VLOOKUP($L39,Jogos!$A$37:$I$40,9,FALSE)</f>
        <v>2</v>
      </c>
      <c r="U39" s="16"/>
    </row>
    <row r="40" spans="1:21" ht="13.9" customHeight="1" x14ac:dyDescent="0.25">
      <c r="A40" s="73">
        <v>45833</v>
      </c>
      <c r="B40" s="74" t="s">
        <v>21</v>
      </c>
      <c r="C40" s="60" t="s">
        <v>48</v>
      </c>
      <c r="D40" s="34"/>
      <c r="E40" s="32">
        <v>2</v>
      </c>
      <c r="F40" s="75" t="s">
        <v>5</v>
      </c>
      <c r="G40" s="33">
        <v>1</v>
      </c>
      <c r="H40" s="32"/>
      <c r="I40" s="62" t="s">
        <v>44</v>
      </c>
      <c r="K40" s="115"/>
      <c r="L40" s="81" t="str">
        <f>Jogos!AN39</f>
        <v>Monterrey</v>
      </c>
      <c r="M40" s="87">
        <f>VLOOKUP($L40,Jogos!$A$37:$I$40,2,FALSE)</f>
        <v>1</v>
      </c>
      <c r="N40" s="87">
        <f>VLOOKUP($L40,Jogos!$A$37:$I$40,3,FALSE)</f>
        <v>3</v>
      </c>
      <c r="O40" s="87">
        <f>VLOOKUP($L40,Jogos!$A$37:$I$40,4,FALSE)</f>
        <v>0</v>
      </c>
      <c r="P40" s="87">
        <f>VLOOKUP($L40,Jogos!$A$37:$I$40,5,FALSE)</f>
        <v>1</v>
      </c>
      <c r="Q40" s="87">
        <f>VLOOKUP($L40,Jogos!$A$37:$I$40,6,FALSE)</f>
        <v>2</v>
      </c>
      <c r="R40" s="87">
        <f>VLOOKUP($L40,Jogos!$A$37:$I$40,7,FALSE)</f>
        <v>2</v>
      </c>
      <c r="S40" s="87">
        <f>VLOOKUP($L40,Jogos!$A$37:$I$40,8,FALSE)</f>
        <v>5</v>
      </c>
      <c r="T40" s="87">
        <f>VLOOKUP($L40,Jogos!$A$37:$I$40,9,FALSE)</f>
        <v>-3</v>
      </c>
      <c r="U40" s="16"/>
    </row>
    <row r="41" spans="1:21" ht="13.9" customHeight="1" x14ac:dyDescent="0.25">
      <c r="A41" s="73">
        <v>45833</v>
      </c>
      <c r="B41" s="74" t="s">
        <v>21</v>
      </c>
      <c r="C41" s="60" t="s">
        <v>45</v>
      </c>
      <c r="D41" s="34"/>
      <c r="E41" s="32">
        <v>1</v>
      </c>
      <c r="F41" s="75" t="s">
        <v>5</v>
      </c>
      <c r="G41" s="33">
        <v>1</v>
      </c>
      <c r="H41" s="32"/>
      <c r="I41" s="62" t="s">
        <v>47</v>
      </c>
      <c r="K41" s="3"/>
      <c r="L41" s="81" t="str">
        <f>Jogos!AN40</f>
        <v>Urawa Reds</v>
      </c>
      <c r="M41" s="87">
        <f>VLOOKUP($L41,Jogos!$A$37:$I$40,2,FALSE)</f>
        <v>1</v>
      </c>
      <c r="N41" s="87">
        <f>VLOOKUP($L41,Jogos!$A$37:$I$40,3,FALSE)</f>
        <v>3</v>
      </c>
      <c r="O41" s="87">
        <f>VLOOKUP($L41,Jogos!$A$37:$I$40,4,FALSE)</f>
        <v>0</v>
      </c>
      <c r="P41" s="87">
        <f>VLOOKUP($L41,Jogos!$A$37:$I$40,5,FALSE)</f>
        <v>1</v>
      </c>
      <c r="Q41" s="87">
        <f>VLOOKUP($L41,Jogos!$A$37:$I$40,6,FALSE)</f>
        <v>2</v>
      </c>
      <c r="R41" s="87">
        <f>VLOOKUP($L41,Jogos!$A$37:$I$40,7,FALSE)</f>
        <v>1</v>
      </c>
      <c r="S41" s="87">
        <f>VLOOKUP($L41,Jogos!$A$37:$I$40,8,FALSE)</f>
        <v>6</v>
      </c>
      <c r="T41" s="87">
        <f>VLOOKUP($L41,Jogos!$A$37:$I$40,9,FALSE)</f>
        <v>-5</v>
      </c>
      <c r="U41" s="16"/>
    </row>
    <row r="42" spans="1:21" ht="13.9" customHeight="1" x14ac:dyDescent="0.25">
      <c r="A42" s="24"/>
      <c r="B42" s="25"/>
      <c r="C42" s="62"/>
      <c r="D42" s="38"/>
      <c r="E42" s="39"/>
      <c r="F42" s="76"/>
      <c r="G42" s="39"/>
      <c r="H42" s="39"/>
      <c r="I42" s="62"/>
      <c r="K42" s="4"/>
      <c r="L42" s="82"/>
      <c r="M42" s="36"/>
      <c r="N42" s="36"/>
      <c r="O42" s="36"/>
      <c r="P42" s="36"/>
      <c r="Q42" s="36"/>
      <c r="R42" s="36"/>
      <c r="S42" s="36"/>
      <c r="T42" s="36"/>
    </row>
    <row r="43" spans="1:21" ht="13.9" customHeight="1" x14ac:dyDescent="0.25">
      <c r="A43" s="129" t="s">
        <v>49</v>
      </c>
      <c r="B43" s="130"/>
      <c r="C43" s="130"/>
      <c r="D43" s="37"/>
      <c r="E43" s="126"/>
      <c r="F43" s="126"/>
      <c r="G43" s="126"/>
      <c r="H43" s="37"/>
      <c r="I43" s="72"/>
      <c r="K43" s="5"/>
      <c r="L43" s="83"/>
      <c r="M43" s="6"/>
      <c r="N43" s="6"/>
      <c r="O43" s="6"/>
      <c r="P43" s="6"/>
      <c r="Q43" s="37"/>
      <c r="R43" s="7"/>
      <c r="S43" s="7"/>
      <c r="T43" s="8"/>
      <c r="U43" s="16"/>
    </row>
    <row r="44" spans="1:21" ht="13.9" customHeight="1" x14ac:dyDescent="0.25">
      <c r="A44" s="73">
        <v>45825</v>
      </c>
      <c r="B44" s="74" t="s">
        <v>19</v>
      </c>
      <c r="C44" s="60" t="s">
        <v>50</v>
      </c>
      <c r="D44" s="21"/>
      <c r="E44" s="32">
        <v>1</v>
      </c>
      <c r="F44" s="75" t="s">
        <v>5</v>
      </c>
      <c r="G44" s="33">
        <v>2</v>
      </c>
      <c r="H44" s="32"/>
      <c r="I44" s="62" t="s">
        <v>51</v>
      </c>
      <c r="K44" s="2"/>
      <c r="L44" s="127" t="s">
        <v>52</v>
      </c>
      <c r="M44" s="127"/>
      <c r="N44" s="127"/>
      <c r="O44" s="127"/>
      <c r="P44" s="127"/>
      <c r="Q44" s="127"/>
      <c r="R44" s="127"/>
      <c r="S44" s="127"/>
      <c r="T44" s="128"/>
      <c r="U44" s="16"/>
    </row>
    <row r="45" spans="1:21" ht="13.9" customHeight="1" x14ac:dyDescent="0.25">
      <c r="A45" s="73">
        <v>45825</v>
      </c>
      <c r="B45" s="74" t="s">
        <v>8</v>
      </c>
      <c r="C45" s="60" t="s">
        <v>53</v>
      </c>
      <c r="D45" s="34"/>
      <c r="E45" s="32">
        <v>1</v>
      </c>
      <c r="F45" s="75" t="s">
        <v>5</v>
      </c>
      <c r="G45" s="33">
        <v>1</v>
      </c>
      <c r="H45" s="32"/>
      <c r="I45" s="62" t="s">
        <v>54</v>
      </c>
      <c r="K45" s="115"/>
      <c r="L45" s="80"/>
      <c r="M45" s="88" t="s">
        <v>11</v>
      </c>
      <c r="N45" s="88" t="s">
        <v>12</v>
      </c>
      <c r="O45" s="88" t="s">
        <v>13</v>
      </c>
      <c r="P45" s="88" t="s">
        <v>14</v>
      </c>
      <c r="Q45" s="88" t="s">
        <v>15</v>
      </c>
      <c r="R45" s="88" t="s">
        <v>16</v>
      </c>
      <c r="S45" s="88" t="s">
        <v>17</v>
      </c>
      <c r="T45" s="89" t="s">
        <v>18</v>
      </c>
      <c r="U45" s="16"/>
    </row>
    <row r="46" spans="1:21" ht="13.9" customHeight="1" x14ac:dyDescent="0.25">
      <c r="A46" s="73">
        <v>45829</v>
      </c>
      <c r="B46" s="74" t="s">
        <v>19</v>
      </c>
      <c r="C46" s="62" t="s">
        <v>54</v>
      </c>
      <c r="D46" s="21"/>
      <c r="E46" s="32">
        <v>0</v>
      </c>
      <c r="F46" s="75" t="s">
        <v>5</v>
      </c>
      <c r="G46" s="33">
        <v>2</v>
      </c>
      <c r="H46" s="35"/>
      <c r="I46" s="62" t="s">
        <v>51</v>
      </c>
      <c r="K46" s="115"/>
      <c r="L46" s="81" t="str">
        <f>Jogos!AN45</f>
        <v>Borussia Dortmund</v>
      </c>
      <c r="M46" s="87">
        <f>VLOOKUP($L46,Jogos!$A$45:$I$48,2,FALSE)</f>
        <v>9</v>
      </c>
      <c r="N46" s="87">
        <f>VLOOKUP($L46,Jogos!$A$45:$I$48,3,FALSE)</f>
        <v>3</v>
      </c>
      <c r="O46" s="87">
        <f>VLOOKUP($L46,Jogos!$A$45:$I$48,4,FALSE)</f>
        <v>3</v>
      </c>
      <c r="P46" s="87">
        <f>VLOOKUP($L46,Jogos!$A$45:$I$48,5,FALSE)</f>
        <v>0</v>
      </c>
      <c r="Q46" s="87">
        <f>VLOOKUP($L46,Jogos!$A$45:$I$48,6,FALSE)</f>
        <v>0</v>
      </c>
      <c r="R46" s="87">
        <f>VLOOKUP($L46,Jogos!$A$45:$I$48,7,FALSE)</f>
        <v>7</v>
      </c>
      <c r="S46" s="87">
        <f>VLOOKUP($L46,Jogos!$A$45:$I$48,8,FALSE)</f>
        <v>1</v>
      </c>
      <c r="T46" s="87">
        <f>VLOOKUP($L46,Jogos!$A$45:$I$48,9,FALSE)</f>
        <v>6</v>
      </c>
      <c r="U46" s="16"/>
    </row>
    <row r="47" spans="1:21" ht="13.9" customHeight="1" x14ac:dyDescent="0.25">
      <c r="A47" s="73">
        <v>45829</v>
      </c>
      <c r="B47" s="74" t="s">
        <v>8</v>
      </c>
      <c r="C47" s="60" t="s">
        <v>50</v>
      </c>
      <c r="D47" s="34"/>
      <c r="E47" s="32">
        <v>2</v>
      </c>
      <c r="F47" s="75" t="s">
        <v>5</v>
      </c>
      <c r="G47" s="33">
        <v>0</v>
      </c>
      <c r="H47" s="32"/>
      <c r="I47" s="62" t="s">
        <v>53</v>
      </c>
      <c r="K47" s="115"/>
      <c r="L47" s="81" t="str">
        <f>Jogos!AN46</f>
        <v>Fluminense</v>
      </c>
      <c r="M47" s="87">
        <f>VLOOKUP($L47,Jogos!$A$45:$I$48,2,FALSE)</f>
        <v>4</v>
      </c>
      <c r="N47" s="87">
        <f>VLOOKUP($L47,Jogos!$A$45:$I$48,3,FALSE)</f>
        <v>3</v>
      </c>
      <c r="O47" s="87">
        <f>VLOOKUP($L47,Jogos!$A$45:$I$48,4,FALSE)</f>
        <v>1</v>
      </c>
      <c r="P47" s="87">
        <f>VLOOKUP($L47,Jogos!$A$45:$I$48,5,FALSE)</f>
        <v>1</v>
      </c>
      <c r="Q47" s="87">
        <f>VLOOKUP($L47,Jogos!$A$45:$I$48,6,FALSE)</f>
        <v>1</v>
      </c>
      <c r="R47" s="87">
        <f>VLOOKUP($L47,Jogos!$A$45:$I$48,7,FALSE)</f>
        <v>4</v>
      </c>
      <c r="S47" s="87">
        <f>VLOOKUP($L47,Jogos!$A$45:$I$48,8,FALSE)</f>
        <v>3</v>
      </c>
      <c r="T47" s="87">
        <f>VLOOKUP($L47,Jogos!$A$45:$I$48,9,FALSE)</f>
        <v>1</v>
      </c>
      <c r="U47" s="16"/>
    </row>
    <row r="48" spans="1:21" ht="13.9" customHeight="1" x14ac:dyDescent="0.25">
      <c r="A48" s="73">
        <v>45833</v>
      </c>
      <c r="B48" s="74" t="s">
        <v>20</v>
      </c>
      <c r="C48" s="60" t="s">
        <v>54</v>
      </c>
      <c r="D48" s="34"/>
      <c r="E48" s="32">
        <v>1</v>
      </c>
      <c r="F48" s="75" t="s">
        <v>5</v>
      </c>
      <c r="G48" s="33">
        <v>1</v>
      </c>
      <c r="H48" s="32"/>
      <c r="I48" s="62" t="s">
        <v>50</v>
      </c>
      <c r="K48" s="115"/>
      <c r="L48" s="81" t="str">
        <f>Jogos!AN47</f>
        <v>Mamelodi Sundowns</v>
      </c>
      <c r="M48" s="87">
        <f>VLOOKUP($L48,Jogos!$A$45:$I$48,2,FALSE)</f>
        <v>2</v>
      </c>
      <c r="N48" s="87">
        <f>VLOOKUP($L48,Jogos!$A$45:$I$48,3,FALSE)</f>
        <v>3</v>
      </c>
      <c r="O48" s="87">
        <f>VLOOKUP($L48,Jogos!$A$45:$I$48,4,FALSE)</f>
        <v>0</v>
      </c>
      <c r="P48" s="87">
        <f>VLOOKUP($L48,Jogos!$A$45:$I$48,5,FALSE)</f>
        <v>2</v>
      </c>
      <c r="Q48" s="87">
        <f>VLOOKUP($L48,Jogos!$A$45:$I$48,6,FALSE)</f>
        <v>1</v>
      </c>
      <c r="R48" s="87">
        <f>VLOOKUP($L48,Jogos!$A$45:$I$48,7,FALSE)</f>
        <v>2</v>
      </c>
      <c r="S48" s="87">
        <f>VLOOKUP($L48,Jogos!$A$45:$I$48,8,FALSE)</f>
        <v>4</v>
      </c>
      <c r="T48" s="87">
        <f>VLOOKUP($L48,Jogos!$A$45:$I$48,9,FALSE)</f>
        <v>-2</v>
      </c>
      <c r="U48" s="16"/>
    </row>
    <row r="49" spans="1:21" ht="13.9" customHeight="1" x14ac:dyDescent="0.25">
      <c r="A49" s="73">
        <v>45833</v>
      </c>
      <c r="B49" s="74" t="s">
        <v>20</v>
      </c>
      <c r="C49" s="62" t="s">
        <v>51</v>
      </c>
      <c r="D49" s="34"/>
      <c r="E49" s="32">
        <v>3</v>
      </c>
      <c r="F49" s="75" t="s">
        <v>5</v>
      </c>
      <c r="G49" s="33">
        <v>0</v>
      </c>
      <c r="H49" s="32"/>
      <c r="I49" s="62" t="s">
        <v>53</v>
      </c>
      <c r="K49" s="3"/>
      <c r="L49" s="81" t="str">
        <f>Jogos!AN48</f>
        <v>Ulsan HD</v>
      </c>
      <c r="M49" s="87">
        <f>VLOOKUP($L49,Jogos!$A$45:$I$48,2,FALSE)</f>
        <v>1</v>
      </c>
      <c r="N49" s="87">
        <f>VLOOKUP($L49,Jogos!$A$45:$I$48,3,FALSE)</f>
        <v>3</v>
      </c>
      <c r="O49" s="87">
        <f>VLOOKUP($L49,Jogos!$A$45:$I$48,4,FALSE)</f>
        <v>0</v>
      </c>
      <c r="P49" s="87">
        <f>VLOOKUP($L49,Jogos!$A$45:$I$48,5,FALSE)</f>
        <v>1</v>
      </c>
      <c r="Q49" s="87">
        <f>VLOOKUP($L49,Jogos!$A$45:$I$48,6,FALSE)</f>
        <v>2</v>
      </c>
      <c r="R49" s="87">
        <f>VLOOKUP($L49,Jogos!$A$45:$I$48,7,FALSE)</f>
        <v>1</v>
      </c>
      <c r="S49" s="87">
        <f>VLOOKUP($L49,Jogos!$A$45:$I$48,8,FALSE)</f>
        <v>6</v>
      </c>
      <c r="T49" s="87">
        <f>VLOOKUP($L49,Jogos!$A$45:$I$48,9,FALSE)</f>
        <v>-5</v>
      </c>
      <c r="U49" s="16"/>
    </row>
    <row r="50" spans="1:21" ht="13.9" customHeight="1" x14ac:dyDescent="0.25">
      <c r="A50" s="24"/>
      <c r="B50" s="25"/>
      <c r="C50" s="62"/>
      <c r="D50" s="38"/>
      <c r="E50" s="39"/>
      <c r="F50" s="76"/>
      <c r="G50" s="39"/>
      <c r="H50" s="39"/>
      <c r="I50" s="62"/>
      <c r="K50" s="4"/>
      <c r="L50" s="82"/>
      <c r="M50" s="36"/>
      <c r="N50" s="36"/>
      <c r="O50" s="36"/>
      <c r="P50" s="36"/>
      <c r="Q50" s="36"/>
      <c r="R50" s="36"/>
      <c r="S50" s="36"/>
      <c r="T50" s="36"/>
    </row>
    <row r="51" spans="1:21" ht="13.9" customHeight="1" x14ac:dyDescent="0.25">
      <c r="A51" s="129" t="s">
        <v>55</v>
      </c>
      <c r="B51" s="130"/>
      <c r="C51" s="130"/>
      <c r="D51" s="37"/>
      <c r="E51" s="126"/>
      <c r="F51" s="126"/>
      <c r="G51" s="126"/>
      <c r="H51" s="37"/>
      <c r="I51" s="72"/>
      <c r="K51" s="5"/>
      <c r="L51" s="83"/>
      <c r="M51" s="6"/>
      <c r="N51" s="6"/>
      <c r="O51" s="6"/>
      <c r="P51" s="6"/>
      <c r="Q51" s="37"/>
      <c r="R51" s="7"/>
      <c r="S51" s="7"/>
      <c r="T51" s="8"/>
      <c r="U51" s="16"/>
    </row>
    <row r="52" spans="1:21" ht="13.9" customHeight="1" x14ac:dyDescent="0.25">
      <c r="A52" s="73">
        <v>45826</v>
      </c>
      <c r="B52" s="74" t="s">
        <v>19</v>
      </c>
      <c r="C52" s="60" t="s">
        <v>56</v>
      </c>
      <c r="D52" s="21"/>
      <c r="E52" s="32">
        <v>2</v>
      </c>
      <c r="F52" s="75" t="s">
        <v>5</v>
      </c>
      <c r="G52" s="33">
        <v>0</v>
      </c>
      <c r="H52" s="32"/>
      <c r="I52" s="62" t="s">
        <v>57</v>
      </c>
      <c r="K52" s="2"/>
      <c r="L52" s="127" t="s">
        <v>58</v>
      </c>
      <c r="M52" s="127"/>
      <c r="N52" s="127"/>
      <c r="O52" s="127"/>
      <c r="P52" s="127"/>
      <c r="Q52" s="127"/>
      <c r="R52" s="127"/>
      <c r="S52" s="127"/>
      <c r="T52" s="128"/>
      <c r="U52" s="16"/>
    </row>
    <row r="53" spans="1:21" ht="13.9" customHeight="1" x14ac:dyDescent="0.25">
      <c r="A53" s="73">
        <v>45826</v>
      </c>
      <c r="B53" s="74" t="s">
        <v>21</v>
      </c>
      <c r="C53" s="60" t="s">
        <v>59</v>
      </c>
      <c r="D53" s="34"/>
      <c r="E53" s="32">
        <v>0</v>
      </c>
      <c r="F53" s="75" t="s">
        <v>5</v>
      </c>
      <c r="G53" s="33">
        <v>2</v>
      </c>
      <c r="H53" s="32"/>
      <c r="I53" s="62" t="s">
        <v>60</v>
      </c>
      <c r="K53" s="115"/>
      <c r="L53" s="80"/>
      <c r="M53" s="88" t="s">
        <v>11</v>
      </c>
      <c r="N53" s="88" t="s">
        <v>12</v>
      </c>
      <c r="O53" s="88" t="s">
        <v>13</v>
      </c>
      <c r="P53" s="88" t="s">
        <v>14</v>
      </c>
      <c r="Q53" s="88" t="s">
        <v>15</v>
      </c>
      <c r="R53" s="88" t="s">
        <v>16</v>
      </c>
      <c r="S53" s="88" t="s">
        <v>17</v>
      </c>
      <c r="T53" s="89" t="s">
        <v>18</v>
      </c>
      <c r="U53" s="16"/>
    </row>
    <row r="54" spans="1:21" ht="13.9" customHeight="1" x14ac:dyDescent="0.25">
      <c r="A54" s="73">
        <v>45830</v>
      </c>
      <c r="B54" s="74" t="s">
        <v>19</v>
      </c>
      <c r="C54" s="62" t="s">
        <v>60</v>
      </c>
      <c r="D54" s="21"/>
      <c r="E54" s="32">
        <v>2</v>
      </c>
      <c r="F54" s="75" t="s">
        <v>5</v>
      </c>
      <c r="G54" s="33">
        <v>0</v>
      </c>
      <c r="H54" s="35"/>
      <c r="I54" s="62" t="s">
        <v>57</v>
      </c>
      <c r="K54" s="115"/>
      <c r="L54" s="81" t="str">
        <f>Jogos!AN53</f>
        <v>Manchester City</v>
      </c>
      <c r="M54" s="87">
        <f>VLOOKUP($L54,Jogos!$A$53:$I$56,2,FALSE)</f>
        <v>9</v>
      </c>
      <c r="N54" s="87">
        <f>VLOOKUP($L54,Jogos!$A$53:$I$56,3,FALSE)</f>
        <v>3</v>
      </c>
      <c r="O54" s="87">
        <f>VLOOKUP($L54,Jogos!$A$53:$I$56,4,FALSE)</f>
        <v>3</v>
      </c>
      <c r="P54" s="87">
        <f>VLOOKUP($L54,Jogos!$A$53:$I$56,5,FALSE)</f>
        <v>0</v>
      </c>
      <c r="Q54" s="87">
        <f>VLOOKUP($L54,Jogos!$A$53:$I$56,6,FALSE)</f>
        <v>0</v>
      </c>
      <c r="R54" s="87">
        <f>VLOOKUP($L54,Jogos!$A$53:$I$56,7,FALSE)</f>
        <v>7</v>
      </c>
      <c r="S54" s="87">
        <f>VLOOKUP($L54,Jogos!$A$53:$I$56,8,FALSE)</f>
        <v>1</v>
      </c>
      <c r="T54" s="87">
        <f>VLOOKUP($L54,Jogos!$A$53:$I$56,9,FALSE)</f>
        <v>6</v>
      </c>
      <c r="U54" s="16"/>
    </row>
    <row r="55" spans="1:21" ht="13.9" customHeight="1" x14ac:dyDescent="0.25">
      <c r="A55" s="73">
        <v>45830</v>
      </c>
      <c r="B55" s="74" t="s">
        <v>21</v>
      </c>
      <c r="C55" s="60" t="s">
        <v>56</v>
      </c>
      <c r="D55" s="34"/>
      <c r="E55" s="32">
        <v>3</v>
      </c>
      <c r="F55" s="75" t="s">
        <v>5</v>
      </c>
      <c r="G55" s="33">
        <v>0</v>
      </c>
      <c r="H55" s="32"/>
      <c r="I55" s="62" t="s">
        <v>59</v>
      </c>
      <c r="K55" s="115"/>
      <c r="L55" s="81" t="str">
        <f>Jogos!AN54</f>
        <v>Juventus</v>
      </c>
      <c r="M55" s="87">
        <f>VLOOKUP($L55,Jogos!$A$53:$I$56,2,FALSE)</f>
        <v>6</v>
      </c>
      <c r="N55" s="87">
        <f>VLOOKUP($L55,Jogos!$A$53:$I$56,3,FALSE)</f>
        <v>3</v>
      </c>
      <c r="O55" s="87">
        <f>VLOOKUP($L55,Jogos!$A$53:$I$56,4,FALSE)</f>
        <v>2</v>
      </c>
      <c r="P55" s="87">
        <f>VLOOKUP($L55,Jogos!$A$53:$I$56,5,FALSE)</f>
        <v>0</v>
      </c>
      <c r="Q55" s="87">
        <f>VLOOKUP($L55,Jogos!$A$53:$I$56,6,FALSE)</f>
        <v>1</v>
      </c>
      <c r="R55" s="87">
        <f>VLOOKUP($L55,Jogos!$A$53:$I$56,7,FALSE)</f>
        <v>5</v>
      </c>
      <c r="S55" s="87">
        <f>VLOOKUP($L55,Jogos!$A$53:$I$56,8,FALSE)</f>
        <v>2</v>
      </c>
      <c r="T55" s="87">
        <f>VLOOKUP($L55,Jogos!$A$53:$I$56,9,FALSE)</f>
        <v>3</v>
      </c>
      <c r="U55" s="16"/>
    </row>
    <row r="56" spans="1:21" ht="13.9" customHeight="1" x14ac:dyDescent="0.25">
      <c r="A56" s="73">
        <v>45834</v>
      </c>
      <c r="B56" s="74" t="s">
        <v>20</v>
      </c>
      <c r="C56" s="60" t="s">
        <v>60</v>
      </c>
      <c r="D56" s="34"/>
      <c r="E56" s="32">
        <v>1</v>
      </c>
      <c r="F56" s="75" t="s">
        <v>5</v>
      </c>
      <c r="G56" s="33">
        <v>2</v>
      </c>
      <c r="H56" s="32"/>
      <c r="I56" s="62" t="s">
        <v>56</v>
      </c>
      <c r="K56" s="115"/>
      <c r="L56" s="81" t="str">
        <f>Jogos!AN55</f>
        <v>Wydad Casablanca</v>
      </c>
      <c r="M56" s="87">
        <f>VLOOKUP($L56,Jogos!$A$53:$I$56,2,FALSE)</f>
        <v>1</v>
      </c>
      <c r="N56" s="87">
        <f>VLOOKUP($L56,Jogos!$A$53:$I$56,3,FALSE)</f>
        <v>3</v>
      </c>
      <c r="O56" s="87">
        <f>VLOOKUP($L56,Jogos!$A$53:$I$56,4,FALSE)</f>
        <v>0</v>
      </c>
      <c r="P56" s="87">
        <f>VLOOKUP($L56,Jogos!$A$53:$I$56,5,FALSE)</f>
        <v>1</v>
      </c>
      <c r="Q56" s="87">
        <f>VLOOKUP($L56,Jogos!$A$53:$I$56,6,FALSE)</f>
        <v>2</v>
      </c>
      <c r="R56" s="87">
        <f>VLOOKUP($L56,Jogos!$A$53:$I$56,7,FALSE)</f>
        <v>1</v>
      </c>
      <c r="S56" s="87">
        <f>VLOOKUP($L56,Jogos!$A$53:$I$56,8,FALSE)</f>
        <v>5</v>
      </c>
      <c r="T56" s="87">
        <f>VLOOKUP($L56,Jogos!$A$53:$I$56,9,FALSE)</f>
        <v>-4</v>
      </c>
      <c r="U56" s="16"/>
    </row>
    <row r="57" spans="1:21" ht="13.9" customHeight="1" x14ac:dyDescent="0.25">
      <c r="A57" s="73">
        <v>45834</v>
      </c>
      <c r="B57" s="74" t="s">
        <v>20</v>
      </c>
      <c r="C57" s="62" t="s">
        <v>57</v>
      </c>
      <c r="D57" s="34"/>
      <c r="E57" s="32">
        <v>1</v>
      </c>
      <c r="F57" s="75" t="s">
        <v>5</v>
      </c>
      <c r="G57" s="33">
        <v>1</v>
      </c>
      <c r="H57" s="32"/>
      <c r="I57" s="62" t="s">
        <v>59</v>
      </c>
      <c r="K57" s="3"/>
      <c r="L57" s="81" t="str">
        <f>Jogos!AN56</f>
        <v>Al-Ain</v>
      </c>
      <c r="M57" s="87">
        <f>VLOOKUP($L57,Jogos!$A$53:$I$56,2,FALSE)</f>
        <v>1</v>
      </c>
      <c r="N57" s="87">
        <f>VLOOKUP($L57,Jogos!$A$53:$I$56,3,FALSE)</f>
        <v>3</v>
      </c>
      <c r="O57" s="87">
        <f>VLOOKUP($L57,Jogos!$A$53:$I$56,4,FALSE)</f>
        <v>0</v>
      </c>
      <c r="P57" s="87">
        <f>VLOOKUP($L57,Jogos!$A$53:$I$56,5,FALSE)</f>
        <v>1</v>
      </c>
      <c r="Q57" s="87">
        <f>VLOOKUP($L57,Jogos!$A$53:$I$56,6,FALSE)</f>
        <v>2</v>
      </c>
      <c r="R57" s="87">
        <f>VLOOKUP($L57,Jogos!$A$53:$I$56,7,FALSE)</f>
        <v>1</v>
      </c>
      <c r="S57" s="87">
        <f>VLOOKUP($L57,Jogos!$A$53:$I$56,8,FALSE)</f>
        <v>6</v>
      </c>
      <c r="T57" s="87">
        <f>VLOOKUP($L57,Jogos!$A$53:$I$56,9,FALSE)</f>
        <v>-5</v>
      </c>
      <c r="U57" s="16"/>
    </row>
    <row r="58" spans="1:21" ht="13.9" customHeight="1" x14ac:dyDescent="0.25">
      <c r="A58" s="24"/>
      <c r="B58" s="25"/>
      <c r="C58" s="62"/>
      <c r="D58" s="38"/>
      <c r="E58" s="39"/>
      <c r="F58" s="76"/>
      <c r="G58" s="39"/>
      <c r="H58" s="39"/>
      <c r="I58" s="62"/>
      <c r="K58" s="4"/>
      <c r="L58" s="82"/>
      <c r="M58" s="36"/>
      <c r="N58" s="36"/>
      <c r="O58" s="36"/>
      <c r="P58" s="36"/>
      <c r="Q58" s="36"/>
      <c r="R58" s="36"/>
      <c r="S58" s="36"/>
      <c r="T58" s="36"/>
    </row>
    <row r="59" spans="1:21" ht="13.9" customHeight="1" x14ac:dyDescent="0.25">
      <c r="A59" s="129" t="s">
        <v>61</v>
      </c>
      <c r="B59" s="130"/>
      <c r="C59" s="130"/>
      <c r="D59" s="37"/>
      <c r="E59" s="126"/>
      <c r="F59" s="126"/>
      <c r="G59" s="126"/>
      <c r="H59" s="37"/>
      <c r="I59" s="72"/>
      <c r="K59" s="5"/>
      <c r="L59" s="83"/>
      <c r="M59" s="6"/>
      <c r="N59" s="6"/>
      <c r="O59" s="6"/>
      <c r="P59" s="6"/>
      <c r="Q59" s="37"/>
      <c r="R59" s="7"/>
      <c r="S59" s="7"/>
      <c r="T59" s="8"/>
      <c r="U59" s="16"/>
    </row>
    <row r="60" spans="1:21" ht="13.9" customHeight="1" x14ac:dyDescent="0.25">
      <c r="A60" s="73">
        <v>45826</v>
      </c>
      <c r="B60" s="74" t="s">
        <v>20</v>
      </c>
      <c r="C60" s="60" t="s">
        <v>62</v>
      </c>
      <c r="D60" s="21"/>
      <c r="E60" s="32">
        <v>2</v>
      </c>
      <c r="F60" s="75" t="s">
        <v>5</v>
      </c>
      <c r="G60" s="33">
        <v>0</v>
      </c>
      <c r="H60" s="32"/>
      <c r="I60" s="62" t="s">
        <v>63</v>
      </c>
      <c r="K60" s="2"/>
      <c r="L60" s="127" t="s">
        <v>64</v>
      </c>
      <c r="M60" s="127"/>
      <c r="N60" s="127"/>
      <c r="O60" s="127"/>
      <c r="P60" s="127"/>
      <c r="Q60" s="127"/>
      <c r="R60" s="127"/>
      <c r="S60" s="127"/>
      <c r="T60" s="128"/>
      <c r="U60" s="16"/>
    </row>
    <row r="61" spans="1:21" ht="13.9" customHeight="1" x14ac:dyDescent="0.25">
      <c r="A61" s="73">
        <v>45826</v>
      </c>
      <c r="B61" s="74" t="s">
        <v>8</v>
      </c>
      <c r="C61" s="60" t="s">
        <v>65</v>
      </c>
      <c r="D61" s="34"/>
      <c r="E61" s="32">
        <v>1</v>
      </c>
      <c r="F61" s="75" t="s">
        <v>5</v>
      </c>
      <c r="G61" s="33">
        <v>1</v>
      </c>
      <c r="H61" s="32"/>
      <c r="I61" s="62" t="s">
        <v>66</v>
      </c>
      <c r="K61" s="115"/>
      <c r="L61" s="80"/>
      <c r="M61" s="88" t="s">
        <v>11</v>
      </c>
      <c r="N61" s="88" t="s">
        <v>12</v>
      </c>
      <c r="O61" s="88" t="s">
        <v>13</v>
      </c>
      <c r="P61" s="88" t="s">
        <v>14</v>
      </c>
      <c r="Q61" s="88" t="s">
        <v>15</v>
      </c>
      <c r="R61" s="88" t="s">
        <v>16</v>
      </c>
      <c r="S61" s="88" t="s">
        <v>17</v>
      </c>
      <c r="T61" s="89" t="s">
        <v>18</v>
      </c>
      <c r="U61" s="16"/>
    </row>
    <row r="62" spans="1:21" ht="13.9" customHeight="1" x14ac:dyDescent="0.25">
      <c r="A62" s="73">
        <v>45830</v>
      </c>
      <c r="B62" s="74" t="s">
        <v>20</v>
      </c>
      <c r="C62" s="60" t="s">
        <v>62</v>
      </c>
      <c r="D62" s="21"/>
      <c r="E62" s="32">
        <v>3</v>
      </c>
      <c r="F62" s="75" t="s">
        <v>5</v>
      </c>
      <c r="G62" s="33">
        <v>0</v>
      </c>
      <c r="H62" s="35"/>
      <c r="I62" s="62" t="s">
        <v>65</v>
      </c>
      <c r="K62" s="115"/>
      <c r="L62" s="81" t="str">
        <f>Jogos!AN61</f>
        <v>Real Madrid</v>
      </c>
      <c r="M62" s="87">
        <f>VLOOKUP($L62,Jogos!$A$61:$I$64,2,FALSE)</f>
        <v>9</v>
      </c>
      <c r="N62" s="87">
        <f>VLOOKUP($L62,Jogos!$A$61:$I$64,3,FALSE)</f>
        <v>3</v>
      </c>
      <c r="O62" s="87">
        <f>VLOOKUP($L62,Jogos!$A$61:$I$64,4,FALSE)</f>
        <v>3</v>
      </c>
      <c r="P62" s="87">
        <f>VLOOKUP($L62,Jogos!$A$61:$I$64,5,FALSE)</f>
        <v>0</v>
      </c>
      <c r="Q62" s="87">
        <f>VLOOKUP($L62,Jogos!$A$61:$I$64,6,FALSE)</f>
        <v>0</v>
      </c>
      <c r="R62" s="87">
        <f>VLOOKUP($L62,Jogos!$A$61:$I$64,7,FALSE)</f>
        <v>8</v>
      </c>
      <c r="S62" s="87">
        <f>VLOOKUP($L62,Jogos!$A$61:$I$64,8,FALSE)</f>
        <v>0</v>
      </c>
      <c r="T62" s="87">
        <f>VLOOKUP($L62,Jogos!$A$61:$I$64,9,FALSE)</f>
        <v>8</v>
      </c>
      <c r="U62" s="16"/>
    </row>
    <row r="63" spans="1:21" ht="13.9" customHeight="1" x14ac:dyDescent="0.25">
      <c r="A63" s="73">
        <v>45830</v>
      </c>
      <c r="B63" s="74" t="s">
        <v>8</v>
      </c>
      <c r="C63" s="60" t="s">
        <v>66</v>
      </c>
      <c r="D63" s="34"/>
      <c r="E63" s="32">
        <v>0</v>
      </c>
      <c r="F63" s="75" t="s">
        <v>5</v>
      </c>
      <c r="G63" s="33">
        <v>1</v>
      </c>
      <c r="H63" s="32"/>
      <c r="I63" s="62" t="s">
        <v>63</v>
      </c>
      <c r="K63" s="115"/>
      <c r="L63" s="81" t="str">
        <f>Jogos!AN62</f>
        <v>Al-Hilal</v>
      </c>
      <c r="M63" s="87">
        <f>VLOOKUP($L63,Jogos!$A$61:$I$64,2,FALSE)</f>
        <v>6</v>
      </c>
      <c r="N63" s="87">
        <f>VLOOKUP($L63,Jogos!$A$61:$I$64,3,FALSE)</f>
        <v>3</v>
      </c>
      <c r="O63" s="87">
        <f>VLOOKUP($L63,Jogos!$A$61:$I$64,4,FALSE)</f>
        <v>2</v>
      </c>
      <c r="P63" s="87">
        <f>VLOOKUP($L63,Jogos!$A$61:$I$64,5,FALSE)</f>
        <v>0</v>
      </c>
      <c r="Q63" s="87">
        <f>VLOOKUP($L63,Jogos!$A$61:$I$64,6,FALSE)</f>
        <v>1</v>
      </c>
      <c r="R63" s="87">
        <f>VLOOKUP($L63,Jogos!$A$61:$I$64,7,FALSE)</f>
        <v>3</v>
      </c>
      <c r="S63" s="87">
        <f>VLOOKUP($L63,Jogos!$A$61:$I$64,8,FALSE)</f>
        <v>3</v>
      </c>
      <c r="T63" s="87">
        <f>VLOOKUP($L63,Jogos!$A$61:$I$64,9,FALSE)</f>
        <v>0</v>
      </c>
      <c r="U63" s="16"/>
    </row>
    <row r="64" spans="1:21" ht="13.9" customHeight="1" x14ac:dyDescent="0.25">
      <c r="A64" s="73">
        <v>45834</v>
      </c>
      <c r="B64" s="74" t="s">
        <v>21</v>
      </c>
      <c r="C64" s="60" t="s">
        <v>66</v>
      </c>
      <c r="D64" s="34"/>
      <c r="E64" s="32">
        <v>0</v>
      </c>
      <c r="F64" s="75" t="s">
        <v>5</v>
      </c>
      <c r="G64" s="33">
        <v>3</v>
      </c>
      <c r="H64" s="32"/>
      <c r="I64" s="62" t="s">
        <v>62</v>
      </c>
      <c r="K64" s="115"/>
      <c r="L64" s="81" t="str">
        <f>Jogos!AN63</f>
        <v>Pachuca</v>
      </c>
      <c r="M64" s="87">
        <f>VLOOKUP($L64,Jogos!$A$61:$I$64,2,FALSE)</f>
        <v>1</v>
      </c>
      <c r="N64" s="87">
        <f>VLOOKUP($L64,Jogos!$A$61:$I$64,3,FALSE)</f>
        <v>3</v>
      </c>
      <c r="O64" s="87">
        <f>VLOOKUP($L64,Jogos!$A$61:$I$64,4,FALSE)</f>
        <v>0</v>
      </c>
      <c r="P64" s="87">
        <f>VLOOKUP($L64,Jogos!$A$61:$I$64,5,FALSE)</f>
        <v>1</v>
      </c>
      <c r="Q64" s="87">
        <f>VLOOKUP($L64,Jogos!$A$61:$I$64,6,FALSE)</f>
        <v>2</v>
      </c>
      <c r="R64" s="87">
        <f>VLOOKUP($L64,Jogos!$A$61:$I$64,7,FALSE)</f>
        <v>2</v>
      </c>
      <c r="S64" s="87">
        <f>VLOOKUP($L64,Jogos!$A$61:$I$64,8,FALSE)</f>
        <v>6</v>
      </c>
      <c r="T64" s="87">
        <f>VLOOKUP($L64,Jogos!$A$61:$I$64,9,FALSE)</f>
        <v>-4</v>
      </c>
      <c r="U64" s="16"/>
    </row>
    <row r="65" spans="1:21" ht="13.9" customHeight="1" x14ac:dyDescent="0.25">
      <c r="A65" s="73">
        <v>45834</v>
      </c>
      <c r="B65" s="74" t="s">
        <v>21</v>
      </c>
      <c r="C65" s="60" t="s">
        <v>63</v>
      </c>
      <c r="D65" s="34"/>
      <c r="E65" s="32">
        <v>2</v>
      </c>
      <c r="F65" s="75" t="s">
        <v>5</v>
      </c>
      <c r="G65" s="33">
        <v>1</v>
      </c>
      <c r="H65" s="32"/>
      <c r="I65" s="62" t="s">
        <v>65</v>
      </c>
      <c r="K65" s="3"/>
      <c r="L65" s="81" t="str">
        <f>Jogos!AN64</f>
        <v>RB Salzburg</v>
      </c>
      <c r="M65" s="87">
        <f>VLOOKUP($L65,Jogos!$A$61:$I$64,2,FALSE)</f>
        <v>1</v>
      </c>
      <c r="N65" s="87">
        <f>VLOOKUP($L65,Jogos!$A$61:$I$64,3,FALSE)</f>
        <v>3</v>
      </c>
      <c r="O65" s="87">
        <f>VLOOKUP($L65,Jogos!$A$61:$I$64,4,FALSE)</f>
        <v>0</v>
      </c>
      <c r="P65" s="87">
        <f>VLOOKUP($L65,Jogos!$A$61:$I$64,5,FALSE)</f>
        <v>1</v>
      </c>
      <c r="Q65" s="87">
        <f>VLOOKUP($L65,Jogos!$A$61:$I$64,6,FALSE)</f>
        <v>2</v>
      </c>
      <c r="R65" s="87">
        <f>VLOOKUP($L65,Jogos!$A$61:$I$64,7,FALSE)</f>
        <v>1</v>
      </c>
      <c r="S65" s="87">
        <f>VLOOKUP($L65,Jogos!$A$61:$I$64,8,FALSE)</f>
        <v>5</v>
      </c>
      <c r="T65" s="87">
        <f>VLOOKUP($L65,Jogos!$A$61:$I$64,9,FALSE)</f>
        <v>-4</v>
      </c>
      <c r="U65" s="16"/>
    </row>
    <row r="66" spans="1:21" ht="13.9" customHeight="1" x14ac:dyDescent="0.25">
      <c r="A66" s="26"/>
      <c r="B66" s="40"/>
      <c r="C66" s="64"/>
      <c r="D66" s="9"/>
      <c r="E66" s="9"/>
      <c r="F66" s="77"/>
      <c r="G66" s="9"/>
      <c r="H66" s="9"/>
      <c r="I66" s="64"/>
      <c r="K66" s="40"/>
      <c r="L66" s="112"/>
      <c r="M66" s="40"/>
      <c r="N66" s="40"/>
      <c r="O66" s="40"/>
      <c r="P66" s="40"/>
      <c r="Q66" s="40"/>
      <c r="R66" s="40"/>
      <c r="S66" s="40"/>
      <c r="T66" s="40"/>
    </row>
    <row r="67" spans="1:21" ht="13.9" customHeight="1" x14ac:dyDescent="0.25">
      <c r="A67" s="27"/>
      <c r="B67" s="28"/>
      <c r="C67" s="65"/>
      <c r="D67" s="28"/>
      <c r="E67" s="28"/>
      <c r="F67" s="46"/>
      <c r="G67" s="28"/>
      <c r="H67" s="28"/>
      <c r="I67" s="65"/>
    </row>
    <row r="68" spans="1:21" ht="13.9" customHeight="1" x14ac:dyDescent="0.25">
      <c r="A68" s="124" t="s">
        <v>67</v>
      </c>
      <c r="B68" s="125"/>
      <c r="C68" s="62"/>
      <c r="D68" s="113" t="s">
        <v>68</v>
      </c>
      <c r="E68" s="131" t="s">
        <v>69</v>
      </c>
      <c r="F68" s="131"/>
      <c r="G68" s="131"/>
      <c r="H68" s="113" t="s">
        <v>68</v>
      </c>
      <c r="I68" s="62"/>
      <c r="L68" s="84"/>
      <c r="M68" s="132"/>
      <c r="N68" s="132"/>
      <c r="O68" s="132"/>
      <c r="P68" s="132"/>
      <c r="Q68" s="132"/>
      <c r="R68" s="132"/>
      <c r="S68" s="132"/>
      <c r="T68" s="132"/>
    </row>
    <row r="69" spans="1:21" ht="13.9" customHeight="1" x14ac:dyDescent="0.25">
      <c r="A69" s="73">
        <v>45836</v>
      </c>
      <c r="B69" s="74" t="s">
        <v>19</v>
      </c>
      <c r="C69" s="66" t="str">
        <f>IF((N6=3),L6,"1º do grupo A")</f>
        <v>Palmeiras</v>
      </c>
      <c r="D69" s="47">
        <v>5</v>
      </c>
      <c r="E69" s="32">
        <v>1</v>
      </c>
      <c r="F69" s="75" t="s">
        <v>5</v>
      </c>
      <c r="G69" s="33">
        <v>1</v>
      </c>
      <c r="H69" s="48">
        <v>3</v>
      </c>
      <c r="I69" s="64" t="str">
        <f>IF((N15=3),L15,"2º do grupo B")</f>
        <v>Atlético de Madrid</v>
      </c>
      <c r="K69" s="29">
        <v>1</v>
      </c>
      <c r="L69" s="84"/>
      <c r="M69" s="132"/>
      <c r="N69" s="132"/>
      <c r="O69" s="132"/>
      <c r="P69" s="132"/>
      <c r="Q69" s="132"/>
      <c r="R69" s="132"/>
      <c r="S69" s="132"/>
      <c r="T69" s="132"/>
    </row>
    <row r="70" spans="1:21" ht="13.9" customHeight="1" x14ac:dyDescent="0.25">
      <c r="A70" s="73">
        <v>45836</v>
      </c>
      <c r="B70" s="74" t="s">
        <v>70</v>
      </c>
      <c r="C70" s="67" t="str">
        <f>IF((N22=3),L22,"1º do grupo C")</f>
        <v>Bayern de Munique</v>
      </c>
      <c r="D70" s="49"/>
      <c r="E70" s="32">
        <v>1</v>
      </c>
      <c r="F70" s="75" t="s">
        <v>5</v>
      </c>
      <c r="G70" s="33">
        <v>0</v>
      </c>
      <c r="H70" s="50"/>
      <c r="I70" s="66" t="str">
        <f>IF((N31=3),L31,"2º do grupo D")</f>
        <v>Flamengo</v>
      </c>
      <c r="K70" s="29">
        <v>3</v>
      </c>
    </row>
    <row r="71" spans="1:21" ht="13.9" customHeight="1" x14ac:dyDescent="0.25">
      <c r="A71" s="73">
        <v>45837</v>
      </c>
      <c r="B71" s="74" t="s">
        <v>19</v>
      </c>
      <c r="C71" s="66" t="str">
        <f>IF((N14=3),L14,"1º do grupo B")</f>
        <v>Paris Saint-Germain</v>
      </c>
      <c r="D71" s="49"/>
      <c r="E71" s="32">
        <v>1</v>
      </c>
      <c r="F71" s="75" t="s">
        <v>5</v>
      </c>
      <c r="G71" s="33">
        <v>0</v>
      </c>
      <c r="H71" s="50"/>
      <c r="I71" s="66" t="str">
        <f>IF((N7=3),L7,"2º do grupo A")</f>
        <v>Porto</v>
      </c>
      <c r="K71" s="29">
        <v>5</v>
      </c>
    </row>
    <row r="72" spans="1:21" ht="13.9" customHeight="1" x14ac:dyDescent="0.25">
      <c r="A72" s="73">
        <v>45837</v>
      </c>
      <c r="B72" s="74" t="s">
        <v>70</v>
      </c>
      <c r="C72" s="66" t="str">
        <f>IF((N30=3),L30,"1º do grupo D")</f>
        <v>Chelsea</v>
      </c>
      <c r="D72" s="49"/>
      <c r="E72" s="32">
        <v>1</v>
      </c>
      <c r="F72" s="75" t="s">
        <v>5</v>
      </c>
      <c r="G72" s="33">
        <v>0</v>
      </c>
      <c r="H72" s="50"/>
      <c r="I72" s="66" t="str">
        <f>IF((N23=3),L23,"2º do grupo C")</f>
        <v>Benfica</v>
      </c>
      <c r="K72" s="29">
        <v>7</v>
      </c>
      <c r="M72" s="117"/>
      <c r="N72" s="118"/>
      <c r="O72" s="118"/>
      <c r="P72" s="118"/>
      <c r="Q72" s="118"/>
      <c r="R72" s="118"/>
      <c r="S72" s="118"/>
      <c r="T72" s="118"/>
    </row>
    <row r="73" spans="1:21" ht="13.9" customHeight="1" x14ac:dyDescent="0.25">
      <c r="A73" s="73">
        <v>45838</v>
      </c>
      <c r="B73" s="74" t="s">
        <v>20</v>
      </c>
      <c r="C73" s="66" t="str">
        <f>IF((N38=3),L38,"1º do grupo E")</f>
        <v>Internazionale</v>
      </c>
      <c r="D73" s="49"/>
      <c r="E73" s="32">
        <v>1</v>
      </c>
      <c r="F73" s="75" t="s">
        <v>5</v>
      </c>
      <c r="G73" s="33">
        <v>0</v>
      </c>
      <c r="H73" s="50"/>
      <c r="I73" s="66" t="str">
        <f>IF((N47=3),L47,"2º do grupo F")</f>
        <v>Fluminense</v>
      </c>
      <c r="K73" s="29">
        <v>2</v>
      </c>
      <c r="L73" s="84"/>
      <c r="M73" s="117"/>
      <c r="N73" s="118"/>
      <c r="O73" s="118"/>
      <c r="P73" s="118"/>
      <c r="Q73" s="118"/>
      <c r="R73" s="118"/>
      <c r="S73" s="118"/>
      <c r="T73" s="118"/>
    </row>
    <row r="74" spans="1:21" ht="13.9" customHeight="1" x14ac:dyDescent="0.25">
      <c r="A74" s="73">
        <v>45838</v>
      </c>
      <c r="B74" s="74" t="s">
        <v>21</v>
      </c>
      <c r="C74" s="66" t="str">
        <f>IF((N54=3),L54,"1º do grupo G")</f>
        <v>Manchester City</v>
      </c>
      <c r="D74" s="49"/>
      <c r="E74" s="32">
        <v>1</v>
      </c>
      <c r="F74" s="75" t="s">
        <v>5</v>
      </c>
      <c r="G74" s="33">
        <v>0</v>
      </c>
      <c r="H74" s="50"/>
      <c r="I74" s="66" t="str">
        <f>IF((N63=3),L63,"2º do grupo H")</f>
        <v>Al-Hilal</v>
      </c>
      <c r="K74" s="29">
        <v>4</v>
      </c>
      <c r="M74" s="117"/>
      <c r="N74" s="123"/>
      <c r="O74" s="123"/>
      <c r="P74" s="123"/>
      <c r="Q74" s="123"/>
      <c r="R74" s="123"/>
      <c r="S74" s="123"/>
      <c r="T74" s="123"/>
    </row>
    <row r="75" spans="1:21" ht="13.9" customHeight="1" x14ac:dyDescent="0.25">
      <c r="A75" s="73">
        <v>45839</v>
      </c>
      <c r="B75" s="74" t="s">
        <v>20</v>
      </c>
      <c r="C75" s="66" t="str">
        <f>IF((N62=3),L62,"1º do grupo H")</f>
        <v>Real Madrid</v>
      </c>
      <c r="D75" s="49"/>
      <c r="E75" s="51">
        <v>1</v>
      </c>
      <c r="F75" s="75" t="s">
        <v>5</v>
      </c>
      <c r="G75" s="52">
        <v>0</v>
      </c>
      <c r="H75" s="50"/>
      <c r="I75" s="66" t="str">
        <f>IF((N55=3),L55,"2º do grupo G")</f>
        <v>Juventus</v>
      </c>
      <c r="K75" s="29">
        <v>6</v>
      </c>
      <c r="L75" s="84"/>
      <c r="M75" s="117"/>
      <c r="N75" s="118"/>
      <c r="O75" s="118"/>
      <c r="P75" s="118"/>
      <c r="Q75" s="118"/>
      <c r="R75" s="118"/>
      <c r="S75" s="118"/>
      <c r="T75" s="118"/>
    </row>
    <row r="76" spans="1:21" ht="13.9" customHeight="1" x14ac:dyDescent="0.25">
      <c r="A76" s="73">
        <v>45839</v>
      </c>
      <c r="B76" s="74" t="s">
        <v>21</v>
      </c>
      <c r="C76" s="66" t="str">
        <f>IF((N46=3),L46,"1º do grupo F")</f>
        <v>Borussia Dortmund</v>
      </c>
      <c r="D76" s="53"/>
      <c r="E76" s="51">
        <v>1</v>
      </c>
      <c r="F76" s="75" t="s">
        <v>5</v>
      </c>
      <c r="G76" s="52">
        <v>0</v>
      </c>
      <c r="H76" s="54"/>
      <c r="I76" s="66" t="str">
        <f>IF((N39=3),L39,"2º do grupo E")</f>
        <v>River Plate</v>
      </c>
      <c r="K76" s="29">
        <v>8</v>
      </c>
      <c r="L76" s="84"/>
      <c r="M76" s="119" t="str">
        <f>IF(OR(($E$89=""),($G$89=""),AND(($E$89=$G$89),OR(($D$89=""),($H$89="")))),"",IF(($E$89=$G$89),IF(($D$89&gt;$H$89),$C$89,$I$89),IF(($E$89&gt;$G$89),$C$89,$I$89)))</f>
        <v>Manchester City</v>
      </c>
      <c r="N76" s="119"/>
      <c r="O76" s="119"/>
      <c r="P76" s="119"/>
      <c r="Q76" s="119"/>
      <c r="R76" s="119"/>
      <c r="S76" s="119"/>
      <c r="T76" s="119"/>
      <c r="U76" s="119"/>
    </row>
    <row r="77" spans="1:21" ht="13.9" customHeight="1" x14ac:dyDescent="0.25">
      <c r="A77" s="30"/>
      <c r="B77" s="31"/>
      <c r="C77" s="68"/>
      <c r="D77" s="44"/>
      <c r="E77" s="45"/>
      <c r="F77" s="75"/>
      <c r="G77" s="45"/>
      <c r="H77" s="44"/>
      <c r="I77" s="68"/>
      <c r="K77" s="29"/>
      <c r="M77" s="119"/>
      <c r="N77" s="119"/>
      <c r="O77" s="119"/>
      <c r="P77" s="119"/>
      <c r="Q77" s="119"/>
      <c r="R77" s="119"/>
      <c r="S77" s="119"/>
      <c r="T77" s="119"/>
      <c r="U77" s="119"/>
    </row>
    <row r="78" spans="1:21" ht="13.9" customHeight="1" x14ac:dyDescent="0.25">
      <c r="A78" s="124" t="s">
        <v>71</v>
      </c>
      <c r="B78" s="125"/>
      <c r="C78" s="63"/>
      <c r="D78" s="45"/>
      <c r="E78" s="45"/>
      <c r="F78" s="75"/>
      <c r="G78" s="45"/>
      <c r="H78" s="45"/>
      <c r="I78" s="63"/>
      <c r="K78" s="29"/>
      <c r="M78" s="119"/>
      <c r="N78" s="119"/>
      <c r="O78" s="119"/>
      <c r="P78" s="119"/>
      <c r="Q78" s="119"/>
      <c r="R78" s="119"/>
      <c r="S78" s="119"/>
      <c r="T78" s="119"/>
      <c r="U78" s="119"/>
    </row>
    <row r="79" spans="1:21" ht="13.9" customHeight="1" x14ac:dyDescent="0.25">
      <c r="A79" s="73">
        <v>45842</v>
      </c>
      <c r="B79" s="74" t="s">
        <v>20</v>
      </c>
      <c r="C79" s="64" t="str">
        <f>IF(OR((E73=""),(G73=""),AND((E73=G73),OR((D73=""),(H73="")))),"Vencedor OF5",IF((E73=G73),IF((D73&gt;H73),C73,I73),IF((E73&gt;G73),C73,I73)))</f>
        <v>Internazionale</v>
      </c>
      <c r="D79" s="47"/>
      <c r="E79" s="51">
        <v>0</v>
      </c>
      <c r="F79" s="75" t="s">
        <v>5</v>
      </c>
      <c r="G79" s="52">
        <v>1</v>
      </c>
      <c r="H79" s="55"/>
      <c r="I79" s="64" t="str">
        <f>IF(OR((G74=""),(E74=""),AND((G74=E74),OR((H74=""),(D74="")))),"Vencedor OF6",IF((G74=E74),IF((H74&gt;D74),I74,C74),IF((G74&gt;E74),I74,C74)))</f>
        <v>Manchester City</v>
      </c>
      <c r="K79" s="102"/>
      <c r="L79" s="102"/>
      <c r="M79" s="119"/>
      <c r="N79" s="119"/>
      <c r="O79" s="119"/>
      <c r="P79" s="119"/>
      <c r="Q79" s="119"/>
      <c r="R79" s="119"/>
      <c r="S79" s="119"/>
      <c r="T79" s="119"/>
      <c r="U79" s="119"/>
    </row>
    <row r="80" spans="1:21" ht="13.9" customHeight="1" x14ac:dyDescent="0.25">
      <c r="A80" s="73">
        <v>45842</v>
      </c>
      <c r="B80" s="74" t="s">
        <v>21</v>
      </c>
      <c r="C80" s="66" t="str">
        <f>IF(OR((E69=""),(G69=""),AND((E69=G69),OR((D69=""),(H69="")))),"Vencedor OF1",IF((E69=G69),IF((D69&gt;H69),C69,I69),IF((E69&gt;G69),C69,I69)))</f>
        <v>Palmeiras</v>
      </c>
      <c r="D80" s="49"/>
      <c r="E80" s="51">
        <v>0</v>
      </c>
      <c r="F80" s="75" t="s">
        <v>5</v>
      </c>
      <c r="G80" s="52">
        <v>1</v>
      </c>
      <c r="H80" s="56"/>
      <c r="I80" s="66" t="str">
        <f>IF(OR((G70=""),(E70=""),AND((G70=E70),OR((H70=""),(D70="")))),"Vencedor OF2",IF((G70=E70),IF((H70&gt;D70),I70,C70),IF((G70&gt;E70),I70,C70)))</f>
        <v>Bayern de Munique</v>
      </c>
      <c r="K80" s="102"/>
      <c r="L80" s="102"/>
      <c r="M80" s="119"/>
      <c r="N80" s="119"/>
      <c r="O80" s="119"/>
      <c r="P80" s="119"/>
      <c r="Q80" s="119"/>
      <c r="R80" s="119"/>
      <c r="S80" s="119"/>
      <c r="T80" s="119"/>
      <c r="U80" s="119"/>
    </row>
    <row r="81" spans="1:21" ht="13.9" customHeight="1" x14ac:dyDescent="0.25">
      <c r="A81" s="73">
        <v>45843</v>
      </c>
      <c r="B81" s="74" t="s">
        <v>19</v>
      </c>
      <c r="C81" s="66" t="str">
        <f>IF(OR((E71=""),(G71=""),AND((E71=G71),OR((D71=""),(H71="")))),"Vencedor OF3",IF((E71=G71),IF((D71&gt;H71),C71,I71),IF((E71&gt;G71),C71,I71)))</f>
        <v>Paris Saint-Germain</v>
      </c>
      <c r="D81" s="49"/>
      <c r="E81" s="51">
        <v>1</v>
      </c>
      <c r="F81" s="75" t="s">
        <v>5</v>
      </c>
      <c r="G81" s="52">
        <v>0</v>
      </c>
      <c r="H81" s="56"/>
      <c r="I81" s="66" t="str">
        <f>IF(OR((G72=""),(E72=""),AND((G72=E72),OR((H72=""),(D72="")))),"Vencedor OF4",IF((G72=E72),IF((H72&gt;D72),I72,C72),IF((G72&gt;E72),I72,C72)))</f>
        <v>Chelsea</v>
      </c>
      <c r="K81" s="102"/>
      <c r="L81" s="103"/>
      <c r="M81" s="120" t="str">
        <f>IF((M76=""),"  ","O Clube Campeão da Copa do Mundo de Clubes, de 2025")</f>
        <v>O Clube Campeão da Copa do Mundo de Clubes, de 2025</v>
      </c>
      <c r="N81" s="120"/>
      <c r="O81" s="120"/>
      <c r="P81" s="120"/>
      <c r="Q81" s="120"/>
      <c r="R81" s="120"/>
      <c r="S81" s="120"/>
      <c r="T81" s="120"/>
      <c r="U81" s="120"/>
    </row>
    <row r="82" spans="1:21" ht="13.9" customHeight="1" x14ac:dyDescent="0.25">
      <c r="A82" s="73">
        <v>45843</v>
      </c>
      <c r="B82" s="74" t="s">
        <v>70</v>
      </c>
      <c r="C82" s="66" t="str">
        <f>IF(OR((E76=""),(G76=""),AND((E76=G76),OR((D76=""),(H76="")))),"Vencedor OF8",IF((E76=G76),IF((D76&gt;H76),C76,I76),IF((E76&gt;G76),C76,I76)))</f>
        <v>Borussia Dortmund</v>
      </c>
      <c r="D82" s="53"/>
      <c r="E82" s="51">
        <v>0</v>
      </c>
      <c r="F82" s="75" t="s">
        <v>5</v>
      </c>
      <c r="G82" s="52">
        <v>1</v>
      </c>
      <c r="H82" s="57"/>
      <c r="I82" s="66" t="str">
        <f>IF(OR((G75=""),(E75=""),AND((G75=E75),OR((H75=""),(D75="")))),"Vencedor OF7",IF((G75=E75),IF((H75&gt;D75),I75,C75),IF((G75&gt;E75),I75,C75)))</f>
        <v>Real Madrid</v>
      </c>
      <c r="K82" s="102"/>
      <c r="M82" s="120"/>
      <c r="N82" s="120"/>
      <c r="O82" s="120"/>
      <c r="P82" s="120"/>
      <c r="Q82" s="120"/>
      <c r="R82" s="120"/>
      <c r="S82" s="120"/>
      <c r="T82" s="120"/>
      <c r="U82" s="120"/>
    </row>
    <row r="83" spans="1:21" ht="13.9" customHeight="1" x14ac:dyDescent="0.25">
      <c r="A83" s="30"/>
      <c r="B83" s="31"/>
      <c r="C83" s="69"/>
      <c r="D83" s="10"/>
      <c r="E83" s="36"/>
      <c r="F83" s="75"/>
      <c r="G83" s="36"/>
      <c r="H83" s="11"/>
      <c r="I83" s="69"/>
      <c r="K83" s="29"/>
      <c r="M83" s="120"/>
      <c r="N83" s="120"/>
      <c r="O83" s="120"/>
      <c r="P83" s="120"/>
      <c r="Q83" s="120"/>
      <c r="R83" s="120"/>
      <c r="S83" s="120"/>
      <c r="T83" s="120"/>
      <c r="U83" s="120"/>
    </row>
    <row r="84" spans="1:21" ht="13.9" customHeight="1" x14ac:dyDescent="0.25">
      <c r="A84" s="121" t="s">
        <v>72</v>
      </c>
      <c r="B84" s="122"/>
      <c r="C84" s="62"/>
      <c r="D84" s="12"/>
      <c r="E84" s="36"/>
      <c r="F84" s="75"/>
      <c r="G84" s="36"/>
      <c r="H84" s="36"/>
      <c r="I84" s="62"/>
      <c r="K84" s="29"/>
      <c r="M84" s="120"/>
      <c r="N84" s="120"/>
      <c r="O84" s="120"/>
      <c r="P84" s="120"/>
      <c r="Q84" s="120"/>
      <c r="R84" s="120"/>
      <c r="S84" s="120"/>
      <c r="T84" s="120"/>
      <c r="U84" s="120"/>
    </row>
    <row r="85" spans="1:21" ht="13.9" customHeight="1" x14ac:dyDescent="0.25">
      <c r="A85" s="73">
        <v>45846</v>
      </c>
      <c r="B85" s="74" t="s">
        <v>20</v>
      </c>
      <c r="C85" s="64" t="str">
        <f>IF(OR((E80=""),(G80=""),AND((E80=G80),OR((D80=""),(H80="")))),"Vencedor QF1",IF((E80=G80),IF((D80&gt;H80),C80,I80),IF((E80&gt;G80),C80,I80)))</f>
        <v>Bayern de Munique</v>
      </c>
      <c r="D85" s="47"/>
      <c r="E85" s="51">
        <v>0</v>
      </c>
      <c r="F85" s="75" t="s">
        <v>5</v>
      </c>
      <c r="G85" s="52">
        <v>1</v>
      </c>
      <c r="H85" s="55"/>
      <c r="I85" s="64" t="str">
        <f>IF(OR((G79=""),(E79=""),AND((G79=E79),OR((H79=""),(D79="")))),"Vencedor QF2",IF((G79=E79),IF((H79&gt;D79),I79,C79),IF((G79&gt;E79),I79,C79)))</f>
        <v>Manchester City</v>
      </c>
      <c r="K85" s="29"/>
      <c r="M85" s="120"/>
      <c r="N85" s="120"/>
      <c r="O85" s="120"/>
      <c r="P85" s="120"/>
      <c r="Q85" s="120"/>
      <c r="R85" s="120"/>
      <c r="S85" s="120"/>
      <c r="T85" s="120"/>
      <c r="U85" s="120"/>
    </row>
    <row r="86" spans="1:21" ht="13.9" customHeight="1" x14ac:dyDescent="0.25">
      <c r="A86" s="73">
        <v>45847</v>
      </c>
      <c r="B86" s="74" t="s">
        <v>20</v>
      </c>
      <c r="C86" s="66" t="str">
        <f>IF(OR((E81=""),(G81=""),AND((E81=G81),OR((D81=""),(H81="")))),"Vencedor QF3",IF((E81=G81),IF((D81&gt;H81),C81,I81),IF((E81&gt;G81),C81,I81)))</f>
        <v>Paris Saint-Germain</v>
      </c>
      <c r="D86" s="53"/>
      <c r="E86" s="51">
        <v>1</v>
      </c>
      <c r="F86" s="75" t="s">
        <v>5</v>
      </c>
      <c r="G86" s="52">
        <v>0</v>
      </c>
      <c r="H86" s="57"/>
      <c r="I86" s="66" t="str">
        <f>IF(OR((G82=""),(E82=""),AND((G82=E82),OR((H82=""),(D82="")))),"Vencedor QF4",IF((G82=E82),IF((H82&gt;D82),I82,C82),IF((G82&gt;E82),I82,C82)))</f>
        <v>Real Madrid</v>
      </c>
      <c r="K86" s="29" t="s">
        <v>73</v>
      </c>
      <c r="M86" s="120"/>
      <c r="N86" s="120"/>
      <c r="O86" s="120"/>
      <c r="P86" s="120"/>
      <c r="Q86" s="120"/>
      <c r="R86" s="120"/>
      <c r="S86" s="120"/>
      <c r="T86" s="120"/>
      <c r="U86" s="120"/>
    </row>
    <row r="87" spans="1:21" ht="13.9" customHeight="1" x14ac:dyDescent="0.25">
      <c r="A87" s="106"/>
      <c r="B87" s="107"/>
      <c r="C87" s="66"/>
      <c r="D87" s="108"/>
      <c r="E87" s="109"/>
      <c r="F87" s="110"/>
      <c r="G87" s="109"/>
      <c r="H87" s="111"/>
      <c r="I87" s="66"/>
      <c r="K87" s="29"/>
      <c r="M87" s="120"/>
      <c r="N87" s="120"/>
      <c r="O87" s="120"/>
      <c r="P87" s="120"/>
      <c r="Q87" s="120"/>
      <c r="R87" s="120"/>
      <c r="S87" s="120"/>
      <c r="T87" s="120"/>
      <c r="U87" s="120"/>
    </row>
    <row r="88" spans="1:21" ht="13.9" customHeight="1" x14ac:dyDescent="0.3">
      <c r="A88" s="101" t="s">
        <v>74</v>
      </c>
      <c r="B88" s="104"/>
      <c r="C88" s="69"/>
      <c r="D88" s="104"/>
      <c r="E88" s="105"/>
      <c r="F88" s="46"/>
      <c r="G88" s="105"/>
      <c r="H88" s="105"/>
      <c r="I88" s="69"/>
      <c r="K88" s="29"/>
    </row>
    <row r="89" spans="1:21" ht="13.9" customHeight="1" x14ac:dyDescent="0.25">
      <c r="A89" s="73">
        <v>45851</v>
      </c>
      <c r="B89" s="74" t="s">
        <v>20</v>
      </c>
      <c r="C89" s="114" t="str">
        <f>IF(OR((E85=""),(G85=""),AND((E85=G85),OR((D85=""),(H85=""))))," Vencedor SF 1  ",IF((E85=G85),IF((D85&gt;H85),C85,I85),IF((E85&gt;G85),C85,I85)))</f>
        <v>Manchester City</v>
      </c>
      <c r="D89" s="58"/>
      <c r="E89" s="51">
        <v>1</v>
      </c>
      <c r="F89" s="75" t="s">
        <v>5</v>
      </c>
      <c r="G89" s="52">
        <v>0</v>
      </c>
      <c r="H89" s="59"/>
      <c r="I89" s="84" t="str">
        <f>IF(OR((G86=""),(E86=""),AND((G86=E86),OR((H86=""),(D86="")))),"Vencedor SF2",IF((G86=E86),IF((H86&gt;D86),I86,C86),IF((G86&gt;E86),I86,C86)))</f>
        <v>Paris Saint-Germain</v>
      </c>
      <c r="K89" s="29" t="s">
        <v>75</v>
      </c>
    </row>
    <row r="90" spans="1:21" ht="13.9" customHeight="1" x14ac:dyDescent="0.25">
      <c r="A90" s="43"/>
      <c r="B90" s="42"/>
      <c r="C90" s="112"/>
      <c r="E90" s="40"/>
      <c r="F90" s="77"/>
      <c r="G90" s="40"/>
      <c r="I90" s="112"/>
      <c r="L90" s="84"/>
    </row>
    <row r="91" spans="1:21" ht="13.9" customHeight="1" x14ac:dyDescent="0.25">
      <c r="A91" s="133" t="s">
        <v>76</v>
      </c>
      <c r="B91" s="134"/>
      <c r="C91" s="137" t="s">
        <v>90</v>
      </c>
      <c r="D91" s="138"/>
      <c r="E91" s="139"/>
    </row>
    <row r="92" spans="1:21" ht="13.9" customHeight="1" x14ac:dyDescent="0.25">
      <c r="A92" s="135"/>
      <c r="B92" s="136"/>
      <c r="C92" s="140"/>
      <c r="D92" s="141"/>
      <c r="E92" s="142"/>
    </row>
    <row r="93" spans="1:21" ht="12" customHeight="1" x14ac:dyDescent="0.25">
      <c r="A93" s="23"/>
    </row>
  </sheetData>
  <mergeCells count="41">
    <mergeCell ref="A91:B92"/>
    <mergeCell ref="C91:E92"/>
    <mergeCell ref="C1:T1"/>
    <mergeCell ref="A2:B2"/>
    <mergeCell ref="C2:T2"/>
    <mergeCell ref="A3:C3"/>
    <mergeCell ref="E3:G3"/>
    <mergeCell ref="L4:T4"/>
    <mergeCell ref="L12:T12"/>
    <mergeCell ref="L60:T60"/>
    <mergeCell ref="A59:C59"/>
    <mergeCell ref="E59:G59"/>
    <mergeCell ref="L20:T20"/>
    <mergeCell ref="L52:T52"/>
    <mergeCell ref="L28:T28"/>
    <mergeCell ref="A35:C35"/>
    <mergeCell ref="A19:C19"/>
    <mergeCell ref="E19:G19"/>
    <mergeCell ref="A27:C27"/>
    <mergeCell ref="E27:G27"/>
    <mergeCell ref="A11:C11"/>
    <mergeCell ref="E11:G11"/>
    <mergeCell ref="E68:G68"/>
    <mergeCell ref="A43:C43"/>
    <mergeCell ref="M69:T69"/>
    <mergeCell ref="M68:T68"/>
    <mergeCell ref="A68:B68"/>
    <mergeCell ref="E35:G35"/>
    <mergeCell ref="L36:T36"/>
    <mergeCell ref="A51:C51"/>
    <mergeCell ref="E51:G51"/>
    <mergeCell ref="E43:G43"/>
    <mergeCell ref="L44:T44"/>
    <mergeCell ref="M72:T72"/>
    <mergeCell ref="M76:U80"/>
    <mergeCell ref="M81:U87"/>
    <mergeCell ref="A84:B84"/>
    <mergeCell ref="M73:T73"/>
    <mergeCell ref="M74:T74"/>
    <mergeCell ref="M75:T75"/>
    <mergeCell ref="A78:B78"/>
  </mergeCells>
  <conditionalFormatting sqref="D69">
    <cfRule type="expression" dxfId="29" priority="30" stopIfTrue="1">
      <formula>$E$69=$G$69</formula>
    </cfRule>
  </conditionalFormatting>
  <conditionalFormatting sqref="D70">
    <cfRule type="expression" dxfId="28" priority="29" stopIfTrue="1">
      <formula>$E$70=$G$70</formula>
    </cfRule>
  </conditionalFormatting>
  <conditionalFormatting sqref="D71">
    <cfRule type="expression" dxfId="27" priority="28" stopIfTrue="1">
      <formula>$E$71=$G$71</formula>
    </cfRule>
  </conditionalFormatting>
  <conditionalFormatting sqref="D72">
    <cfRule type="expression" dxfId="26" priority="27" stopIfTrue="1">
      <formula>$E$72=$G$72</formula>
    </cfRule>
  </conditionalFormatting>
  <conditionalFormatting sqref="D73">
    <cfRule type="expression" dxfId="25" priority="26" stopIfTrue="1">
      <formula>$E$73=$G$73</formula>
    </cfRule>
  </conditionalFormatting>
  <conditionalFormatting sqref="D74">
    <cfRule type="expression" dxfId="24" priority="25" stopIfTrue="1">
      <formula>$E$74=$G$74</formula>
    </cfRule>
  </conditionalFormatting>
  <conditionalFormatting sqref="D75">
    <cfRule type="expression" dxfId="23" priority="24" stopIfTrue="1">
      <formula>$E$75=$G$75</formula>
    </cfRule>
  </conditionalFormatting>
  <conditionalFormatting sqref="D76">
    <cfRule type="expression" dxfId="22" priority="23" stopIfTrue="1">
      <formula>$E$76=$G$76</formula>
    </cfRule>
  </conditionalFormatting>
  <conditionalFormatting sqref="D79">
    <cfRule type="expression" dxfId="21" priority="14" stopIfTrue="1">
      <formula>$E$79=$G$79</formula>
    </cfRule>
  </conditionalFormatting>
  <conditionalFormatting sqref="D80">
    <cfRule type="expression" dxfId="20" priority="13" stopIfTrue="1">
      <formula>$E$80=$G$80</formula>
    </cfRule>
  </conditionalFormatting>
  <conditionalFormatting sqref="D81">
    <cfRule type="expression" dxfId="19" priority="12" stopIfTrue="1">
      <formula>$E$81=$G$81</formula>
    </cfRule>
  </conditionalFormatting>
  <conditionalFormatting sqref="D82">
    <cfRule type="expression" dxfId="18" priority="11" stopIfTrue="1">
      <formula>$E$82=$G$82</formula>
    </cfRule>
  </conditionalFormatting>
  <conditionalFormatting sqref="D85">
    <cfRule type="expression" dxfId="17" priority="6" stopIfTrue="1">
      <formula>$E$85=$G$85</formula>
    </cfRule>
  </conditionalFormatting>
  <conditionalFormatting sqref="D86">
    <cfRule type="expression" dxfId="16" priority="5" stopIfTrue="1">
      <formula>$E$86=$G$86</formula>
    </cfRule>
  </conditionalFormatting>
  <conditionalFormatting sqref="D89">
    <cfRule type="expression" dxfId="15" priority="2" stopIfTrue="1">
      <formula>$E$92=$G$92</formula>
    </cfRule>
  </conditionalFormatting>
  <conditionalFormatting sqref="H69">
    <cfRule type="expression" dxfId="14" priority="22" stopIfTrue="1">
      <formula>$E$69=$G$69</formula>
    </cfRule>
  </conditionalFormatting>
  <conditionalFormatting sqref="H70">
    <cfRule type="expression" dxfId="13" priority="21" stopIfTrue="1">
      <formula>$E$70=$G$70</formula>
    </cfRule>
  </conditionalFormatting>
  <conditionalFormatting sqref="H71">
    <cfRule type="expression" dxfId="12" priority="20" stopIfTrue="1">
      <formula>$E$71=$G$71</formula>
    </cfRule>
  </conditionalFormatting>
  <conditionalFormatting sqref="H72">
    <cfRule type="expression" dxfId="11" priority="19" stopIfTrue="1">
      <formula>$E$72=$G$72</formula>
    </cfRule>
  </conditionalFormatting>
  <conditionalFormatting sqref="H73">
    <cfRule type="expression" dxfId="10" priority="18" stopIfTrue="1">
      <formula>$E$73=$G$73</formula>
    </cfRule>
  </conditionalFormatting>
  <conditionalFormatting sqref="H74">
    <cfRule type="expression" dxfId="9" priority="17" stopIfTrue="1">
      <formula>$E$74=$G$74</formula>
    </cfRule>
  </conditionalFormatting>
  <conditionalFormatting sqref="H75">
    <cfRule type="expression" dxfId="8" priority="16" stopIfTrue="1">
      <formula>$E$75=$G$75</formula>
    </cfRule>
  </conditionalFormatting>
  <conditionalFormatting sqref="H76">
    <cfRule type="expression" dxfId="7" priority="15" stopIfTrue="1">
      <formula>$E$76=$G$76</formula>
    </cfRule>
  </conditionalFormatting>
  <conditionalFormatting sqref="H79">
    <cfRule type="expression" dxfId="6" priority="10" stopIfTrue="1">
      <formula>$E$79=$G$79</formula>
    </cfRule>
  </conditionalFormatting>
  <conditionalFormatting sqref="H80">
    <cfRule type="expression" dxfId="5" priority="9" stopIfTrue="1">
      <formula>$E$80=$G$80</formula>
    </cfRule>
  </conditionalFormatting>
  <conditionalFormatting sqref="H81">
    <cfRule type="expression" dxfId="4" priority="8" stopIfTrue="1">
      <formula>$E$81=$G$81</formula>
    </cfRule>
  </conditionalFormatting>
  <conditionalFormatting sqref="H82">
    <cfRule type="expression" dxfId="3" priority="7" stopIfTrue="1">
      <formula>$E$82=$G$82</formula>
    </cfRule>
  </conditionalFormatting>
  <conditionalFormatting sqref="H85">
    <cfRule type="expression" dxfId="2" priority="4" stopIfTrue="1">
      <formula>$E$85=$G$85</formula>
    </cfRule>
  </conditionalFormatting>
  <conditionalFormatting sqref="H86">
    <cfRule type="expression" dxfId="1" priority="3" stopIfTrue="1">
      <formula>$E$86=$G$86</formula>
    </cfRule>
  </conditionalFormatting>
  <conditionalFormatting sqref="H89">
    <cfRule type="expression" dxfId="0" priority="1" stopIfTrue="1">
      <formula>$E$92=$G$92</formula>
    </cfRule>
  </conditionalFormatting>
  <pageMargins left="0.75" right="0.75" top="1" bottom="1" header="0.5" footer="0.5"/>
  <pageSetup paperSize="9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A73E-43F0-42DB-9BF8-672B5E67BA78}">
  <sheetPr codeName="Plan1"/>
  <dimension ref="A1:AQ100"/>
  <sheetViews>
    <sheetView topLeftCell="A24" workbookViewId="0">
      <selection activeCell="U64" sqref="U64"/>
    </sheetView>
  </sheetViews>
  <sheetFormatPr defaultColWidth="9.1796875" defaultRowHeight="12.5" x14ac:dyDescent="0.25"/>
  <cols>
    <col min="1" max="1" width="17.453125" style="94" customWidth="1"/>
    <col min="2" max="2" width="3" style="94" customWidth="1"/>
    <col min="3" max="3" width="1.81640625" style="94" customWidth="1"/>
    <col min="4" max="4" width="2.1796875" style="94" customWidth="1"/>
    <col min="5" max="5" width="1.81640625" style="94" customWidth="1"/>
    <col min="6" max="6" width="2" style="94" customWidth="1"/>
    <col min="7" max="7" width="3" style="94" customWidth="1"/>
    <col min="8" max="10" width="3.1796875" style="94" customWidth="1"/>
    <col min="11" max="11" width="11.26953125" style="94" customWidth="1"/>
    <col min="12" max="12" width="2.7265625" style="94" customWidth="1"/>
    <col min="13" max="13" width="2" style="94" customWidth="1"/>
    <col min="14" max="14" width="11.453125" style="94" customWidth="1"/>
    <col min="15" max="15" width="2.26953125" style="94" customWidth="1"/>
    <col min="16" max="16" width="2.453125" style="94" customWidth="1"/>
    <col min="17" max="17" width="10.26953125" style="94" customWidth="1"/>
    <col min="18" max="18" width="2.7265625" style="94" customWidth="1"/>
    <col min="19" max="19" width="3.1796875" style="94" customWidth="1"/>
    <col min="20" max="20" width="2.26953125" style="94" customWidth="1"/>
    <col min="21" max="21" width="10.26953125" style="94" customWidth="1"/>
    <col min="22" max="22" width="2.7265625" style="94" customWidth="1"/>
    <col min="23" max="23" width="3.1796875" style="94" customWidth="1"/>
    <col min="24" max="24" width="10.1796875" style="94" customWidth="1"/>
    <col min="25" max="25" width="2.7265625" style="94" customWidth="1"/>
    <col min="26" max="26" width="3.1796875" style="94" customWidth="1"/>
    <col min="27" max="27" width="2.81640625" style="94" customWidth="1"/>
    <col min="28" max="28" width="10.1796875" style="94" customWidth="1"/>
    <col min="29" max="29" width="2.7265625" style="94" customWidth="1"/>
    <col min="30" max="30" width="3.1796875" style="94" customWidth="1"/>
    <col min="31" max="31" width="3" style="94" customWidth="1"/>
    <col min="32" max="32" width="10.1796875" style="94" customWidth="1"/>
    <col min="33" max="33" width="2.7265625" style="94" customWidth="1"/>
    <col min="34" max="34" width="3.1796875" style="94" customWidth="1"/>
    <col min="35" max="35" width="3" style="94" customWidth="1"/>
    <col min="36" max="36" width="10.1796875" style="94" customWidth="1"/>
    <col min="37" max="37" width="2.7265625" style="94" customWidth="1"/>
    <col min="38" max="38" width="3.1796875" style="94" customWidth="1"/>
    <col min="39" max="39" width="3" style="94" customWidth="1"/>
    <col min="40" max="40" width="10.1796875" style="94" customWidth="1"/>
    <col min="41" max="41" width="2.7265625" style="94" customWidth="1"/>
    <col min="42" max="42" width="3.1796875" style="94" customWidth="1"/>
    <col min="43" max="43" width="3" style="94" customWidth="1"/>
    <col min="44" max="16384" width="9.1796875" style="94"/>
  </cols>
  <sheetData>
    <row r="1" spans="1:43" ht="12" customHeight="1" x14ac:dyDescent="0.2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</row>
    <row r="2" spans="1:43" ht="12" customHeigh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</row>
    <row r="3" spans="1:43" ht="12" customHeight="1" x14ac:dyDescent="0.2">
      <c r="A3" s="92"/>
      <c r="B3" s="152" t="s">
        <v>77</v>
      </c>
      <c r="C3" s="152"/>
      <c r="D3" s="152"/>
      <c r="E3" s="152"/>
      <c r="F3" s="152"/>
      <c r="G3" s="152"/>
      <c r="H3" s="152"/>
      <c r="I3" s="152"/>
      <c r="J3" s="93"/>
      <c r="K3" s="93" t="s">
        <v>78</v>
      </c>
      <c r="L3" s="93"/>
      <c r="M3" s="93"/>
      <c r="N3" s="93" t="s">
        <v>79</v>
      </c>
      <c r="O3" s="93"/>
      <c r="P3" s="93"/>
      <c r="Q3" s="93" t="s">
        <v>80</v>
      </c>
      <c r="R3" s="93"/>
      <c r="S3" s="93"/>
      <c r="T3" s="93"/>
      <c r="U3" s="93" t="s">
        <v>80</v>
      </c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</row>
    <row r="4" spans="1:43" ht="12" customHeight="1" x14ac:dyDescent="0.25">
      <c r="A4" s="95" t="s">
        <v>81</v>
      </c>
      <c r="B4" s="96" t="s">
        <v>11</v>
      </c>
      <c r="C4" s="97" t="s">
        <v>12</v>
      </c>
      <c r="D4" s="97" t="s">
        <v>13</v>
      </c>
      <c r="E4" s="97" t="s">
        <v>14</v>
      </c>
      <c r="F4" s="97" t="s">
        <v>15</v>
      </c>
      <c r="G4" s="97" t="s">
        <v>16</v>
      </c>
      <c r="H4" s="97" t="s">
        <v>17</v>
      </c>
      <c r="I4" s="97" t="s">
        <v>18</v>
      </c>
      <c r="J4" s="98"/>
      <c r="K4" s="93"/>
      <c r="L4" s="93" t="s">
        <v>11</v>
      </c>
      <c r="M4" s="93"/>
      <c r="N4" s="93"/>
      <c r="O4" s="93" t="s">
        <v>82</v>
      </c>
      <c r="P4" s="93"/>
      <c r="Q4" s="93"/>
      <c r="R4" s="93" t="s">
        <v>11</v>
      </c>
      <c r="S4" s="93" t="s">
        <v>18</v>
      </c>
      <c r="T4" s="93"/>
      <c r="U4" s="93"/>
      <c r="V4" s="93" t="s">
        <v>11</v>
      </c>
      <c r="W4" s="93" t="s">
        <v>18</v>
      </c>
      <c r="X4" s="93"/>
      <c r="Y4" s="93" t="s">
        <v>11</v>
      </c>
      <c r="Z4" s="93" t="s">
        <v>18</v>
      </c>
      <c r="AA4" s="93"/>
      <c r="AB4" s="93"/>
      <c r="AC4" s="93" t="s">
        <v>11</v>
      </c>
      <c r="AD4" s="93" t="s">
        <v>18</v>
      </c>
      <c r="AE4" s="93" t="s">
        <v>16</v>
      </c>
      <c r="AF4" s="93"/>
      <c r="AG4" s="93" t="s">
        <v>11</v>
      </c>
      <c r="AH4" s="93" t="s">
        <v>18</v>
      </c>
      <c r="AI4" s="93" t="s">
        <v>16</v>
      </c>
      <c r="AJ4" s="93"/>
      <c r="AK4" s="93" t="s">
        <v>11</v>
      </c>
      <c r="AL4" s="93" t="s">
        <v>18</v>
      </c>
      <c r="AM4" s="93" t="s">
        <v>16</v>
      </c>
      <c r="AN4" s="93"/>
      <c r="AO4" s="93" t="s">
        <v>11</v>
      </c>
      <c r="AP4" s="93" t="s">
        <v>18</v>
      </c>
      <c r="AQ4" s="93" t="s">
        <v>16</v>
      </c>
    </row>
    <row r="5" spans="1:43" ht="12" customHeight="1" x14ac:dyDescent="0.25">
      <c r="A5" s="92" t="s">
        <v>4</v>
      </c>
      <c r="B5" s="96">
        <f>SUM((D5*3))+E5</f>
        <v>0</v>
      </c>
      <c r="C5" s="97">
        <f>COUNT('Tabela Jogos'!E4,'Tabela Jogos'!G6,'Tabela Jogos'!G9)</f>
        <v>3</v>
      </c>
      <c r="D5" s="97">
        <f>SUM(IF(('Tabela Jogos'!$E$4&gt;'Tabela Jogos'!$G$4),COUNT('Tabela Jogos'!$E$4)),IF(('Tabela Jogos'!$G$6&gt;'Tabela Jogos'!$E$6),COUNT('Tabela Jogos'!$G$6)),IF(('Tabela Jogos'!$G$9&gt;'Tabela Jogos'!$E$9),COUNT('Tabela Jogos'!$G$9)))</f>
        <v>0</v>
      </c>
      <c r="E5" s="97">
        <f>SUM(IF(('Tabela Jogos'!$E$4='Tabela Jogos'!$G$4),COUNT('Tabela Jogos'!$E$4)),IF(('Tabela Jogos'!$G$6='Tabela Jogos'!$E$6),COUNT('Tabela Jogos'!$G$6)),IF(('Tabela Jogos'!$G$9='Tabela Jogos'!$E$9),COUNT('Tabela Jogos'!$G$9)))</f>
        <v>0</v>
      </c>
      <c r="F5" s="97">
        <f>SUM(IF(('Tabela Jogos'!$E$4&lt;'Tabela Jogos'!$G$4),COUNT('Tabela Jogos'!$E$4)),IF(('Tabela Jogos'!$G$6&lt;'Tabela Jogos'!$E$6),COUNT('Tabela Jogos'!$G$6)),IF(('Tabela Jogos'!$G$9&lt;'Tabela Jogos'!$E$9),COUNT('Tabela Jogos'!$G$9)))</f>
        <v>3</v>
      </c>
      <c r="G5" s="97">
        <f>SUM((('Tabela Jogos'!E4+'Tabela Jogos'!G6)+'Tabela Jogos'!G9))</f>
        <v>0</v>
      </c>
      <c r="H5" s="97">
        <f>SUM((('Tabela Jogos'!G4+'Tabela Jogos'!E6)+'Tabela Jogos'!E9))</f>
        <v>6</v>
      </c>
      <c r="I5" s="97">
        <f>SUM((G5-H5))</f>
        <v>-6</v>
      </c>
      <c r="J5" s="96"/>
      <c r="K5" s="93" t="str">
        <f>IF(($B5&gt;=$B6),$A5,$A6)</f>
        <v>Inter Miami</v>
      </c>
      <c r="L5" s="99">
        <f>VLOOKUP(K5,$A$5:$I$8,2,FALSE)</f>
        <v>3</v>
      </c>
      <c r="M5" s="93"/>
      <c r="N5" s="93" t="str">
        <f>IF((L5&gt;=L7),K5,K7)</f>
        <v>Palmeiras</v>
      </c>
      <c r="O5" s="99">
        <f>VLOOKUP(N5,$A$5:$I$8,2,FALSE)</f>
        <v>7</v>
      </c>
      <c r="P5" s="93"/>
      <c r="Q5" s="93" t="str">
        <f>IF((O5&gt;=O8),N5,N8)</f>
        <v>Palmeiras</v>
      </c>
      <c r="R5" s="99">
        <f>VLOOKUP(Q5,$A$5:$I$8,2,FALSE)</f>
        <v>7</v>
      </c>
      <c r="S5" s="99">
        <f>VLOOKUP(Q5,$A$5:$I$8,9,FALSE)</f>
        <v>3</v>
      </c>
      <c r="T5" s="93"/>
      <c r="U5" s="93" t="str">
        <f>IF(AND((R5=R6),(S6&gt;S5)),Q6,Q5)</f>
        <v>Palmeiras</v>
      </c>
      <c r="V5" s="99">
        <f>VLOOKUP(U5,$A$5:$I$8,2,FALSE)</f>
        <v>7</v>
      </c>
      <c r="W5" s="99">
        <f>VLOOKUP(U5,$A$5:$I$8,9,FALSE)</f>
        <v>3</v>
      </c>
      <c r="X5" s="93" t="str">
        <f>IF(AND((V5=V7),(W7&gt;W5)),U7,U5)</f>
        <v>Palmeiras</v>
      </c>
      <c r="Y5" s="99">
        <f>VLOOKUP(X5,$A$5:$I$8,2,FALSE)</f>
        <v>7</v>
      </c>
      <c r="Z5" s="99">
        <f>VLOOKUP(X5,$A$5:$I$8,9,FALSE)</f>
        <v>3</v>
      </c>
      <c r="AA5" s="93"/>
      <c r="AB5" s="93" t="str">
        <f>IF(AND((Y5=Y8),(Z8&gt;Z5)),X8,X5)</f>
        <v>Palmeiras</v>
      </c>
      <c r="AC5" s="99">
        <f>VLOOKUP(AB5,$A$5:$I$8,2,FALSE)</f>
        <v>7</v>
      </c>
      <c r="AD5" s="99">
        <f>VLOOKUP(AB5,$A$5:$I$8,9,FALSE)</f>
        <v>3</v>
      </c>
      <c r="AE5" s="99">
        <f>VLOOKUP(AB5,$A$5:$I$8,7,FALSE)</f>
        <v>5</v>
      </c>
      <c r="AF5" s="93" t="str">
        <f>IF(AND((AC5=AC6),(AD5=AD6),(AE6&gt;AE5)),AB6,AB5)</f>
        <v>Palmeiras</v>
      </c>
      <c r="AG5" s="99">
        <f>VLOOKUP(AF5,$A$5:$I$8,2,FALSE)</f>
        <v>7</v>
      </c>
      <c r="AH5" s="99">
        <f>VLOOKUP(AF5,$A$5:$I$8,9,FALSE)</f>
        <v>3</v>
      </c>
      <c r="AI5" s="99">
        <f>VLOOKUP(AF5,$A$5:$I$8,7,FALSE)</f>
        <v>5</v>
      </c>
      <c r="AJ5" s="93" t="str">
        <f>IF(AND((AG5=AG7),(AH5=AH7),(AI7&gt;AI5)),AF7,AF5)</f>
        <v>Palmeiras</v>
      </c>
      <c r="AK5" s="99">
        <f>VLOOKUP(AJ5,$A$5:$I$8,2,FALSE)</f>
        <v>7</v>
      </c>
      <c r="AL5" s="99">
        <f>VLOOKUP(AJ5,$A$5:$I$8,9,FALSE)</f>
        <v>3</v>
      </c>
      <c r="AM5" s="99">
        <f>VLOOKUP(AJ5,$A$5:$I$8,7,FALSE)</f>
        <v>5</v>
      </c>
      <c r="AN5" s="93" t="str">
        <f>IF(AND((AK5=AK8),(AL5=AL8),(AM8&gt;AM5)),AJ8,AJ5)</f>
        <v>Palmeiras</v>
      </c>
      <c r="AO5" s="99">
        <f>VLOOKUP(AN5,$A$5:$I$8,2,FALSE)</f>
        <v>7</v>
      </c>
      <c r="AP5" s="99">
        <f>VLOOKUP(AN5,$A$5:$I$8,9,FALSE)</f>
        <v>3</v>
      </c>
      <c r="AQ5" s="99">
        <f>VLOOKUP(AN5,$A$5:$I$8,7,FALSE)</f>
        <v>5</v>
      </c>
    </row>
    <row r="6" spans="1:43" ht="12" customHeight="1" x14ac:dyDescent="0.25">
      <c r="A6" s="92" t="s">
        <v>6</v>
      </c>
      <c r="B6" s="96">
        <f>SUM((D6*3))+E6</f>
        <v>3</v>
      </c>
      <c r="C6" s="97">
        <f>COUNT('Tabela Jogos'!G4,'Tabela Jogos'!E7,'Tabela Jogos'!E8)</f>
        <v>3</v>
      </c>
      <c r="D6" s="97">
        <f>SUM(IF(('Tabela Jogos'!$G$4&gt;'Tabela Jogos'!$E$4),COUNT('Tabela Jogos'!$G$4)),IF(('Tabela Jogos'!$E$7&gt;'Tabela Jogos'!$G$7),COUNT('Tabela Jogos'!$E$7)),IF(('Tabela Jogos'!$E$8&gt;'Tabela Jogos'!$G$8),COUNT('Tabela Jogos'!$E$8)))</f>
        <v>1</v>
      </c>
      <c r="E6" s="97">
        <f>SUM(IF(('Tabela Jogos'!$G$4='Tabela Jogos'!$E$4),COUNT('Tabela Jogos'!$G$4)),IF(('Tabela Jogos'!$E$7='Tabela Jogos'!$G$7),COUNT('Tabela Jogos'!$E$7)),IF(('Tabela Jogos'!$E$8='Tabela Jogos'!$G$8),COUNT('Tabela Jogos'!$E$8)))</f>
        <v>0</v>
      </c>
      <c r="F6" s="97">
        <f>SUM(IF(('Tabela Jogos'!$G$4&lt;'Tabela Jogos'!$E$4),COUNT('Tabela Jogos'!$G$4)),IF(('Tabela Jogos'!$E$7&lt;'Tabela Jogos'!$G$7),COUNT('Tabela Jogos'!$E$7)),IF(('Tabela Jogos'!$E$8&lt;'Tabela Jogos'!$G$8),COUNT('Tabela Jogos'!$E$8)))</f>
        <v>2</v>
      </c>
      <c r="G6" s="97">
        <f>SUM((('Tabela Jogos'!G4+'Tabela Jogos'!E7)+'Tabela Jogos'!E8))</f>
        <v>4</v>
      </c>
      <c r="H6" s="97">
        <f>SUM((('Tabela Jogos'!E4+'Tabela Jogos'!G7)+'Tabela Jogos'!G8))</f>
        <v>4</v>
      </c>
      <c r="I6" s="97">
        <f>SUM((G6-H6))</f>
        <v>0</v>
      </c>
      <c r="J6" s="96"/>
      <c r="K6" s="93" t="str">
        <f>IF((B6&lt;=B5),A6,A5)</f>
        <v>Al Ahly</v>
      </c>
      <c r="L6" s="99">
        <f>VLOOKUP(K6,$A$5:$I$8,2,FALSE)</f>
        <v>0</v>
      </c>
      <c r="M6" s="93"/>
      <c r="N6" s="93" t="str">
        <f>IF((L6&gt;=L8),K6,K8)</f>
        <v>Porto</v>
      </c>
      <c r="O6" s="99">
        <f>VLOOKUP(N6,$A$5:$I$8,2,FALSE)</f>
        <v>7</v>
      </c>
      <c r="P6" s="93"/>
      <c r="Q6" s="93" t="str">
        <f>IF((O6&gt;=O7),N6,N7)</f>
        <v>Porto</v>
      </c>
      <c r="R6" s="99">
        <f>VLOOKUP(Q6,$A$5:$I$8,2,FALSE)</f>
        <v>7</v>
      </c>
      <c r="S6" s="99">
        <f>VLOOKUP(Q6,$A$5:$I$8,9,FALSE)</f>
        <v>3</v>
      </c>
      <c r="T6" s="93"/>
      <c r="U6" s="93" t="str">
        <f>IF(AND((R5=R6),(S6&gt;S5)),Q5,Q6)</f>
        <v>Porto</v>
      </c>
      <c r="V6" s="99">
        <f>VLOOKUP(U6,$A$5:$I$8,2,FALSE)</f>
        <v>7</v>
      </c>
      <c r="W6" s="99">
        <f>VLOOKUP(U6,$A$5:$I$8,9,FALSE)</f>
        <v>3</v>
      </c>
      <c r="X6" s="93" t="str">
        <f>IF(AND((V6=V8),(W8&gt;W6)),U8,U6)</f>
        <v>Porto</v>
      </c>
      <c r="Y6" s="99">
        <f>VLOOKUP(X6,$A$5:$I$8,2,FALSE)</f>
        <v>7</v>
      </c>
      <c r="Z6" s="99">
        <f>VLOOKUP(X6,$A$5:$I$8,9,FALSE)</f>
        <v>3</v>
      </c>
      <c r="AA6" s="93"/>
      <c r="AB6" s="93" t="str">
        <f>IF(AND((Y6=Y7),(Z7&gt;Z6)),X7,X6)</f>
        <v>Porto</v>
      </c>
      <c r="AC6" s="99">
        <f>VLOOKUP(AB6,$A$5:$I$8,2,FALSE)</f>
        <v>7</v>
      </c>
      <c r="AD6" s="99">
        <f>VLOOKUP(AB6,$A$5:$I$8,9,FALSE)</f>
        <v>3</v>
      </c>
      <c r="AE6" s="99">
        <f>VLOOKUP(AB6,$A$5:$I$8,7,FALSE)</f>
        <v>5</v>
      </c>
      <c r="AF6" s="93" t="str">
        <f>IF(AND((AC6=AC5),(AD6=AD5),(AE6&gt;AE5)),AB5,AB6)</f>
        <v>Porto</v>
      </c>
      <c r="AG6" s="99">
        <f>VLOOKUP(AF6,$A$5:$I$8,2,FALSE)</f>
        <v>7</v>
      </c>
      <c r="AH6" s="99">
        <f>VLOOKUP(AF6,$A$5:$I$8,9,FALSE)</f>
        <v>3</v>
      </c>
      <c r="AI6" s="99">
        <f>VLOOKUP(AF6,$A$5:$I$8,7,FALSE)</f>
        <v>5</v>
      </c>
      <c r="AJ6" s="93" t="str">
        <f>IF(AND((AG6=AG8),(AH6=AH8),(AI8&gt;AI6)),AF8,AF6)</f>
        <v>Porto</v>
      </c>
      <c r="AK6" s="99">
        <f>VLOOKUP(AJ6,$A$5:$I$8,2,FALSE)</f>
        <v>7</v>
      </c>
      <c r="AL6" s="99">
        <f>VLOOKUP(AJ6,$A$5:$I$8,9,FALSE)</f>
        <v>3</v>
      </c>
      <c r="AM6" s="99">
        <f>VLOOKUP(AJ6,$A$5:$I$8,7,FALSE)</f>
        <v>5</v>
      </c>
      <c r="AN6" s="93" t="str">
        <f>IF(AND((AK6=AK7),(AL6=AL7),(AM7&gt;AM6)),AJ7,AJ6)</f>
        <v>Porto</v>
      </c>
      <c r="AO6" s="99">
        <f>VLOOKUP(AN6,$A$5:$I$8,2,FALSE)</f>
        <v>7</v>
      </c>
      <c r="AP6" s="99">
        <f>VLOOKUP(AN6,$A$5:$I$8,9,FALSE)</f>
        <v>3</v>
      </c>
      <c r="AQ6" s="99">
        <f>VLOOKUP(AN6,$A$5:$I$8,7,FALSE)</f>
        <v>5</v>
      </c>
    </row>
    <row r="7" spans="1:43" ht="12" customHeight="1" x14ac:dyDescent="0.25">
      <c r="A7" s="92" t="s">
        <v>9</v>
      </c>
      <c r="B7" s="96">
        <f>SUM((D7*3))+E7</f>
        <v>7</v>
      </c>
      <c r="C7" s="97">
        <f>COUNT('Tabela Jogos'!E5,'Tabela Jogos'!E6,'Tabela Jogos'!G8)</f>
        <v>3</v>
      </c>
      <c r="D7" s="97">
        <f>SUM(IF(('Tabela Jogos'!$E$5&gt;'Tabela Jogos'!$G$5),COUNT('Tabela Jogos'!$E$5)),IF(('Tabela Jogos'!$E$6&gt;'Tabela Jogos'!$G$6),COUNT('Tabela Jogos'!$E$6)),IF(('Tabela Jogos'!$G$8&gt;'Tabela Jogos'!$E$8),COUNT('Tabela Jogos'!$G$8)))</f>
        <v>2</v>
      </c>
      <c r="E7" s="97">
        <f>SUM(IF(('Tabela Jogos'!$E$5='Tabela Jogos'!$G$5),COUNT('Tabela Jogos'!$E$5)),IF(('Tabela Jogos'!$E$6='Tabela Jogos'!$G$6),COUNT('Tabela Jogos'!$E$6)),IF(('Tabela Jogos'!$G$8='Tabela Jogos'!$E$8),COUNT('Tabela Jogos'!$G$8)))</f>
        <v>1</v>
      </c>
      <c r="F7" s="97">
        <f>SUM(IF(('Tabela Jogos'!$E$5&lt;'Tabela Jogos'!$G$5),COUNT('Tabela Jogos'!$E$5)),IF(('Tabela Jogos'!$E$6&lt;'Tabela Jogos'!$G$6),COUNT('Tabela Jogos'!$E$6)),IF(('Tabela Jogos'!$G$8&lt;'Tabela Jogos'!$E$8),COUNT('Tabela Jogos'!$G$8)))</f>
        <v>0</v>
      </c>
      <c r="G7" s="97">
        <f>SUM((('Tabela Jogos'!E5+'Tabela Jogos'!E6)+'Tabela Jogos'!G8))</f>
        <v>5</v>
      </c>
      <c r="H7" s="97">
        <f>SUM((('Tabela Jogos'!G5+'Tabela Jogos'!G6)+'Tabela Jogos'!E8))</f>
        <v>2</v>
      </c>
      <c r="I7" s="97">
        <f>SUM((G7-H7))</f>
        <v>3</v>
      </c>
      <c r="J7" s="96"/>
      <c r="K7" s="93" t="str">
        <f>IF((B7&gt;=B8),A7,A8)</f>
        <v>Palmeiras</v>
      </c>
      <c r="L7" s="99">
        <f>VLOOKUP(K7,$A$5:$I$8,2,FALSE)</f>
        <v>7</v>
      </c>
      <c r="M7" s="93"/>
      <c r="N7" s="93" t="str">
        <f>IF((L7&lt;=L5),K7,K5)</f>
        <v>Inter Miami</v>
      </c>
      <c r="O7" s="99">
        <f>VLOOKUP(N7,$A$5:$I$8,2,FALSE)</f>
        <v>3</v>
      </c>
      <c r="P7" s="93"/>
      <c r="Q7" s="93" t="str">
        <f>IF((O7&lt;=O6),N7,N6)</f>
        <v>Inter Miami</v>
      </c>
      <c r="R7" s="99">
        <f>VLOOKUP(Q7,$A$5:$I$8,2,FALSE)</f>
        <v>3</v>
      </c>
      <c r="S7" s="99">
        <f>VLOOKUP(Q7,$A$5:$I$8,9,FALSE)</f>
        <v>0</v>
      </c>
      <c r="T7" s="93"/>
      <c r="U7" s="93" t="str">
        <f>IF(AND((R7=R8),(S8&gt;S7)),Q8,Q7)</f>
        <v>Inter Miami</v>
      </c>
      <c r="V7" s="99">
        <f>VLOOKUP(U7,$A$5:$I$8,2,FALSE)</f>
        <v>3</v>
      </c>
      <c r="W7" s="99">
        <f>VLOOKUP(U7,$A$5:$I$8,9,FALSE)</f>
        <v>0</v>
      </c>
      <c r="X7" s="93" t="str">
        <f>IF(AND((V5=V7),(W7&gt;W5)),U5,U7)</f>
        <v>Inter Miami</v>
      </c>
      <c r="Y7" s="99">
        <f>VLOOKUP(X7,$A$5:$I$8,2,FALSE)</f>
        <v>3</v>
      </c>
      <c r="Z7" s="99">
        <f>VLOOKUP(X7,$A$5:$I$8,9,FALSE)</f>
        <v>0</v>
      </c>
      <c r="AA7" s="93"/>
      <c r="AB7" s="93" t="str">
        <f>IF(AND((Y7=Y6),(Z7&gt;Z6)),X6,X7)</f>
        <v>Inter Miami</v>
      </c>
      <c r="AC7" s="99">
        <f>VLOOKUP(AB7,$A$5:$I$8,2,FALSE)</f>
        <v>3</v>
      </c>
      <c r="AD7" s="99">
        <f>VLOOKUP(AB7,$A$5:$I$8,9,FALSE)</f>
        <v>0</v>
      </c>
      <c r="AE7" s="99">
        <f>VLOOKUP(AB7,$A$5:$I$8,7,FALSE)</f>
        <v>4</v>
      </c>
      <c r="AF7" s="93" t="str">
        <f>IF(AND((AC7=AC8),(AD7=AD8),(AE8&gt;AE7)),AB8,AB7)</f>
        <v>Inter Miami</v>
      </c>
      <c r="AG7" s="99">
        <f>VLOOKUP(AF7,$A$5:$I$8,2,FALSE)</f>
        <v>3</v>
      </c>
      <c r="AH7" s="99">
        <f>VLOOKUP(AF7,$A$5:$I$8,9,FALSE)</f>
        <v>0</v>
      </c>
      <c r="AI7" s="99">
        <f>VLOOKUP(AF7,$A$5:$I$8,7,FALSE)</f>
        <v>4</v>
      </c>
      <c r="AJ7" s="93" t="str">
        <f>IF(AND((AG7=AG5),(AH7=AH5),(AI7&gt;AI5)),AF5,AF7)</f>
        <v>Inter Miami</v>
      </c>
      <c r="AK7" s="99">
        <f>VLOOKUP(AJ7,$A$5:$I$8,2,FALSE)</f>
        <v>3</v>
      </c>
      <c r="AL7" s="99">
        <f>VLOOKUP(AJ7,$A$5:$I$8,9,FALSE)</f>
        <v>0</v>
      </c>
      <c r="AM7" s="99">
        <f>VLOOKUP(AJ7,$A$5:$I$8,7,FALSE)</f>
        <v>4</v>
      </c>
      <c r="AN7" s="93" t="str">
        <f>IF(AND((AK7=AK6),(AL7=AL6),(AM7&gt;AM6)),AJ6,AJ7)</f>
        <v>Inter Miami</v>
      </c>
      <c r="AO7" s="99">
        <f>VLOOKUP(AN7,$A$5:$I$8,2,FALSE)</f>
        <v>3</v>
      </c>
      <c r="AP7" s="99">
        <f>VLOOKUP(AN7,$A$5:$I$8,9,FALSE)</f>
        <v>0</v>
      </c>
      <c r="AQ7" s="99">
        <f>VLOOKUP(AN7,$A$5:$I$8,7,FALSE)</f>
        <v>4</v>
      </c>
    </row>
    <row r="8" spans="1:43" ht="12" customHeight="1" x14ac:dyDescent="0.25">
      <c r="A8" s="92" t="s">
        <v>22</v>
      </c>
      <c r="B8" s="96">
        <f>SUM((D8*3))+E8</f>
        <v>7</v>
      </c>
      <c r="C8" s="97">
        <f>COUNT('Tabela Jogos'!G5,'Tabela Jogos'!G7,'Tabela Jogos'!E9)</f>
        <v>3</v>
      </c>
      <c r="D8" s="97">
        <f>SUM(IF(('Tabela Jogos'!$G$5&gt;'Tabela Jogos'!$E$5),COUNT('Tabela Jogos'!$G$5)),IF(('Tabela Jogos'!$G$7&gt;'Tabela Jogos'!$E$7),COUNT('Tabela Jogos'!$G$7)),IF(('Tabela Jogos'!$E$9&gt;'Tabela Jogos'!$G$9),COUNT('Tabela Jogos'!$E$9)))</f>
        <v>2</v>
      </c>
      <c r="E8" s="97">
        <f>SUM(IF(('Tabela Jogos'!$G$5='Tabela Jogos'!$E$5),COUNT('Tabela Jogos'!$G$5)),IF(('Tabela Jogos'!$G$7='Tabela Jogos'!$E$7),COUNT('Tabela Jogos'!$G$7)),IF(('Tabela Jogos'!$E$9='Tabela Jogos'!$G$9),COUNT('Tabela Jogos'!$E$9)))</f>
        <v>1</v>
      </c>
      <c r="F8" s="97">
        <f>SUM(IF(('Tabela Jogos'!$G$5&lt;'Tabela Jogos'!$E$5),COUNT('Tabela Jogos'!$G$5)),IF(('Tabela Jogos'!$G$7&lt;'Tabela Jogos'!$E$7),COUNT('Tabela Jogos'!$G$7)),IF(('Tabela Jogos'!$E$9&lt;'Tabela Jogos'!$G$9),COUNT('Tabela Jogos'!$E$9)))</f>
        <v>0</v>
      </c>
      <c r="G8" s="97">
        <f>SUM((('Tabela Jogos'!G5+'Tabela Jogos'!G7)+'Tabela Jogos'!E9))</f>
        <v>5</v>
      </c>
      <c r="H8" s="97">
        <f>SUM((('Tabela Jogos'!E5+'Tabela Jogos'!E7)+'Tabela Jogos'!G9))</f>
        <v>2</v>
      </c>
      <c r="I8" s="97">
        <f>SUM((G8-H8))</f>
        <v>3</v>
      </c>
      <c r="J8" s="96"/>
      <c r="K8" s="93" t="str">
        <f>IF((B8&lt;=B7),A8,A7)</f>
        <v>Porto</v>
      </c>
      <c r="L8" s="99">
        <f>VLOOKUP(K8,$A$5:$I$8,2,FALSE)</f>
        <v>7</v>
      </c>
      <c r="M8" s="93"/>
      <c r="N8" s="93" t="str">
        <f>IF((L8&lt;=L6),K8,K6)</f>
        <v>Al Ahly</v>
      </c>
      <c r="O8" s="99">
        <f>VLOOKUP(N8,$A$5:$I$8,2,FALSE)</f>
        <v>0</v>
      </c>
      <c r="P8" s="93"/>
      <c r="Q8" s="93" t="str">
        <f>IF((O8&lt;=O5),N8,N5)</f>
        <v>Al Ahly</v>
      </c>
      <c r="R8" s="99">
        <f>VLOOKUP(Q8,$A$5:$I$8,2,FALSE)</f>
        <v>0</v>
      </c>
      <c r="S8" s="99">
        <f>VLOOKUP(Q8,$A$5:$I$8,9,FALSE)</f>
        <v>-6</v>
      </c>
      <c r="T8" s="93"/>
      <c r="U8" s="93" t="str">
        <f>IF(AND((R7=R8),(S8&gt;S7)),Q7,Q8)</f>
        <v>Al Ahly</v>
      </c>
      <c r="V8" s="99">
        <f>VLOOKUP(U8,$A$5:$I$8,2,FALSE)</f>
        <v>0</v>
      </c>
      <c r="W8" s="99">
        <f>VLOOKUP(U8,$A$5:$I$8,9,FALSE)</f>
        <v>-6</v>
      </c>
      <c r="X8" s="93" t="str">
        <f>IF(AND((V6=V8),(W8&gt;W6)),U6,U8)</f>
        <v>Al Ahly</v>
      </c>
      <c r="Y8" s="99">
        <f>VLOOKUP(X8,$A$5:$I$8,2,FALSE)</f>
        <v>0</v>
      </c>
      <c r="Z8" s="99">
        <f>VLOOKUP(X8,$A$5:$I$8,9,FALSE)</f>
        <v>-6</v>
      </c>
      <c r="AA8" s="93"/>
      <c r="AB8" s="93" t="str">
        <f>IF(AND((Y8=Y5),(Z8&gt;Z5)),X5,X8)</f>
        <v>Al Ahly</v>
      </c>
      <c r="AC8" s="99">
        <f>VLOOKUP(AB8,$A$5:$I$8,2,FALSE)</f>
        <v>0</v>
      </c>
      <c r="AD8" s="99">
        <f>VLOOKUP(AB8,$A$5:$I$8,9,FALSE)</f>
        <v>-6</v>
      </c>
      <c r="AE8" s="99">
        <f>VLOOKUP(AB8,$A$5:$I$8,7,FALSE)</f>
        <v>0</v>
      </c>
      <c r="AF8" s="93" t="str">
        <f>IF(AND((AC8=AC7),(AD8=AD7),(AE8&gt;AE7)),X7,X8)</f>
        <v>Al Ahly</v>
      </c>
      <c r="AG8" s="99">
        <f>VLOOKUP(AF8,$A$5:$I$8,2,FALSE)</f>
        <v>0</v>
      </c>
      <c r="AH8" s="99">
        <f>VLOOKUP(AF8,$A$5:$I$8,9,FALSE)</f>
        <v>-6</v>
      </c>
      <c r="AI8" s="99">
        <f>VLOOKUP(AF8,$A$5:$I$8,7,FALSE)</f>
        <v>0</v>
      </c>
      <c r="AJ8" s="93" t="str">
        <f>IF(AND((AG6=AG8),(AH6=AH8),(AI8&gt;AI6)),AF6,AF8)</f>
        <v>Al Ahly</v>
      </c>
      <c r="AK8" s="99">
        <f>VLOOKUP(AJ8,$A$5:$I$8,2,FALSE)</f>
        <v>0</v>
      </c>
      <c r="AL8" s="99">
        <f>VLOOKUP(AJ8,$A$5:$I$8,9,FALSE)</f>
        <v>-6</v>
      </c>
      <c r="AM8" s="99">
        <f>VLOOKUP(AJ8,$A$5:$I$8,7,FALSE)</f>
        <v>0</v>
      </c>
      <c r="AN8" s="93" t="str">
        <f>IF(AND((AK8=AK5),(AL8=AL5),(AM8&gt;AM5)),AJ5,AJ8)</f>
        <v>Al Ahly</v>
      </c>
      <c r="AO8" s="99">
        <f>VLOOKUP(AN8,$A$5:$I$8,2,FALSE)</f>
        <v>0</v>
      </c>
      <c r="AP8" s="99">
        <f>VLOOKUP(AN8,$A$5:$I$8,9,FALSE)</f>
        <v>-6</v>
      </c>
      <c r="AQ8" s="99">
        <f>VLOOKUP(AN8,$A$5:$I$8,7,FALSE)</f>
        <v>0</v>
      </c>
    </row>
    <row r="9" spans="1:43" ht="12" customHeight="1" x14ac:dyDescent="0.2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</row>
    <row r="10" spans="1:43" ht="12" customHeight="1" x14ac:dyDescent="0.2">
      <c r="A10" s="92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</row>
    <row r="11" spans="1:43" ht="12" customHeight="1" x14ac:dyDescent="0.2">
      <c r="A11" s="92"/>
      <c r="B11" s="152" t="s">
        <v>83</v>
      </c>
      <c r="C11" s="152"/>
      <c r="D11" s="152"/>
      <c r="E11" s="152"/>
      <c r="F11" s="152"/>
      <c r="G11" s="152"/>
      <c r="H11" s="152"/>
      <c r="I11" s="152"/>
      <c r="J11" s="93"/>
      <c r="K11" s="93" t="s">
        <v>78</v>
      </c>
      <c r="L11" s="93"/>
      <c r="M11" s="93"/>
      <c r="N11" s="93" t="s">
        <v>79</v>
      </c>
      <c r="O11" s="93"/>
      <c r="P11" s="93"/>
      <c r="Q11" s="93" t="s">
        <v>80</v>
      </c>
      <c r="R11" s="93"/>
      <c r="S11" s="93"/>
      <c r="T11" s="93"/>
      <c r="U11" s="93" t="s">
        <v>80</v>
      </c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</row>
    <row r="12" spans="1:43" ht="12" customHeight="1" x14ac:dyDescent="0.25">
      <c r="A12" s="95" t="s">
        <v>81</v>
      </c>
      <c r="B12" s="96" t="s">
        <v>11</v>
      </c>
      <c r="C12" s="97" t="s">
        <v>12</v>
      </c>
      <c r="D12" s="97" t="s">
        <v>13</v>
      </c>
      <c r="E12" s="97" t="s">
        <v>14</v>
      </c>
      <c r="F12" s="97" t="s">
        <v>15</v>
      </c>
      <c r="G12" s="97" t="s">
        <v>16</v>
      </c>
      <c r="H12" s="97" t="s">
        <v>17</v>
      </c>
      <c r="I12" s="97" t="s">
        <v>18</v>
      </c>
      <c r="J12" s="98"/>
      <c r="K12" s="93"/>
      <c r="L12" s="93" t="s">
        <v>11</v>
      </c>
      <c r="M12" s="93"/>
      <c r="N12" s="93"/>
      <c r="O12" s="93" t="s">
        <v>82</v>
      </c>
      <c r="P12" s="93"/>
      <c r="Q12" s="93"/>
      <c r="R12" s="93" t="s">
        <v>11</v>
      </c>
      <c r="S12" s="93" t="s">
        <v>18</v>
      </c>
      <c r="T12" s="93"/>
      <c r="U12" s="93"/>
      <c r="V12" s="93" t="s">
        <v>11</v>
      </c>
      <c r="W12" s="93" t="s">
        <v>18</v>
      </c>
      <c r="X12" s="93"/>
      <c r="Y12" s="93" t="s">
        <v>11</v>
      </c>
      <c r="Z12" s="93" t="s">
        <v>18</v>
      </c>
      <c r="AA12" s="93"/>
      <c r="AB12" s="93"/>
      <c r="AC12" s="93" t="s">
        <v>11</v>
      </c>
      <c r="AD12" s="93" t="s">
        <v>18</v>
      </c>
      <c r="AE12" s="93" t="s">
        <v>16</v>
      </c>
      <c r="AF12" s="93"/>
      <c r="AG12" s="93" t="s">
        <v>11</v>
      </c>
      <c r="AH12" s="93" t="s">
        <v>18</v>
      </c>
      <c r="AI12" s="93" t="s">
        <v>16</v>
      </c>
      <c r="AJ12" s="93"/>
      <c r="AK12" s="93" t="s">
        <v>11</v>
      </c>
      <c r="AL12" s="93" t="s">
        <v>18</v>
      </c>
      <c r="AM12" s="93" t="s">
        <v>16</v>
      </c>
      <c r="AN12" s="93"/>
      <c r="AO12" s="93" t="s">
        <v>11</v>
      </c>
      <c r="AP12" s="93" t="s">
        <v>18</v>
      </c>
      <c r="AQ12" s="93" t="s">
        <v>16</v>
      </c>
    </row>
    <row r="13" spans="1:43" ht="12" customHeight="1" x14ac:dyDescent="0.25">
      <c r="A13" s="92" t="s">
        <v>25</v>
      </c>
      <c r="B13" s="96">
        <f>SUM((D13*3))+E13</f>
        <v>6</v>
      </c>
      <c r="C13" s="97">
        <f>COUNT('Tabela Jogos'!G12,'Tabela Jogos'!G14,'Tabela Jogos'!E17)</f>
        <v>3</v>
      </c>
      <c r="D13" s="97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97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97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97">
        <f>SUM((('Tabela Jogos'!G12+'Tabela Jogos'!G14)+'Tabela Jogos'!E17))</f>
        <v>5</v>
      </c>
      <c r="H13" s="97">
        <f>SUM((('Tabela Jogos'!E12+'Tabela Jogos'!E14)+'Tabela Jogos'!G17))</f>
        <v>3</v>
      </c>
      <c r="I13" s="97">
        <f>SUM((G13-H13))</f>
        <v>2</v>
      </c>
      <c r="J13" s="96"/>
      <c r="K13" s="93" t="str">
        <f>IF((B13&gt;=B14),A13,A14)</f>
        <v>Atlético de Madrid</v>
      </c>
      <c r="L13" s="99">
        <f>VLOOKUP(K13,$A$13:$I$16,2,FALSE)</f>
        <v>6</v>
      </c>
      <c r="M13" s="93"/>
      <c r="N13" s="93" t="str">
        <f>IF((L13&gt;=L15),K13,K15)</f>
        <v>Paris Saint-Germain</v>
      </c>
      <c r="O13" s="99">
        <f>VLOOKUP(N13,$A$13:$I$16,2,FALSE)</f>
        <v>9</v>
      </c>
      <c r="P13" s="93"/>
      <c r="Q13" s="93" t="str">
        <f>IF((O13&gt;=O16),N13,N16)</f>
        <v>Paris Saint-Germain</v>
      </c>
      <c r="R13" s="99">
        <f>VLOOKUP(Q13,$A$13:$I$16,2,FALSE)</f>
        <v>9</v>
      </c>
      <c r="S13" s="99">
        <f>VLOOKUP(Q13,$A$13:$I$16,9,FALSE)</f>
        <v>5</v>
      </c>
      <c r="T13" s="93"/>
      <c r="U13" s="93" t="str">
        <f>IF(AND((R13=R14),(S14&gt;S13)),Q14,Q13)</f>
        <v>Paris Saint-Germain</v>
      </c>
      <c r="V13" s="99">
        <f>VLOOKUP(U13,$A$13:$I$16,2,FALSE)</f>
        <v>9</v>
      </c>
      <c r="W13" s="99">
        <f>VLOOKUP(U13,$A$13:$I$16,9,FALSE)</f>
        <v>5</v>
      </c>
      <c r="X13" s="93" t="str">
        <f>IF(AND((V13=V15),(W15&gt;W13)),U15,U13)</f>
        <v>Paris Saint-Germain</v>
      </c>
      <c r="Y13" s="99">
        <f>VLOOKUP(X13,$A$13:$I$16,2,FALSE)</f>
        <v>9</v>
      </c>
      <c r="Z13" s="99">
        <f>VLOOKUP(X13,$A$13:$I$16,9,FALSE)</f>
        <v>5</v>
      </c>
      <c r="AA13" s="93"/>
      <c r="AB13" s="93" t="str">
        <f>IF(AND((Y13=Y16),(Z16&gt;Z13)),X16,X13)</f>
        <v>Paris Saint-Germain</v>
      </c>
      <c r="AC13" s="99">
        <f>VLOOKUP(AB13,$A$13:$I$16,2,FALSE)</f>
        <v>9</v>
      </c>
      <c r="AD13" s="99">
        <f>VLOOKUP(AB13,$A$13:$I$16,9,FALSE)</f>
        <v>5</v>
      </c>
      <c r="AE13" s="99">
        <f>VLOOKUP(AB13,$A$13:$I$16,7,FALSE)</f>
        <v>7</v>
      </c>
      <c r="AF13" s="93" t="str">
        <f>IF(AND((AC13=AC14),(AD13=AD14),(AE14&gt;AE13)),AB14,AB13)</f>
        <v>Paris Saint-Germain</v>
      </c>
      <c r="AG13" s="99">
        <f>VLOOKUP(AF13,$A$13:$I$16,2,FALSE)</f>
        <v>9</v>
      </c>
      <c r="AH13" s="99">
        <f>VLOOKUP(AF13,$A$13:$I$16,9,FALSE)</f>
        <v>5</v>
      </c>
      <c r="AI13" s="99">
        <f>VLOOKUP(AF13,$A$13:$I$16,7,FALSE)</f>
        <v>7</v>
      </c>
      <c r="AJ13" s="93" t="str">
        <f>IF(AND((AG13=AG15),(AH13=AH15),(AI15&gt;AI13)),AF15,AF13)</f>
        <v>Paris Saint-Germain</v>
      </c>
      <c r="AK13" s="99">
        <f>VLOOKUP(AJ13,$A$13:$I$16,2,FALSE)</f>
        <v>9</v>
      </c>
      <c r="AL13" s="99">
        <f>VLOOKUP(AJ13,$A$13:$I$16,9,FALSE)</f>
        <v>5</v>
      </c>
      <c r="AM13" s="99">
        <f>VLOOKUP(AJ13,$A$13:$I$16,7,FALSE)</f>
        <v>7</v>
      </c>
      <c r="AN13" s="93" t="str">
        <f>IF(AND((AK13=AK16),(AL13=AL16),(AM16&gt;AM13)),AJ16,AJ13)</f>
        <v>Paris Saint-Germain</v>
      </c>
      <c r="AO13" s="99">
        <f>VLOOKUP(AN13,$A$13:$I$16,2,FALSE)</f>
        <v>9</v>
      </c>
      <c r="AP13" s="99">
        <f>VLOOKUP(AN13,$A$13:$I$16,9,FALSE)</f>
        <v>5</v>
      </c>
      <c r="AQ13" s="99">
        <f>VLOOKUP(AN13,$A$13:$I$16,7,FALSE)</f>
        <v>7</v>
      </c>
    </row>
    <row r="14" spans="1:43" ht="12" customHeight="1" x14ac:dyDescent="0.25">
      <c r="A14" s="92" t="s">
        <v>28</v>
      </c>
      <c r="B14" s="96">
        <f>SUM((D14*3))+E14</f>
        <v>3</v>
      </c>
      <c r="C14" s="97">
        <f>COUNT('Tabela Jogos'!E13,'Tabela Jogos'!G15,'Tabela Jogos'!G17)</f>
        <v>3</v>
      </c>
      <c r="D14" s="97">
        <f>SUM(IF(('Tabela Jogos'!$E$13&gt;'Tabela Jogos'!$G$13),COUNT('Tabela Jogos'!$E$13)),IF(('Tabela Jogos'!$G$15&gt;'Tabela Jogos'!$E$15),COUNT('Tabela Jogos'!$G$15)),IF(('Tabela Jogos'!$G$17&gt;'Tabela Jogos'!$E$17),COUNT('Tabela Jogos'!$G$17)))</f>
        <v>1</v>
      </c>
      <c r="E14" s="97">
        <f>SUM(IF(('Tabela Jogos'!$E$13='Tabela Jogos'!$G$13),COUNT('Tabela Jogos'!$E$13)),IF(('Tabela Jogos'!$G$15='Tabela Jogos'!$E$15),COUNT('Tabela Jogos'!$G$15)),IF(('Tabela Jogos'!$G$17='Tabela Jogos'!$E$17),COUNT('Tabela Jogos'!$G$17)))</f>
        <v>0</v>
      </c>
      <c r="F14" s="97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97">
        <f>SUM((('Tabela Jogos'!E13+'Tabela Jogos'!G15)+'Tabela Jogos'!G17))</f>
        <v>4</v>
      </c>
      <c r="H14" s="97">
        <f>SUM((('Tabela Jogos'!G13+'Tabela Jogos'!E15)+'Tabela Jogos'!E17))</f>
        <v>4</v>
      </c>
      <c r="I14" s="97">
        <f>SUM((G14-H14))</f>
        <v>0</v>
      </c>
      <c r="J14" s="96"/>
      <c r="K14" s="93" t="str">
        <f>IF((B14&lt;=B13),A14,A13)</f>
        <v>Botafogo</v>
      </c>
      <c r="L14" s="99">
        <f>VLOOKUP(K14,$A$13:$I$16,2,FALSE)</f>
        <v>3</v>
      </c>
      <c r="M14" s="93"/>
      <c r="N14" s="93" t="str">
        <f>IF((L14&gt;=L16),K14,K16)</f>
        <v>Botafogo</v>
      </c>
      <c r="O14" s="99">
        <f>VLOOKUP(N14,$A$13:$I$16,2,FALSE)</f>
        <v>3</v>
      </c>
      <c r="P14" s="93"/>
      <c r="Q14" s="93" t="str">
        <f>IF((O14&gt;=O15),N14,N15)</f>
        <v>Atlético de Madrid</v>
      </c>
      <c r="R14" s="99">
        <f>VLOOKUP(Q14,$A$13:$I$16,2,FALSE)</f>
        <v>6</v>
      </c>
      <c r="S14" s="99">
        <f>VLOOKUP(Q14,$A$13:$I$16,9,FALSE)</f>
        <v>2</v>
      </c>
      <c r="T14" s="93"/>
      <c r="U14" s="93" t="str">
        <f>IF(AND((R13=R14),(S14&gt;S13)),Q13,Q14)</f>
        <v>Atlético de Madrid</v>
      </c>
      <c r="V14" s="99">
        <f>VLOOKUP(U14,$A$13:$I$16,2,FALSE)</f>
        <v>6</v>
      </c>
      <c r="W14" s="99">
        <f>VLOOKUP(U14,$A$13:$I$16,9,FALSE)</f>
        <v>2</v>
      </c>
      <c r="X14" s="93" t="str">
        <f>IF(AND((V14=V16),(W16&gt;W14)),U16,U14)</f>
        <v>Atlético de Madrid</v>
      </c>
      <c r="Y14" s="99">
        <f>VLOOKUP(X14,$A$13:$I$16,2,FALSE)</f>
        <v>6</v>
      </c>
      <c r="Z14" s="99">
        <f>VLOOKUP(X14,$A$13:$I$16,9,FALSE)</f>
        <v>2</v>
      </c>
      <c r="AA14" s="93"/>
      <c r="AB14" s="93" t="str">
        <f>IF(AND((Y14=Y15),(Z15&gt;Z14)),X15,X14)</f>
        <v>Atlético de Madrid</v>
      </c>
      <c r="AC14" s="99">
        <f>VLOOKUP(AB14,$A$13:$I$16,2,FALSE)</f>
        <v>6</v>
      </c>
      <c r="AD14" s="99">
        <f>VLOOKUP(AB14,$A$13:$I$16,9,FALSE)</f>
        <v>2</v>
      </c>
      <c r="AE14" s="99">
        <f>VLOOKUP(AB14,$A$13:$I$16,7,FALSE)</f>
        <v>5</v>
      </c>
      <c r="AF14" s="93" t="str">
        <f>IF(AND((AC14=AC13),(AD14=AD13),(AE14&gt;AE13)),AB13,AB14)</f>
        <v>Atlético de Madrid</v>
      </c>
      <c r="AG14" s="99">
        <f>VLOOKUP(AF14,$A$13:$I$16,2,FALSE)</f>
        <v>6</v>
      </c>
      <c r="AH14" s="99">
        <f>VLOOKUP(AF14,$A$13:$I$16,9,FALSE)</f>
        <v>2</v>
      </c>
      <c r="AI14" s="99">
        <f>VLOOKUP(AF14,$A$13:$I$16,7,FALSE)</f>
        <v>5</v>
      </c>
      <c r="AJ14" s="93" t="str">
        <f>IF(AND((AG14=AG16),(AH14=AH16),(AI16&gt;AI14)),AF16,AF14)</f>
        <v>Atlético de Madrid</v>
      </c>
      <c r="AK14" s="99">
        <f>VLOOKUP(AJ14,$A$13:$I$16,2,FALSE)</f>
        <v>6</v>
      </c>
      <c r="AL14" s="99">
        <f>VLOOKUP(AJ14,$A$13:$I$16,9,FALSE)</f>
        <v>2</v>
      </c>
      <c r="AM14" s="99">
        <f>VLOOKUP(AJ14,$A$13:$I$16,7,FALSE)</f>
        <v>5</v>
      </c>
      <c r="AN14" s="93" t="str">
        <f>IF(AND((AK14=AK15),(AL14=AL15),(AM15&gt;AM14)),AJ15,AJ14)</f>
        <v>Atlético de Madrid</v>
      </c>
      <c r="AO14" s="99">
        <f>VLOOKUP(AN14,$A$13:$I$16,2,FALSE)</f>
        <v>6</v>
      </c>
      <c r="AP14" s="99">
        <f>VLOOKUP(AN14,$A$13:$I$16,9,FALSE)</f>
        <v>2</v>
      </c>
      <c r="AQ14" s="99">
        <f>VLOOKUP(AN14,$A$13:$I$16,7,FALSE)</f>
        <v>5</v>
      </c>
    </row>
    <row r="15" spans="1:43" ht="12" customHeight="1" x14ac:dyDescent="0.25">
      <c r="A15" s="92" t="s">
        <v>24</v>
      </c>
      <c r="B15" s="96">
        <f>SUM((D15*3))+E15</f>
        <v>9</v>
      </c>
      <c r="C15" s="97">
        <f>COUNT('Tabela Jogos'!E12,'Tabela Jogos'!E15,'Tabela Jogos'!G16)</f>
        <v>3</v>
      </c>
      <c r="D15" s="97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97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97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97">
        <f>SUM((('Tabela Jogos'!E12+'Tabela Jogos'!E15)+'Tabela Jogos'!G16))</f>
        <v>7</v>
      </c>
      <c r="H15" s="97">
        <f>SUM((('Tabela Jogos'!G12+'Tabela Jogos'!G15)+'Tabela Jogos'!E16))</f>
        <v>2</v>
      </c>
      <c r="I15" s="97">
        <f>SUM((G15-H15))</f>
        <v>5</v>
      </c>
      <c r="J15" s="96"/>
      <c r="K15" s="93" t="str">
        <f>IF((B15&gt;=B16),A15,A16)</f>
        <v>Paris Saint-Germain</v>
      </c>
      <c r="L15" s="99">
        <f>VLOOKUP(K15,$A$13:$I$16,2,FALSE)</f>
        <v>9</v>
      </c>
      <c r="M15" s="93"/>
      <c r="N15" s="93" t="str">
        <f>IF((L15&lt;=L13),K15,K13)</f>
        <v>Atlético de Madrid</v>
      </c>
      <c r="O15" s="99">
        <f>VLOOKUP(N15,$A$13:$I$16,2,FALSE)</f>
        <v>6</v>
      </c>
      <c r="P15" s="93"/>
      <c r="Q15" s="93" t="str">
        <f>IF((O15&lt;=O14),N15,N14)</f>
        <v>Botafogo</v>
      </c>
      <c r="R15" s="99">
        <f>VLOOKUP(Q15,$A$13:$I$16,2,FALSE)</f>
        <v>3</v>
      </c>
      <c r="S15" s="99">
        <f>VLOOKUP(Q15,$A$13:$I$16,9,FALSE)</f>
        <v>0</v>
      </c>
      <c r="T15" s="93"/>
      <c r="U15" s="93" t="str">
        <f>IF(AND((R15=R16),(S16&gt;S15)),Q16,Q15)</f>
        <v>Botafogo</v>
      </c>
      <c r="V15" s="99">
        <f>VLOOKUP(U15,$A$13:$I$16,2,FALSE)</f>
        <v>3</v>
      </c>
      <c r="W15" s="99">
        <f>VLOOKUP(U15,$A$13:$I$16,9,FALSE)</f>
        <v>0</v>
      </c>
      <c r="X15" s="93" t="str">
        <f>IF(AND((V13=V15),(W15&gt;W13)),U13,U15)</f>
        <v>Botafogo</v>
      </c>
      <c r="Y15" s="99">
        <f>VLOOKUP(X15,$A$13:$I$16,2,FALSE)</f>
        <v>3</v>
      </c>
      <c r="Z15" s="99">
        <f>VLOOKUP(X15,$A$13:$I$16,9,FALSE)</f>
        <v>0</v>
      </c>
      <c r="AA15" s="93"/>
      <c r="AB15" s="93" t="str">
        <f>IF(AND((Y15=Y14),(Z15&gt;Z14)),X14,X15)</f>
        <v>Botafogo</v>
      </c>
      <c r="AC15" s="99">
        <f>VLOOKUP(AB15,$A$13:$I$16,2,FALSE)</f>
        <v>3</v>
      </c>
      <c r="AD15" s="99">
        <f>VLOOKUP(AB15,$A$13:$I$16,9,FALSE)</f>
        <v>0</v>
      </c>
      <c r="AE15" s="99">
        <f>VLOOKUP(AB15,$A$13:$I$16,7,FALSE)</f>
        <v>4</v>
      </c>
      <c r="AF15" s="93" t="str">
        <f>IF(AND((AC15=AC16),(AD15=AD16),(AE16&gt;AE15)),AB16,AB15)</f>
        <v>Botafogo</v>
      </c>
      <c r="AG15" s="99">
        <f>VLOOKUP(AF15,$A$13:$I$16,2,FALSE)</f>
        <v>3</v>
      </c>
      <c r="AH15" s="99">
        <f>VLOOKUP(AF15,$A$13:$I$16,9,FALSE)</f>
        <v>0</v>
      </c>
      <c r="AI15" s="99">
        <f>VLOOKUP(AF15,$A$13:$I$16,7,FALSE)</f>
        <v>4</v>
      </c>
      <c r="AJ15" s="93" t="str">
        <f>IF(AND((AG15=AG13),(AH15=AH13),(AI15&gt;AI13)),AF13,AF15)</f>
        <v>Botafogo</v>
      </c>
      <c r="AK15" s="99">
        <f>VLOOKUP(AJ15,$A$13:$I$16,2,FALSE)</f>
        <v>3</v>
      </c>
      <c r="AL15" s="99">
        <f>VLOOKUP(AJ15,$A$13:$I$16,9,FALSE)</f>
        <v>0</v>
      </c>
      <c r="AM15" s="99">
        <f>VLOOKUP(AJ15,$A$13:$I$16,7,FALSE)</f>
        <v>4</v>
      </c>
      <c r="AN15" s="93" t="str">
        <f>IF(AND((AK15=AK14),(AL15=AL14),(AM15&gt;AM14)),AJ14,AJ15)</f>
        <v>Botafogo</v>
      </c>
      <c r="AO15" s="99">
        <f>VLOOKUP(AN15,$A$13:$I$16,2,FALSE)</f>
        <v>3</v>
      </c>
      <c r="AP15" s="99">
        <f>VLOOKUP(AN15,$A$13:$I$16,9,FALSE)</f>
        <v>0</v>
      </c>
      <c r="AQ15" s="99">
        <f>VLOOKUP(AN15,$A$13:$I$16,7,FALSE)</f>
        <v>4</v>
      </c>
    </row>
    <row r="16" spans="1:43" ht="12" customHeight="1" x14ac:dyDescent="0.25">
      <c r="A16" s="92" t="s">
        <v>29</v>
      </c>
      <c r="B16" s="96">
        <f>SUM((D16*3))+E16</f>
        <v>0</v>
      </c>
      <c r="C16" s="97">
        <f>COUNT('Tabela Jogos'!G13,'Tabela Jogos'!E14,'Tabela Jogos'!E16)</f>
        <v>3</v>
      </c>
      <c r="D16" s="97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97">
        <f>SUM(IF(('Tabela Jogos'!$G$13='Tabela Jogos'!$E$13),COUNT('Tabela Jogos'!$G$13)),IF(('Tabela Jogos'!$E$14='Tabela Jogos'!$G$14),COUNT('Tabela Jogos'!$E$14)),IF(('Tabela Jogos'!$E$16='Tabela Jogos'!$G$16),COUNT('Tabela Jogos'!$E$16)))</f>
        <v>0</v>
      </c>
      <c r="F16" s="97">
        <f>SUM(IF(('Tabela Jogos'!$G$13&lt;'Tabela Jogos'!$E$13),COUNT('Tabela Jogos'!$G$13)),IF(('Tabela Jogos'!$E$14&lt;'Tabela Jogos'!$G$14),COUNT('Tabela Jogos'!$E$14)),IF(('Tabela Jogos'!$E$16&lt;'Tabela Jogos'!$G$16),COUNT('Tabela Jogos'!$E$16)))</f>
        <v>3</v>
      </c>
      <c r="G16" s="97">
        <f>SUM((('Tabela Jogos'!G13+'Tabela Jogos'!E14)+'Tabela Jogos'!E16))</f>
        <v>0</v>
      </c>
      <c r="H16" s="97">
        <f>SUM((('Tabela Jogos'!E13+'Tabela Jogos'!G14)+'Tabela Jogos'!G16))</f>
        <v>7</v>
      </c>
      <c r="I16" s="97">
        <f>SUM((G16-H16))</f>
        <v>-7</v>
      </c>
      <c r="J16" s="96"/>
      <c r="K16" s="93" t="str">
        <f>IF((B16&lt;=B15),A16,A15)</f>
        <v>Seattle Sounders</v>
      </c>
      <c r="L16" s="99">
        <f>VLOOKUP(K16,$A$13:$I$16,2,FALSE)</f>
        <v>0</v>
      </c>
      <c r="M16" s="93"/>
      <c r="N16" s="93" t="str">
        <f>IF((L16&lt;=L14),K16,K14)</f>
        <v>Seattle Sounders</v>
      </c>
      <c r="O16" s="99">
        <f>VLOOKUP(N16,$A$13:$I$16,2,FALSE)</f>
        <v>0</v>
      </c>
      <c r="P16" s="93"/>
      <c r="Q16" s="93" t="str">
        <f>IF((O16&lt;=O13),N16,N13)</f>
        <v>Seattle Sounders</v>
      </c>
      <c r="R16" s="99">
        <f>VLOOKUP(Q16,$A$13:$I$16,2,FALSE)</f>
        <v>0</v>
      </c>
      <c r="S16" s="99">
        <f>VLOOKUP(Q16,$A$13:$I$16,9,FALSE)</f>
        <v>-7</v>
      </c>
      <c r="T16" s="93"/>
      <c r="U16" s="93" t="str">
        <f>IF(AND((R15=R16),(S16&gt;S15)),Q15,Q16)</f>
        <v>Seattle Sounders</v>
      </c>
      <c r="V16" s="99">
        <f>VLOOKUP(U16,$A$13:$I$16,2,FALSE)</f>
        <v>0</v>
      </c>
      <c r="W16" s="99">
        <f>VLOOKUP(U16,$A$13:$I$16,9,FALSE)</f>
        <v>-7</v>
      </c>
      <c r="X16" s="93" t="str">
        <f>IF(AND((V14=V16),(W16&gt;W14)),U14,U16)</f>
        <v>Seattle Sounders</v>
      </c>
      <c r="Y16" s="99">
        <f>VLOOKUP(X16,$A$13:$I$16,2,FALSE)</f>
        <v>0</v>
      </c>
      <c r="Z16" s="99">
        <f>VLOOKUP(X16,$A$13:$I$16,9,FALSE)</f>
        <v>-7</v>
      </c>
      <c r="AA16" s="93"/>
      <c r="AB16" s="93" t="str">
        <f>IF(AND((Y16=Y13),(Z16&gt;Z13)),X13,X16)</f>
        <v>Seattle Sounders</v>
      </c>
      <c r="AC16" s="99">
        <f>VLOOKUP(AB16,$A$13:$I$16,2,FALSE)</f>
        <v>0</v>
      </c>
      <c r="AD16" s="99">
        <f>VLOOKUP(AB16,$A$13:$I$16,9,FALSE)</f>
        <v>-7</v>
      </c>
      <c r="AE16" s="99">
        <f>VLOOKUP(AB16,$A$13:$I$16,7,FALSE)</f>
        <v>0</v>
      </c>
      <c r="AF16" s="93" t="str">
        <f>IF(AND((AC16=AC15),(AD16=AD15),(AE16&gt;AE15)),X15,X16)</f>
        <v>Seattle Sounders</v>
      </c>
      <c r="AG16" s="99">
        <f>VLOOKUP(AF16,$A$13:$I$16,2,FALSE)</f>
        <v>0</v>
      </c>
      <c r="AH16" s="99">
        <f>VLOOKUP(AF16,$A$13:$I$16,9,FALSE)</f>
        <v>-7</v>
      </c>
      <c r="AI16" s="99">
        <f>VLOOKUP(AF16,$A$13:$I$16,7,FALSE)</f>
        <v>0</v>
      </c>
      <c r="AJ16" s="93" t="str">
        <f>IF(AND((AG14=AG16),(AH14=AH16),(AI16&gt;AI14)),AF14,AF16)</f>
        <v>Seattle Sounders</v>
      </c>
      <c r="AK16" s="99">
        <f>VLOOKUP(AJ16,$A$13:$I$16,2,FALSE)</f>
        <v>0</v>
      </c>
      <c r="AL16" s="99">
        <f>VLOOKUP(AJ16,$A$13:$I$16,9,FALSE)</f>
        <v>-7</v>
      </c>
      <c r="AM16" s="99">
        <f>VLOOKUP(AJ16,$A$13:$I$16,7,FALSE)</f>
        <v>0</v>
      </c>
      <c r="AN16" s="93" t="str">
        <f>IF(AND((AK16=AK13),(AL16=AL13),(AM16&gt;AM13)),AJ13,AJ16)</f>
        <v>Seattle Sounders</v>
      </c>
      <c r="AO16" s="99">
        <f>VLOOKUP(AN16,$A$13:$I$16,2,FALSE)</f>
        <v>0</v>
      </c>
      <c r="AP16" s="99">
        <f>VLOOKUP(AN16,$A$13:$I$16,9,FALSE)</f>
        <v>-7</v>
      </c>
      <c r="AQ16" s="99">
        <f>VLOOKUP(AN16,$A$13:$I$16,7,FALSE)</f>
        <v>0</v>
      </c>
    </row>
    <row r="17" spans="1:43" ht="12" customHeight="1" x14ac:dyDescent="0.2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</row>
    <row r="18" spans="1:43" ht="12" customHeight="1" x14ac:dyDescent="0.2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</row>
    <row r="19" spans="1:43" ht="12" customHeight="1" x14ac:dyDescent="0.2">
      <c r="A19" s="92"/>
      <c r="B19" s="152" t="s">
        <v>84</v>
      </c>
      <c r="C19" s="152"/>
      <c r="D19" s="152"/>
      <c r="E19" s="152"/>
      <c r="F19" s="152"/>
      <c r="G19" s="152"/>
      <c r="H19" s="152"/>
      <c r="I19" s="152"/>
      <c r="J19" s="93"/>
      <c r="K19" s="93" t="s">
        <v>78</v>
      </c>
      <c r="L19" s="93"/>
      <c r="M19" s="93"/>
      <c r="N19" s="93" t="s">
        <v>79</v>
      </c>
      <c r="O19" s="93"/>
      <c r="P19" s="93"/>
      <c r="Q19" s="93" t="s">
        <v>80</v>
      </c>
      <c r="R19" s="93"/>
      <c r="S19" s="93"/>
      <c r="T19" s="93"/>
      <c r="U19" s="93" t="s">
        <v>80</v>
      </c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</row>
    <row r="20" spans="1:43" ht="12" customHeight="1" x14ac:dyDescent="0.25">
      <c r="A20" s="95" t="s">
        <v>81</v>
      </c>
      <c r="B20" s="96" t="s">
        <v>11</v>
      </c>
      <c r="C20" s="97" t="s">
        <v>12</v>
      </c>
      <c r="D20" s="97" t="s">
        <v>13</v>
      </c>
      <c r="E20" s="97" t="s">
        <v>14</v>
      </c>
      <c r="F20" s="97" t="s">
        <v>15</v>
      </c>
      <c r="G20" s="97" t="s">
        <v>16</v>
      </c>
      <c r="H20" s="97" t="s">
        <v>17</v>
      </c>
      <c r="I20" s="97" t="s">
        <v>18</v>
      </c>
      <c r="J20" s="98"/>
      <c r="K20" s="93"/>
      <c r="L20" s="93" t="s">
        <v>11</v>
      </c>
      <c r="M20" s="93"/>
      <c r="N20" s="93"/>
      <c r="O20" s="93" t="s">
        <v>82</v>
      </c>
      <c r="P20" s="93"/>
      <c r="Q20" s="93"/>
      <c r="R20" s="93" t="s">
        <v>11</v>
      </c>
      <c r="S20" s="93" t="s">
        <v>18</v>
      </c>
      <c r="T20" s="93"/>
      <c r="U20" s="93"/>
      <c r="V20" s="93" t="s">
        <v>11</v>
      </c>
      <c r="W20" s="93" t="s">
        <v>18</v>
      </c>
      <c r="X20" s="93"/>
      <c r="Y20" s="93" t="s">
        <v>11</v>
      </c>
      <c r="Z20" s="93" t="s">
        <v>18</v>
      </c>
      <c r="AA20" s="93"/>
      <c r="AB20" s="93"/>
      <c r="AC20" s="93" t="s">
        <v>11</v>
      </c>
      <c r="AD20" s="93" t="s">
        <v>18</v>
      </c>
      <c r="AE20" s="93" t="s">
        <v>16</v>
      </c>
      <c r="AF20" s="93"/>
      <c r="AG20" s="93" t="s">
        <v>11</v>
      </c>
      <c r="AH20" s="93" t="s">
        <v>18</v>
      </c>
      <c r="AI20" s="93" t="s">
        <v>16</v>
      </c>
      <c r="AJ20" s="93"/>
      <c r="AK20" s="93" t="s">
        <v>11</v>
      </c>
      <c r="AL20" s="93" t="s">
        <v>18</v>
      </c>
      <c r="AM20" s="93" t="s">
        <v>16</v>
      </c>
      <c r="AN20" s="93"/>
      <c r="AO20" s="93" t="s">
        <v>11</v>
      </c>
      <c r="AP20" s="93" t="s">
        <v>18</v>
      </c>
      <c r="AQ20" s="93" t="s">
        <v>16</v>
      </c>
    </row>
    <row r="21" spans="1:43" ht="12" customHeight="1" x14ac:dyDescent="0.25">
      <c r="A21" s="92" t="s">
        <v>31</v>
      </c>
      <c r="B21" s="96">
        <f>SUM((D21*3))+E21</f>
        <v>9</v>
      </c>
      <c r="C21" s="97">
        <f>COUNT('Tabela Jogos'!E20,'Tabela Jogos'!E23,'Tabela Jogos'!G24)</f>
        <v>3</v>
      </c>
      <c r="D21" s="97">
        <f>SUM(IF(('Tabela Jogos'!$E$20&gt;'Tabela Jogos'!$G$20),COUNT('Tabela Jogos'!$E$20)),IF(('Tabela Jogos'!$E$23&gt;'Tabela Jogos'!$G$23),COUNT('Tabela Jogos'!$E$23)),IF(('Tabela Jogos'!$G$24&gt;'Tabela Jogos'!$E$24),COUNT('Tabela Jogos'!$G$24)))</f>
        <v>3</v>
      </c>
      <c r="E21" s="97">
        <f>SUM(IF(('Tabela Jogos'!$E$20='Tabela Jogos'!$G$20),COUNT('Tabela Jogos'!$E$20)),IF(('Tabela Jogos'!$E$23='Tabela Jogos'!$G$23),COUNT('Tabela Jogos'!$E$23)),IF(('Tabela Jogos'!$G$24='Tabela Jogos'!$E$24),COUNT('Tabela Jogos'!$G$24)))</f>
        <v>0</v>
      </c>
      <c r="F21" s="97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97">
        <f>SUM((('Tabela Jogos'!E20+'Tabela Jogos'!E23)+'Tabela Jogos'!G24))</f>
        <v>7</v>
      </c>
      <c r="H21" s="97">
        <f>SUM((('Tabela Jogos'!G20+'Tabela Jogos'!G23)+'Tabela Jogos'!E24))</f>
        <v>2</v>
      </c>
      <c r="I21" s="97">
        <f>SUM((G21-H21))</f>
        <v>5</v>
      </c>
      <c r="J21" s="96"/>
      <c r="K21" s="93" t="str">
        <f>IF((B21&gt;=B22),A21,A22)</f>
        <v>Bayern de Munique</v>
      </c>
      <c r="L21" s="99">
        <f>VLOOKUP(K21,$A$21:$I$24,2,FALSE)</f>
        <v>9</v>
      </c>
      <c r="M21" s="93"/>
      <c r="N21" s="93" t="str">
        <f>IF((L21&gt;=L23),K21,K23)</f>
        <v>Bayern de Munique</v>
      </c>
      <c r="O21" s="99">
        <f>VLOOKUP(N21,$A$21:$I$24,2,FALSE)</f>
        <v>9</v>
      </c>
      <c r="P21" s="93"/>
      <c r="Q21" s="93" t="str">
        <f>IF((O21&gt;=O24),N21,N24)</f>
        <v>Bayern de Munique</v>
      </c>
      <c r="R21" s="99">
        <f>VLOOKUP(Q21,$A$21:$I$24,2,FALSE)</f>
        <v>9</v>
      </c>
      <c r="S21" s="99">
        <f>VLOOKUP(Q21,$A$21:$I$24,9,FALSE)</f>
        <v>5</v>
      </c>
      <c r="T21" s="93"/>
      <c r="U21" s="93" t="str">
        <f>IF(AND((R21=R22),(S22&gt;S21)),Q22,Q21)</f>
        <v>Bayern de Munique</v>
      </c>
      <c r="V21" s="99">
        <f>VLOOKUP(U21,$A$21:$I$24,2,FALSE)</f>
        <v>9</v>
      </c>
      <c r="W21" s="99">
        <f>VLOOKUP(U21,$A$21:$I$24,9,FALSE)</f>
        <v>5</v>
      </c>
      <c r="X21" s="93" t="str">
        <f>IF(AND((V21=V23),(W23&gt;W21)),U23,U21)</f>
        <v>Bayern de Munique</v>
      </c>
      <c r="Y21" s="99">
        <f>VLOOKUP(X21,$A$21:$I$24,2,FALSE)</f>
        <v>9</v>
      </c>
      <c r="Z21" s="99">
        <f>VLOOKUP(X21,$A$21:$I$24,9,FALSE)</f>
        <v>5</v>
      </c>
      <c r="AA21" s="93"/>
      <c r="AB21" s="93" t="str">
        <f>IF(AND((Y21=Y24),(Z24&gt;Z21)),X24,X21)</f>
        <v>Bayern de Munique</v>
      </c>
      <c r="AC21" s="99">
        <f>VLOOKUP(AB21,$A$21:$I$24,2,FALSE)</f>
        <v>9</v>
      </c>
      <c r="AD21" s="99">
        <f>VLOOKUP(AB21,$A$21:$I$24,9,FALSE)</f>
        <v>5</v>
      </c>
      <c r="AE21" s="99">
        <f>VLOOKUP(AB21,$A$21:$I$24,7,FALSE)</f>
        <v>7</v>
      </c>
      <c r="AF21" s="93" t="str">
        <f>IF(AND((AC21=AC22),(AD21=AD22),(AE22&gt;AE21)),AB22,AB21)</f>
        <v>Bayern de Munique</v>
      </c>
      <c r="AG21" s="99">
        <f>VLOOKUP(AF21,$A$21:$I$24,2,FALSE)</f>
        <v>9</v>
      </c>
      <c r="AH21" s="99">
        <f>VLOOKUP(AF21,$A$21:$I$24,9,FALSE)</f>
        <v>5</v>
      </c>
      <c r="AI21" s="99">
        <f>VLOOKUP(AF21,$A$21:$I$24,7,FALSE)</f>
        <v>7</v>
      </c>
      <c r="AJ21" s="93" t="str">
        <f>IF(AND((AG21=AG23),(AH21=AH23),(AI23&gt;AI21)),AF23,AF21)</f>
        <v>Bayern de Munique</v>
      </c>
      <c r="AK21" s="99">
        <f>VLOOKUP(AJ21,$A$21:$I$24,2,FALSE)</f>
        <v>9</v>
      </c>
      <c r="AL21" s="99">
        <f>VLOOKUP(AJ21,$A$21:$I$24,9,FALSE)</f>
        <v>5</v>
      </c>
      <c r="AM21" s="99">
        <f>VLOOKUP(AJ21,$A$21:$I$24,7,FALSE)</f>
        <v>7</v>
      </c>
      <c r="AN21" s="93" t="str">
        <f>IF(AND((AK21=AK24),(AL21=AL24),(AM24&gt;AM21)),AJ24,AJ21)</f>
        <v>Bayern de Munique</v>
      </c>
      <c r="AO21" s="99">
        <f>VLOOKUP(AN21,$A$21:$I$24,2,FALSE)</f>
        <v>9</v>
      </c>
      <c r="AP21" s="99">
        <f>VLOOKUP(AN21,$A$21:$I$24,9,FALSE)</f>
        <v>5</v>
      </c>
      <c r="AQ21" s="99">
        <f>VLOOKUP(AN21,$A$21:$I$24,7,FALSE)</f>
        <v>7</v>
      </c>
    </row>
    <row r="22" spans="1:43" ht="12" customHeight="1" x14ac:dyDescent="0.25">
      <c r="A22" s="92" t="s">
        <v>32</v>
      </c>
      <c r="B22" s="96">
        <f>SUM((D22*3))+E22</f>
        <v>0</v>
      </c>
      <c r="C22" s="97">
        <f>COUNT('Tabela Jogos'!G20,'Tabela Jogos'!G22,'Tabela Jogos'!E25)</f>
        <v>3</v>
      </c>
      <c r="D22" s="97">
        <f>SUM(IF(('Tabela Jogos'!$G$20&gt;'Tabela Jogos'!$E$20),COUNT('Tabela Jogos'!$G$20)),IF(('Tabela Jogos'!$G$22&gt;'Tabela Jogos'!$E$22),COUNT('Tabela Jogos'!$G$22)),IF(('Tabela Jogos'!$E$25&gt;'Tabela Jogos'!$G$25),COUNT('Tabela Jogos'!$E$25)))</f>
        <v>0</v>
      </c>
      <c r="E22" s="97">
        <f>SUM(IF(('Tabela Jogos'!$G$20='Tabela Jogos'!$E$20),COUNT('Tabela Jogos'!$G$20)),IF(('Tabela Jogos'!$G$22='Tabela Jogos'!$E$22),COUNT('Tabela Jogos'!$G$22)),IF(('Tabela Jogos'!$E$25='Tabela Jogos'!$G$25),COUNT('Tabela Jogos'!$E$25)))</f>
        <v>0</v>
      </c>
      <c r="F22" s="97">
        <f>SUM(IF(('Tabela Jogos'!$G$20&lt;'Tabela Jogos'!$E$20),COUNT('Tabela Jogos'!$G$20)),IF(('Tabela Jogos'!$G$22&lt;'Tabela Jogos'!$E$22),COUNT('Tabela Jogos'!$G$22)),IF(('Tabela Jogos'!$E$25&lt;'Tabela Jogos'!$G$25),COUNT('Tabela Jogos'!$E$25)))</f>
        <v>3</v>
      </c>
      <c r="G22" s="97">
        <f>SUM((('Tabela Jogos'!G20+'Tabela Jogos'!G22)+'Tabela Jogos'!E25))</f>
        <v>0</v>
      </c>
      <c r="H22" s="97">
        <f>SUM((('Tabela Jogos'!E20+'Tabela Jogos'!E22)+'Tabela Jogos'!G25))</f>
        <v>8</v>
      </c>
      <c r="I22" s="97">
        <f>SUM((G22-H22))</f>
        <v>-8</v>
      </c>
      <c r="J22" s="96"/>
      <c r="K22" s="93" t="str">
        <f>IF((B22&lt;=B21),A22,A21)</f>
        <v>Auckland City</v>
      </c>
      <c r="L22" s="99">
        <f>VLOOKUP(K22,$A$21:$I$24,2,FALSE)</f>
        <v>0</v>
      </c>
      <c r="M22" s="93"/>
      <c r="N22" s="93" t="str">
        <f>IF((L22&gt;=L24),K22,K24)</f>
        <v>Boca Juniors</v>
      </c>
      <c r="O22" s="99">
        <f>VLOOKUP(N22,$A$21:$I$24,2,FALSE)</f>
        <v>3</v>
      </c>
      <c r="P22" s="93"/>
      <c r="Q22" s="93" t="str">
        <f>IF((O22&gt;=O23),N22,N23)</f>
        <v>Benfica</v>
      </c>
      <c r="R22" s="99">
        <f>VLOOKUP(Q22,$A$21:$I$24,2,FALSE)</f>
        <v>6</v>
      </c>
      <c r="S22" s="99">
        <f>VLOOKUP(Q22,$A$21:$I$24,9,FALSE)</f>
        <v>2</v>
      </c>
      <c r="T22" s="93"/>
      <c r="U22" s="93" t="str">
        <f>IF(AND((R21=R22),(S22&gt;S21)),Q21,Q22)</f>
        <v>Benfica</v>
      </c>
      <c r="V22" s="99">
        <f>VLOOKUP(U22,$A$21:$I$24,2,FALSE)</f>
        <v>6</v>
      </c>
      <c r="W22" s="99">
        <f>VLOOKUP(U22,$A$21:$I$24,9,FALSE)</f>
        <v>2</v>
      </c>
      <c r="X22" s="93" t="str">
        <f>IF(AND((V22=V24),(W24&gt;W22)),U24,U22)</f>
        <v>Benfica</v>
      </c>
      <c r="Y22" s="99">
        <f>VLOOKUP(X22,$A$21:$I$24,2,FALSE)</f>
        <v>6</v>
      </c>
      <c r="Z22" s="99">
        <f>VLOOKUP(X22,$A$21:$I$24,9,FALSE)</f>
        <v>2</v>
      </c>
      <c r="AA22" s="93"/>
      <c r="AB22" s="93" t="str">
        <f>IF(AND((Y22=Y23),(Z23&gt;Z22)),X23,X22)</f>
        <v>Benfica</v>
      </c>
      <c r="AC22" s="99">
        <f>VLOOKUP(AB22,$A$21:$I$24,2,FALSE)</f>
        <v>6</v>
      </c>
      <c r="AD22" s="99">
        <f>VLOOKUP(AB22,$A$21:$I$24,9,FALSE)</f>
        <v>2</v>
      </c>
      <c r="AE22" s="99">
        <f>VLOOKUP(AB22,$A$21:$I$24,7,FALSE)</f>
        <v>5</v>
      </c>
      <c r="AF22" s="93" t="str">
        <f>IF(AND((AC22=AC21),(AD22=AD21),(AE22&gt;AE21)),AB21,AB22)</f>
        <v>Benfica</v>
      </c>
      <c r="AG22" s="99">
        <f>VLOOKUP(AF22,$A$21:$I$24,2,FALSE)</f>
        <v>6</v>
      </c>
      <c r="AH22" s="99">
        <f>VLOOKUP(AF22,$A$21:$I$24,9,FALSE)</f>
        <v>2</v>
      </c>
      <c r="AI22" s="99">
        <f>VLOOKUP(AF22,$A$21:$I$24,7,FALSE)</f>
        <v>5</v>
      </c>
      <c r="AJ22" s="93" t="str">
        <f>IF(AND((AG22=AG24),(AH22=AH24),(AI24&gt;AI22)),AF24,AF22)</f>
        <v>Benfica</v>
      </c>
      <c r="AK22" s="99">
        <f>VLOOKUP(AJ22,$A$21:$I$24,2,FALSE)</f>
        <v>6</v>
      </c>
      <c r="AL22" s="99">
        <f>VLOOKUP(AJ22,$A$21:$I$24,9,FALSE)</f>
        <v>2</v>
      </c>
      <c r="AM22" s="99">
        <f>VLOOKUP(AJ22,$A$21:$I$24,7,FALSE)</f>
        <v>5</v>
      </c>
      <c r="AN22" s="93" t="str">
        <f>IF(AND((AK22=AK23),(AL22=AL23),(AM23&gt;AM22)),AJ23,AJ22)</f>
        <v>Benfica</v>
      </c>
      <c r="AO22" s="99">
        <f>VLOOKUP(AN22,$A$21:$I$24,2,FALSE)</f>
        <v>6</v>
      </c>
      <c r="AP22" s="99">
        <f>VLOOKUP(AN22,$A$21:$I$24,9,FALSE)</f>
        <v>2</v>
      </c>
      <c r="AQ22" s="99">
        <f>VLOOKUP(AN22,$A$21:$I$24,7,FALSE)</f>
        <v>5</v>
      </c>
    </row>
    <row r="23" spans="1:43" ht="12" customHeight="1" x14ac:dyDescent="0.25">
      <c r="A23" s="92" t="s">
        <v>34</v>
      </c>
      <c r="B23" s="96">
        <f>SUM((D23*3))+E23</f>
        <v>3</v>
      </c>
      <c r="C23" s="97">
        <f>COUNT('Tabela Jogos'!E21,'Tabela Jogos'!G23,'Tabela Jogos'!G25)</f>
        <v>3</v>
      </c>
      <c r="D23" s="97">
        <f>SUM(IF(('Tabela Jogos'!$E$21&gt;'Tabela Jogos'!$G$21),COUNT('Tabela Jogos'!$E$21)),IF(('Tabela Jogos'!$G$23&gt;'Tabela Jogos'!$E$23),COUNT('Tabela Jogos'!$G$23)),IF(('Tabela Jogos'!$G$25&gt;'Tabela Jogos'!$E$25),COUNT('Tabela Jogos'!$G$25)))</f>
        <v>1</v>
      </c>
      <c r="E23" s="97">
        <f>SUM(IF(('Tabela Jogos'!$E$21='Tabela Jogos'!$G$21),COUNT('Tabela Jogos'!$E$21)),IF(('Tabela Jogos'!$G$23='Tabela Jogos'!$E$23),COUNT('Tabela Jogos'!$G$23)),IF(('Tabela Jogos'!$G$25='Tabela Jogos'!$E$25),COUNT('Tabela Jogos'!$G$25)))</f>
        <v>0</v>
      </c>
      <c r="F23" s="97">
        <f>SUM(IF(('Tabela Jogos'!$E$21&lt;'Tabela Jogos'!$G$21),COUNT('Tabela Jogos'!$E$21)),IF(('Tabela Jogos'!$G$23&lt;'Tabela Jogos'!$E$23),COUNT('Tabela Jogos'!$G$23)),IF(('Tabela Jogos'!$G$25&lt;'Tabela Jogos'!$E$25),COUNT('Tabela Jogos'!$G$25)))</f>
        <v>2</v>
      </c>
      <c r="G23" s="97">
        <f>SUM((('Tabela Jogos'!E21+'Tabela Jogos'!G23)+'Tabela Jogos'!G25))</f>
        <v>5</v>
      </c>
      <c r="H23" s="97">
        <f>SUM((('Tabela Jogos'!G21+'Tabela Jogos'!E23)+'Tabela Jogos'!E25))</f>
        <v>4</v>
      </c>
      <c r="I23" s="97">
        <f>SUM((G23-H23))</f>
        <v>1</v>
      </c>
      <c r="J23" s="96"/>
      <c r="K23" s="93" t="str">
        <f>IF((B23&gt;=B24),A23,A24)</f>
        <v>Benfica</v>
      </c>
      <c r="L23" s="99">
        <f>VLOOKUP(K23,$A$21:$I$24,2,FALSE)</f>
        <v>6</v>
      </c>
      <c r="M23" s="93"/>
      <c r="N23" s="93" t="str">
        <f>IF((L23&lt;=L21),K23,K21)</f>
        <v>Benfica</v>
      </c>
      <c r="O23" s="99">
        <f>VLOOKUP(N23,$A$21:$I$24,2,FALSE)</f>
        <v>6</v>
      </c>
      <c r="P23" s="93"/>
      <c r="Q23" s="93" t="str">
        <f>IF((O23&lt;=O22),N23,N22)</f>
        <v>Boca Juniors</v>
      </c>
      <c r="R23" s="99">
        <f>VLOOKUP(Q23,$A$21:$I$24,2,FALSE)</f>
        <v>3</v>
      </c>
      <c r="S23" s="99">
        <f>VLOOKUP(Q23,$A$21:$I$24,9,FALSE)</f>
        <v>1</v>
      </c>
      <c r="T23" s="93"/>
      <c r="U23" s="93" t="str">
        <f>IF(AND((R23=R24),(S24&gt;S23)),Q24,Q23)</f>
        <v>Boca Juniors</v>
      </c>
      <c r="V23" s="99">
        <f>VLOOKUP(U23,$A$21:$I$24,2,FALSE)</f>
        <v>3</v>
      </c>
      <c r="W23" s="99">
        <f>VLOOKUP(U23,$A$21:$I$24,9,FALSE)</f>
        <v>1</v>
      </c>
      <c r="X23" s="93" t="str">
        <f>IF(AND((V21=V23),(W23&gt;W21)),U21,U23)</f>
        <v>Boca Juniors</v>
      </c>
      <c r="Y23" s="99">
        <f>VLOOKUP(X23,$A$21:$I$24,2,FALSE)</f>
        <v>3</v>
      </c>
      <c r="Z23" s="99">
        <f>VLOOKUP(X23,$A$21:$I$24,9,FALSE)</f>
        <v>1</v>
      </c>
      <c r="AA23" s="93"/>
      <c r="AB23" s="93" t="str">
        <f>IF(AND((Y23=Y22),(Z23&gt;Z22)),X22,X23)</f>
        <v>Boca Juniors</v>
      </c>
      <c r="AC23" s="99">
        <f>VLOOKUP(AB23,$A$21:$I$24,2,FALSE)</f>
        <v>3</v>
      </c>
      <c r="AD23" s="99">
        <f>VLOOKUP(AB23,$A$21:$I$24,9,FALSE)</f>
        <v>1</v>
      </c>
      <c r="AE23" s="99">
        <f>VLOOKUP(AB23,$A$21:$I$24,7,FALSE)</f>
        <v>5</v>
      </c>
      <c r="AF23" s="93" t="str">
        <f>IF(AND((AC23=AC24),(AD23=AD24),(AE24&gt;AE23)),AB24,AB23)</f>
        <v>Boca Juniors</v>
      </c>
      <c r="AG23" s="99">
        <f>VLOOKUP(AF23,$A$21:$I$24,2,FALSE)</f>
        <v>3</v>
      </c>
      <c r="AH23" s="99">
        <f>VLOOKUP(AF23,$A$21:$I$24,9,FALSE)</f>
        <v>1</v>
      </c>
      <c r="AI23" s="99">
        <f>VLOOKUP(AF23,$A$21:$I$24,7,FALSE)</f>
        <v>5</v>
      </c>
      <c r="AJ23" s="93" t="str">
        <f>IF(AND((AG23=AG21),(AH23=AH21),(AI23&gt;AI21)),AF21,AF23)</f>
        <v>Boca Juniors</v>
      </c>
      <c r="AK23" s="99">
        <f>VLOOKUP(AJ23,$A$21:$I$24,2,FALSE)</f>
        <v>3</v>
      </c>
      <c r="AL23" s="99">
        <f>VLOOKUP(AJ23,$A$21:$I$24,9,FALSE)</f>
        <v>1</v>
      </c>
      <c r="AM23" s="99">
        <f>VLOOKUP(AJ23,$A$21:$I$24,7,FALSE)</f>
        <v>5</v>
      </c>
      <c r="AN23" s="93" t="str">
        <f>IF(AND((AK23=AK22),(AL23=AL22),(AM23&gt;AM22)),AJ22,AJ23)</f>
        <v>Boca Juniors</v>
      </c>
      <c r="AO23" s="99">
        <f>VLOOKUP(AN23,$A$21:$I$24,2,FALSE)</f>
        <v>3</v>
      </c>
      <c r="AP23" s="99">
        <f>VLOOKUP(AN23,$A$21:$I$24,9,FALSE)</f>
        <v>1</v>
      </c>
      <c r="AQ23" s="99">
        <f>VLOOKUP(AN23,$A$21:$I$24,7,FALSE)</f>
        <v>5</v>
      </c>
    </row>
    <row r="24" spans="1:43" ht="12" customHeight="1" x14ac:dyDescent="0.25">
      <c r="A24" s="92" t="s">
        <v>35</v>
      </c>
      <c r="B24" s="96">
        <f>SUM((D24*3))+E24</f>
        <v>6</v>
      </c>
      <c r="C24" s="97">
        <f>COUNT('Tabela Jogos'!G21,'Tabela Jogos'!E22,'Tabela Jogos'!E24)</f>
        <v>3</v>
      </c>
      <c r="D24" s="97">
        <f>SUM(IF(('Tabela Jogos'!$G$21&gt;'Tabela Jogos'!$E$21),COUNT('Tabela Jogos'!$G$21)),IF(('Tabela Jogos'!$E$22&gt;'Tabela Jogos'!$G$22),COUNT('Tabela Jogos'!$E$22)),IF(('Tabela Jogos'!$E$24&gt;'Tabela Jogos'!$G$24),COUNT('Tabela Jogos'!$E$24)))</f>
        <v>2</v>
      </c>
      <c r="E24" s="97">
        <f>SUM(IF(('Tabela Jogos'!$G$21='Tabela Jogos'!$E$21),COUNT('Tabela Jogos'!$G$21)),IF(('Tabela Jogos'!$E$22='Tabela Jogos'!$G$22),COUNT('Tabela Jogos'!$E$22)),IF(('Tabela Jogos'!$E$24='Tabela Jogos'!$G$24),COUNT('Tabela Jogos'!$E$24)))</f>
        <v>0</v>
      </c>
      <c r="F24" s="97">
        <f>SUM(IF(('Tabela Jogos'!$G$21&lt;'Tabela Jogos'!$E$21),COUNT('Tabela Jogos'!$G$21)),IF(('Tabela Jogos'!$E$22&lt;'Tabela Jogos'!$G$22),COUNT('Tabela Jogos'!$E$22)),IF(('Tabela Jogos'!$E$24&lt;'Tabela Jogos'!$G$24),COUNT('Tabela Jogos'!$E$24)))</f>
        <v>1</v>
      </c>
      <c r="G24" s="97">
        <f>SUM((('Tabela Jogos'!G21+'Tabela Jogos'!E22)+'Tabela Jogos'!E24))</f>
        <v>5</v>
      </c>
      <c r="H24" s="97">
        <f>SUM((('Tabela Jogos'!E21+'Tabela Jogos'!G22)+'Tabela Jogos'!G24))</f>
        <v>3</v>
      </c>
      <c r="I24" s="97">
        <f>SUM((G24-H24))</f>
        <v>2</v>
      </c>
      <c r="J24" s="96"/>
      <c r="K24" s="93" t="str">
        <f>IF((B24&lt;=B23),A24,A23)</f>
        <v>Boca Juniors</v>
      </c>
      <c r="L24" s="99">
        <f>VLOOKUP(K24,$A$21:$I$24,2,FALSE)</f>
        <v>3</v>
      </c>
      <c r="M24" s="93"/>
      <c r="N24" s="93" t="str">
        <f>IF((L24&lt;=L22),K24,K22)</f>
        <v>Auckland City</v>
      </c>
      <c r="O24" s="99">
        <f>VLOOKUP(N24,$A$21:$I$24,2,FALSE)</f>
        <v>0</v>
      </c>
      <c r="P24" s="93"/>
      <c r="Q24" s="93" t="str">
        <f>IF((O24&lt;=O21),N24,N21)</f>
        <v>Auckland City</v>
      </c>
      <c r="R24" s="99">
        <f>VLOOKUP(Q24,$A$21:$I$24,2,FALSE)</f>
        <v>0</v>
      </c>
      <c r="S24" s="99">
        <f>VLOOKUP(Q24,$A$21:$I$24,9,FALSE)</f>
        <v>-8</v>
      </c>
      <c r="T24" s="93"/>
      <c r="U24" s="93" t="str">
        <f>IF(AND((R23=R24),(S24&gt;S23)),Q23,Q24)</f>
        <v>Auckland City</v>
      </c>
      <c r="V24" s="99">
        <f>VLOOKUP(U24,$A$21:$I$24,2,FALSE)</f>
        <v>0</v>
      </c>
      <c r="W24" s="99">
        <f>VLOOKUP(U24,$A$21:$I$24,9,FALSE)</f>
        <v>-8</v>
      </c>
      <c r="X24" s="93" t="str">
        <f>IF(AND((V22=V24),(W24&gt;W22)),U22,U24)</f>
        <v>Auckland City</v>
      </c>
      <c r="Y24" s="99">
        <f>VLOOKUP(X24,$A$21:$I$24,2,FALSE)</f>
        <v>0</v>
      </c>
      <c r="Z24" s="99">
        <f>VLOOKUP(X24,$A$21:$I$24,9,FALSE)</f>
        <v>-8</v>
      </c>
      <c r="AA24" s="93"/>
      <c r="AB24" s="93" t="str">
        <f>IF(AND((Y24=Y21),(Z24&gt;Z21)),X21,X24)</f>
        <v>Auckland City</v>
      </c>
      <c r="AC24" s="99">
        <f>VLOOKUP(AB24,$A$21:$I$24,2,FALSE)</f>
        <v>0</v>
      </c>
      <c r="AD24" s="99">
        <f>VLOOKUP(AB24,$A$21:$I$24,9,FALSE)</f>
        <v>-8</v>
      </c>
      <c r="AE24" s="99">
        <f>VLOOKUP(AB24,$A$21:$I$24,7,FALSE)</f>
        <v>0</v>
      </c>
      <c r="AF24" s="93" t="str">
        <f>IF(AND((AC24=AC23),(AD24=AD23),(AE24&gt;AE23)),X23,X24)</f>
        <v>Auckland City</v>
      </c>
      <c r="AG24" s="99">
        <f>VLOOKUP(AF24,$A$21:$I$24,2,FALSE)</f>
        <v>0</v>
      </c>
      <c r="AH24" s="99">
        <f>VLOOKUP(AF24,$A$21:$I$24,9,FALSE)</f>
        <v>-8</v>
      </c>
      <c r="AI24" s="99">
        <f>VLOOKUP(AF24,$A$21:$I$24,7,FALSE)</f>
        <v>0</v>
      </c>
      <c r="AJ24" s="93" t="str">
        <f>IF(AND((AG22=AG24),(AH22=AH24),(AI24&gt;AI22)),AF22,AF24)</f>
        <v>Auckland City</v>
      </c>
      <c r="AK24" s="99">
        <f>VLOOKUP(AJ24,$A$21:$I$24,2,FALSE)</f>
        <v>0</v>
      </c>
      <c r="AL24" s="99">
        <f>VLOOKUP(AJ24,$A$21:$I$24,9,FALSE)</f>
        <v>-8</v>
      </c>
      <c r="AM24" s="99">
        <f>VLOOKUP(AJ24,$A$21:$I$24,7,FALSE)</f>
        <v>0</v>
      </c>
      <c r="AN24" s="93" t="str">
        <f>IF(AND((AK24=AK21),(AL24=AL21),(AM24&gt;AM21)),AJ21,AJ24)</f>
        <v>Auckland City</v>
      </c>
      <c r="AO24" s="99">
        <f>VLOOKUP(AN24,$A$21:$I$24,2,FALSE)</f>
        <v>0</v>
      </c>
      <c r="AP24" s="99">
        <f>VLOOKUP(AN24,$A$21:$I$24,9,FALSE)</f>
        <v>-8</v>
      </c>
      <c r="AQ24" s="99">
        <f>VLOOKUP(AN24,$A$21:$I$24,7,FALSE)</f>
        <v>0</v>
      </c>
    </row>
    <row r="25" spans="1:43" ht="12" customHeight="1" x14ac:dyDescent="0.2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</row>
    <row r="26" spans="1:43" ht="12" customHeight="1" x14ac:dyDescent="0.2">
      <c r="A26" s="92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</row>
    <row r="27" spans="1:43" ht="12" customHeight="1" x14ac:dyDescent="0.2">
      <c r="A27" s="92"/>
      <c r="B27" s="152" t="s">
        <v>85</v>
      </c>
      <c r="C27" s="152"/>
      <c r="D27" s="152"/>
      <c r="E27" s="152"/>
      <c r="F27" s="152"/>
      <c r="G27" s="152"/>
      <c r="H27" s="152"/>
      <c r="I27" s="152"/>
      <c r="J27" s="93"/>
      <c r="K27" s="93" t="s">
        <v>78</v>
      </c>
      <c r="L27" s="93"/>
      <c r="M27" s="93"/>
      <c r="N27" s="93" t="s">
        <v>79</v>
      </c>
      <c r="O27" s="93"/>
      <c r="P27" s="93"/>
      <c r="Q27" s="93" t="s">
        <v>80</v>
      </c>
      <c r="R27" s="93"/>
      <c r="S27" s="93"/>
      <c r="T27" s="93"/>
      <c r="U27" s="93" t="s">
        <v>80</v>
      </c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</row>
    <row r="28" spans="1:43" ht="12" customHeight="1" x14ac:dyDescent="0.25">
      <c r="A28" s="95" t="s">
        <v>81</v>
      </c>
      <c r="B28" s="96" t="s">
        <v>11</v>
      </c>
      <c r="C28" s="97" t="s">
        <v>12</v>
      </c>
      <c r="D28" s="97" t="s">
        <v>13</v>
      </c>
      <c r="E28" s="97" t="s">
        <v>14</v>
      </c>
      <c r="F28" s="97" t="s">
        <v>15</v>
      </c>
      <c r="G28" s="97" t="s">
        <v>16</v>
      </c>
      <c r="H28" s="97" t="s">
        <v>17</v>
      </c>
      <c r="I28" s="97" t="s">
        <v>18</v>
      </c>
      <c r="J28" s="98"/>
      <c r="K28" s="93"/>
      <c r="L28" s="93" t="s">
        <v>11</v>
      </c>
      <c r="M28" s="93"/>
      <c r="N28" s="93"/>
      <c r="O28" s="93" t="s">
        <v>82</v>
      </c>
      <c r="P28" s="93"/>
      <c r="Q28" s="93"/>
      <c r="R28" s="93" t="s">
        <v>11</v>
      </c>
      <c r="S28" s="93" t="s">
        <v>18</v>
      </c>
      <c r="T28" s="93"/>
      <c r="U28" s="93"/>
      <c r="V28" s="93" t="s">
        <v>11</v>
      </c>
      <c r="W28" s="93" t="s">
        <v>18</v>
      </c>
      <c r="X28" s="93"/>
      <c r="Y28" s="93" t="s">
        <v>11</v>
      </c>
      <c r="Z28" s="93" t="s">
        <v>18</v>
      </c>
      <c r="AA28" s="93"/>
      <c r="AB28" s="93"/>
      <c r="AC28" s="93" t="s">
        <v>11</v>
      </c>
      <c r="AD28" s="93" t="s">
        <v>18</v>
      </c>
      <c r="AE28" s="93" t="s">
        <v>16</v>
      </c>
      <c r="AF28" s="93"/>
      <c r="AG28" s="93" t="s">
        <v>11</v>
      </c>
      <c r="AH28" s="93" t="s">
        <v>18</v>
      </c>
      <c r="AI28" s="93" t="s">
        <v>16</v>
      </c>
      <c r="AJ28" s="93"/>
      <c r="AK28" s="93" t="s">
        <v>11</v>
      </c>
      <c r="AL28" s="93" t="s">
        <v>18</v>
      </c>
      <c r="AM28" s="93" t="s">
        <v>16</v>
      </c>
      <c r="AN28" s="93"/>
      <c r="AO28" s="93" t="s">
        <v>11</v>
      </c>
      <c r="AP28" s="93" t="s">
        <v>18</v>
      </c>
      <c r="AQ28" s="93" t="s">
        <v>16</v>
      </c>
    </row>
    <row r="29" spans="1:43" ht="12" customHeight="1" x14ac:dyDescent="0.25">
      <c r="A29" s="92" t="s">
        <v>37</v>
      </c>
      <c r="B29" s="96">
        <f>SUM((D29*3))+E29</f>
        <v>9</v>
      </c>
      <c r="C29" s="97">
        <f>COUNT('Tabela Jogos'!E28,'Tabela Jogos'!G30,'Tabela Jogos'!G33)</f>
        <v>3</v>
      </c>
      <c r="D29" s="97">
        <f>SUM(IF(('Tabela Jogos'!$E$28&gt;'Tabela Jogos'!$G$28),COUNT('Tabela Jogos'!$E$28)),IF(('Tabela Jogos'!$G$30&gt;'Tabela Jogos'!$E$30),COUNT('Tabela Jogos'!$G$30)),IF(('Tabela Jogos'!$G$33&gt;'Tabela Jogos'!$E$33),COUNT('Tabela Jogos'!$G$33)))</f>
        <v>3</v>
      </c>
      <c r="E29" s="97">
        <f>SUM(IF(('Tabela Jogos'!$E$28='Tabela Jogos'!$G$28),COUNT('Tabela Jogos'!$E$28)),IF(('Tabela Jogos'!$G$30='Tabela Jogos'!$E$30),COUNT('Tabela Jogos'!$G$30)),IF(('Tabela Jogos'!$G$33='Tabela Jogos'!$E$33),COUNT('Tabela Jogos'!$G$33)))</f>
        <v>0</v>
      </c>
      <c r="F29" s="97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97">
        <f>SUM((('Tabela Jogos'!E28+'Tabela Jogos'!G30)+'Tabela Jogos'!G33))</f>
        <v>7</v>
      </c>
      <c r="H29" s="97">
        <f>SUM((('Tabela Jogos'!G28+'Tabela Jogos'!E30)+'Tabela Jogos'!E33))</f>
        <v>1</v>
      </c>
      <c r="I29" s="97">
        <f>SUM((G29-H29))</f>
        <v>6</v>
      </c>
      <c r="J29" s="96"/>
      <c r="K29" s="93" t="str">
        <f>IF((B29&gt;=B30),A29,A30)</f>
        <v>Chelsea</v>
      </c>
      <c r="L29" s="99">
        <f>VLOOKUP(K29,$A$29:$I$32,2,FALSE)</f>
        <v>9</v>
      </c>
      <c r="M29" s="93"/>
      <c r="N29" s="93" t="str">
        <f>IF((L29&gt;=L31),K29,K31)</f>
        <v>Chelsea</v>
      </c>
      <c r="O29" s="99">
        <f>VLOOKUP(N29,$A$29:$I$32,2,FALSE)</f>
        <v>9</v>
      </c>
      <c r="P29" s="93"/>
      <c r="Q29" s="93" t="str">
        <f>IF((O29&gt;=O32),N29,N32)</f>
        <v>Chelsea</v>
      </c>
      <c r="R29" s="99">
        <f>VLOOKUP(Q29,$A$29:$I$32,2,FALSE)</f>
        <v>9</v>
      </c>
      <c r="S29" s="99">
        <f>VLOOKUP(Q29,$A$29:$I$32,9,FALSE)</f>
        <v>6</v>
      </c>
      <c r="T29" s="93"/>
      <c r="U29" s="93" t="str">
        <f>IF(AND((R29=R30),(S30&gt;S29)),Q30,Q29)</f>
        <v>Chelsea</v>
      </c>
      <c r="V29" s="99">
        <f>VLOOKUP(U29,$A$29:$I$32,2,FALSE)</f>
        <v>9</v>
      </c>
      <c r="W29" s="99">
        <f>VLOOKUP(U29,$A$29:$I$32,9,FALSE)</f>
        <v>6</v>
      </c>
      <c r="X29" s="93" t="str">
        <f>IF(AND((V29=V31),(W31&gt;W29)),U31,U29)</f>
        <v>Chelsea</v>
      </c>
      <c r="Y29" s="99">
        <f>VLOOKUP(X29,$A$29:$I$32,2,FALSE)</f>
        <v>9</v>
      </c>
      <c r="Z29" s="99">
        <f>VLOOKUP(X29,$A$29:$I$32,9,FALSE)</f>
        <v>6</v>
      </c>
      <c r="AA29" s="93"/>
      <c r="AB29" s="93" t="str">
        <f>IF(AND((Y29=Y32),(Z32&gt;Z29)),X32,X29)</f>
        <v>Chelsea</v>
      </c>
      <c r="AC29" s="99">
        <f>VLOOKUP(AB29,$A$29:$I$32,2,FALSE)</f>
        <v>9</v>
      </c>
      <c r="AD29" s="99">
        <f>VLOOKUP(AB29,$A$29:$I$32,9,FALSE)</f>
        <v>6</v>
      </c>
      <c r="AE29" s="99">
        <f>VLOOKUP(AB29,$A$29:$I$32,7,FALSE)</f>
        <v>7</v>
      </c>
      <c r="AF29" s="93" t="str">
        <f>IF(AND((AC29=AC30),(AD29=AD30),(AE30&gt;AE29)),AB30,AB29)</f>
        <v>Chelsea</v>
      </c>
      <c r="AG29" s="99">
        <f>VLOOKUP(AF29,$A$29:$I$32,2,FALSE)</f>
        <v>9</v>
      </c>
      <c r="AH29" s="99">
        <f>VLOOKUP(AF29,$A$29:$I$32,9,FALSE)</f>
        <v>6</v>
      </c>
      <c r="AI29" s="99">
        <f>VLOOKUP(AF29,$A$29:$I$32,7,FALSE)</f>
        <v>7</v>
      </c>
      <c r="AJ29" s="93" t="str">
        <f>IF(AND((AG29=AG31),(AH29=AH31),(AI31&gt;AI29)),AF31,AF29)</f>
        <v>Chelsea</v>
      </c>
      <c r="AK29" s="99">
        <f>VLOOKUP(AJ29,$A$29:$I$32,2,FALSE)</f>
        <v>9</v>
      </c>
      <c r="AL29" s="99">
        <f>VLOOKUP(AJ29,$A$29:$I$32,9,FALSE)</f>
        <v>6</v>
      </c>
      <c r="AM29" s="99">
        <f>VLOOKUP(AJ29,$A$29:$I$32,7,FALSE)</f>
        <v>7</v>
      </c>
      <c r="AN29" s="93" t="str">
        <f>IF(AND((AK29=AK32),(AL29=AL32),(AM32&gt;AM29)),AJ32,AJ29)</f>
        <v>Chelsea</v>
      </c>
      <c r="AO29" s="99">
        <f>VLOOKUP(AN29,$A$29:$I$32,2,FALSE)</f>
        <v>9</v>
      </c>
      <c r="AP29" s="99">
        <f>VLOOKUP(AN29,$A$29:$I$32,9,FALSE)</f>
        <v>6</v>
      </c>
      <c r="AQ29" s="99">
        <f>VLOOKUP(AN29,$A$29:$I$32,7,FALSE)</f>
        <v>7</v>
      </c>
    </row>
    <row r="30" spans="1:43" ht="12" customHeight="1" x14ac:dyDescent="0.25">
      <c r="A30" s="92" t="s">
        <v>41</v>
      </c>
      <c r="B30" s="96">
        <f>SUM((D30*3))+E30</f>
        <v>0</v>
      </c>
      <c r="C30" s="97">
        <f>COUNT('Tabela Jogos'!G29,'Tabela Jogos'!G31,'Tabela Jogos'!E33)</f>
        <v>3</v>
      </c>
      <c r="D30" s="97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97">
        <f>SUM(IF(('Tabela Jogos'!$G$29='Tabela Jogos'!$E$29),COUNT('Tabela Jogos'!$G$29)),IF(('Tabela Jogos'!$G$31='Tabela Jogos'!$E$31),COUNT('Tabela Jogos'!$G$31)),IF(('Tabela Jogos'!$E$33='Tabela Jogos'!$G$33),COUNT('Tabela Jogos'!$E$33)))</f>
        <v>0</v>
      </c>
      <c r="F30" s="97">
        <f>SUM(IF(('Tabela Jogos'!$G$29&lt;'Tabela Jogos'!$E$29),COUNT('Tabela Jogos'!$G$29)),IF(('Tabela Jogos'!$G$31&lt;'Tabela Jogos'!$E$31),COUNT('Tabela Jogos'!$G$31)),IF(('Tabela Jogos'!$E$33&lt;'Tabela Jogos'!$G$33),COUNT('Tabela Jogos'!$E$33)))</f>
        <v>3</v>
      </c>
      <c r="G30" s="97">
        <f>SUM((('Tabela Jogos'!G29+'Tabela Jogos'!G31)+'Tabela Jogos'!E33))</f>
        <v>2</v>
      </c>
      <c r="H30" s="97">
        <f>SUM((('Tabela Jogos'!E29+'Tabela Jogos'!E31)+'Tabela Jogos'!G33))</f>
        <v>8</v>
      </c>
      <c r="I30" s="97">
        <f>SUM((G30-H30))</f>
        <v>-6</v>
      </c>
      <c r="J30" s="96"/>
      <c r="K30" s="93" t="str">
        <f>IF((B30&lt;=B29),A30,A29)</f>
        <v>Espérance</v>
      </c>
      <c r="L30" s="99">
        <f>VLOOKUP(K30,$A$29:$I$32,2,FALSE)</f>
        <v>0</v>
      </c>
      <c r="M30" s="93"/>
      <c r="N30" s="93" t="str">
        <f>IF((L30&gt;=L32),K30,K32)</f>
        <v>Los Angeles FC</v>
      </c>
      <c r="O30" s="99">
        <f>VLOOKUP(N30,$A$29:$I$32,2,FALSE)</f>
        <v>3</v>
      </c>
      <c r="P30" s="93"/>
      <c r="Q30" s="93" t="str">
        <f>IF((O30&gt;=O31),N30,N31)</f>
        <v>Flamengo</v>
      </c>
      <c r="R30" s="99">
        <f>VLOOKUP(Q30,$A$29:$I$32,2,FALSE)</f>
        <v>6</v>
      </c>
      <c r="S30" s="99">
        <f>VLOOKUP(Q30,$A$29:$I$32,9,FALSE)</f>
        <v>3</v>
      </c>
      <c r="T30" s="93"/>
      <c r="U30" s="93" t="str">
        <f>IF(AND((R29=R30),(S30&gt;S29)),Q29,Q30)</f>
        <v>Flamengo</v>
      </c>
      <c r="V30" s="99">
        <f>VLOOKUP(U30,$A$29:$I$32,2,FALSE)</f>
        <v>6</v>
      </c>
      <c r="W30" s="99">
        <f>VLOOKUP(U30,$A$29:$I$32,9,FALSE)</f>
        <v>3</v>
      </c>
      <c r="X30" s="93" t="str">
        <f>IF(AND((V30=V32),(W32&gt;W30)),U32,U30)</f>
        <v>Flamengo</v>
      </c>
      <c r="Y30" s="99">
        <f>VLOOKUP(X30,$A$29:$I$32,2,FALSE)</f>
        <v>6</v>
      </c>
      <c r="Z30" s="99">
        <f>VLOOKUP(X30,$A$29:$I$32,9,FALSE)</f>
        <v>3</v>
      </c>
      <c r="AA30" s="93"/>
      <c r="AB30" s="93" t="str">
        <f>IF(AND((Y30=Y31),(Z31&gt;Z30)),X31,X30)</f>
        <v>Flamengo</v>
      </c>
      <c r="AC30" s="99">
        <f>VLOOKUP(AB30,$A$29:$I$32,2,FALSE)</f>
        <v>6</v>
      </c>
      <c r="AD30" s="99">
        <f>VLOOKUP(AB30,$A$29:$I$32,9,FALSE)</f>
        <v>3</v>
      </c>
      <c r="AE30" s="99">
        <f>VLOOKUP(AB30,$A$29:$I$32,7,FALSE)</f>
        <v>6</v>
      </c>
      <c r="AF30" s="93" t="str">
        <f>IF(AND((AC30=AC29),(AD30=AD29),(AE30&gt;AE29)),AB29,AB30)</f>
        <v>Flamengo</v>
      </c>
      <c r="AG30" s="99">
        <f>VLOOKUP(AF30,$A$29:$I$32,2,FALSE)</f>
        <v>6</v>
      </c>
      <c r="AH30" s="99">
        <f>VLOOKUP(AF30,$A$29:$I$32,9,FALSE)</f>
        <v>3</v>
      </c>
      <c r="AI30" s="99">
        <f>VLOOKUP(AF30,$A$29:$I$32,7,FALSE)</f>
        <v>6</v>
      </c>
      <c r="AJ30" s="93" t="str">
        <f>IF(AND((AG30=AG32),(AH30=AH32),(AI32&gt;AI30)),AF32,AF30)</f>
        <v>Flamengo</v>
      </c>
      <c r="AK30" s="99">
        <f>VLOOKUP(AJ30,$A$29:$I$32,2,FALSE)</f>
        <v>6</v>
      </c>
      <c r="AL30" s="99">
        <f>VLOOKUP(AJ30,$A$29:$I$32,9,FALSE)</f>
        <v>3</v>
      </c>
      <c r="AM30" s="99">
        <f>VLOOKUP(AJ30,$A$29:$I$32,7,FALSE)</f>
        <v>6</v>
      </c>
      <c r="AN30" s="93" t="str">
        <f>IF(AND((AK30=AK31),(AL30=AL31),(AM31&gt;AM30)),AJ31,AJ30)</f>
        <v>Flamengo</v>
      </c>
      <c r="AO30" s="99">
        <f>VLOOKUP(AN30,$A$29:$I$32,2,FALSE)</f>
        <v>6</v>
      </c>
      <c r="AP30" s="99">
        <f>VLOOKUP(AN30,$A$29:$I$32,9,FALSE)</f>
        <v>3</v>
      </c>
      <c r="AQ30" s="99">
        <f>VLOOKUP(AN30,$A$29:$I$32,7,FALSE)</f>
        <v>6</v>
      </c>
    </row>
    <row r="31" spans="1:43" ht="12" customHeight="1" x14ac:dyDescent="0.25">
      <c r="A31" s="92" t="s">
        <v>40</v>
      </c>
      <c r="B31" s="96">
        <f>SUM((D31*3))+E31</f>
        <v>6</v>
      </c>
      <c r="C31" s="97">
        <f>COUNT('Tabela Jogos'!E29,'Tabela Jogos'!E30,'Tabela Jogos'!G32)</f>
        <v>3</v>
      </c>
      <c r="D31" s="97">
        <f>SUM(IF(('Tabela Jogos'!$E$29&gt;'Tabela Jogos'!$G$29),COUNT('Tabela Jogos'!$E$29)),IF(('Tabela Jogos'!$E$30&gt;'Tabela Jogos'!$G$30),COUNT('Tabela Jogos'!$E$30)),IF(('Tabela Jogos'!$G$32&gt;'Tabela Jogos'!$E$32),COUNT('Tabela Jogos'!$G$32)))</f>
        <v>2</v>
      </c>
      <c r="E31" s="97">
        <f>SUM(IF(('Tabela Jogos'!$E$29='Tabela Jogos'!$G$29),COUNT('Tabela Jogos'!$E$29)),IF(('Tabela Jogos'!$E$30='Tabela Jogos'!$G$30),COUNT('Tabela Jogos'!$E$30)),IF(('Tabela Jogos'!$G$32='Tabela Jogos'!$E$32),COUNT('Tabela Jogos'!$G$32)))</f>
        <v>0</v>
      </c>
      <c r="F31" s="97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97">
        <f>SUM((('Tabela Jogos'!E29+'Tabela Jogos'!E30)+'Tabela Jogos'!G32))</f>
        <v>6</v>
      </c>
      <c r="H31" s="97">
        <f>SUM((('Tabela Jogos'!G29+'Tabela Jogos'!G30)+'Tabela Jogos'!E32))</f>
        <v>3</v>
      </c>
      <c r="I31" s="97">
        <f>SUM((G31-H31))</f>
        <v>3</v>
      </c>
      <c r="J31" s="96"/>
      <c r="K31" s="93" t="str">
        <f>IF((B31&gt;=B32),A31,A32)</f>
        <v>Flamengo</v>
      </c>
      <c r="L31" s="99">
        <f>VLOOKUP(K31,$A$29:$I$32,2,FALSE)</f>
        <v>6</v>
      </c>
      <c r="M31" s="93"/>
      <c r="N31" s="93" t="str">
        <f>IF((L31&lt;=L29),K31,K29)</f>
        <v>Flamengo</v>
      </c>
      <c r="O31" s="99">
        <f>VLOOKUP(N31,$A$29:$I$32,2,FALSE)</f>
        <v>6</v>
      </c>
      <c r="P31" s="93"/>
      <c r="Q31" s="93" t="str">
        <f>IF((O31&lt;=O30),N31,N30)</f>
        <v>Los Angeles FC</v>
      </c>
      <c r="R31" s="99">
        <f>VLOOKUP(Q31,$A$29:$I$32,2,FALSE)</f>
        <v>3</v>
      </c>
      <c r="S31" s="99">
        <f>VLOOKUP(Q31,$A$29:$I$32,9,FALSE)</f>
        <v>-3</v>
      </c>
      <c r="T31" s="93"/>
      <c r="U31" s="93" t="str">
        <f>IF(AND((R31=R32),(S32&gt;S31)),Q32,Q31)</f>
        <v>Los Angeles FC</v>
      </c>
      <c r="V31" s="99">
        <f>VLOOKUP(U31,$A$29:$I$32,2,FALSE)</f>
        <v>3</v>
      </c>
      <c r="W31" s="99">
        <f>VLOOKUP(U31,$A$29:$I$32,9,FALSE)</f>
        <v>-3</v>
      </c>
      <c r="X31" s="93" t="str">
        <f>IF(AND((V29=V31),(W31&gt;W29)),U29,U31)</f>
        <v>Los Angeles FC</v>
      </c>
      <c r="Y31" s="99">
        <f>VLOOKUP(X31,$A$29:$I$32,2,FALSE)</f>
        <v>3</v>
      </c>
      <c r="Z31" s="99">
        <f>VLOOKUP(X31,$A$29:$I$32,9,FALSE)</f>
        <v>-3</v>
      </c>
      <c r="AA31" s="93"/>
      <c r="AB31" s="93" t="str">
        <f>IF(AND((Y31=Y30),(Z31&gt;Z30)),X30,X31)</f>
        <v>Los Angeles FC</v>
      </c>
      <c r="AC31" s="99">
        <f>VLOOKUP(AB31,$A$29:$I$32,2,FALSE)</f>
        <v>3</v>
      </c>
      <c r="AD31" s="99">
        <f>VLOOKUP(AB31,$A$29:$I$32,9,FALSE)</f>
        <v>-3</v>
      </c>
      <c r="AE31" s="99">
        <f>VLOOKUP(AB31,$A$29:$I$32,7,FALSE)</f>
        <v>2</v>
      </c>
      <c r="AF31" s="93" t="str">
        <f>IF(AND((AC31=AC32),(AD31=AD32),(AE32&gt;AE31)),AB32,AB31)</f>
        <v>Los Angeles FC</v>
      </c>
      <c r="AG31" s="99">
        <f>VLOOKUP(AF31,$A$29:$I$32,2,FALSE)</f>
        <v>3</v>
      </c>
      <c r="AH31" s="99">
        <f>VLOOKUP(AF31,$A$29:$I$32,9,FALSE)</f>
        <v>-3</v>
      </c>
      <c r="AI31" s="99">
        <f>VLOOKUP(AF31,$A$29:$I$32,7,FALSE)</f>
        <v>2</v>
      </c>
      <c r="AJ31" s="93" t="str">
        <f>IF(AND((AG31=AG29),(AH31=AH29),(AI31&gt;AI29)),AF29,AF31)</f>
        <v>Los Angeles FC</v>
      </c>
      <c r="AK31" s="99">
        <f>VLOOKUP(AJ31,$A$29:$I$32,2,FALSE)</f>
        <v>3</v>
      </c>
      <c r="AL31" s="99">
        <f>VLOOKUP(AJ31,$A$29:$I$32,9,FALSE)</f>
        <v>-3</v>
      </c>
      <c r="AM31" s="99">
        <f>VLOOKUP(AJ31,$A$29:$I$32,7,FALSE)</f>
        <v>2</v>
      </c>
      <c r="AN31" s="93" t="str">
        <f>IF(AND((AK31=AK30),(AL31=AL30),(AM31&gt;AM30)),AJ30,AJ31)</f>
        <v>Los Angeles FC</v>
      </c>
      <c r="AO31" s="99">
        <f>VLOOKUP(AN31,$A$29:$I$32,2,FALSE)</f>
        <v>3</v>
      </c>
      <c r="AP31" s="99">
        <f>VLOOKUP(AN31,$A$29:$I$32,9,FALSE)</f>
        <v>-3</v>
      </c>
      <c r="AQ31" s="99">
        <f>VLOOKUP(AN31,$A$29:$I$32,7,FALSE)</f>
        <v>2</v>
      </c>
    </row>
    <row r="32" spans="1:43" ht="12" customHeight="1" x14ac:dyDescent="0.25">
      <c r="A32" s="92" t="s">
        <v>38</v>
      </c>
      <c r="B32" s="96">
        <f>SUM((D32*3))+E32</f>
        <v>3</v>
      </c>
      <c r="C32" s="97">
        <f>COUNT('Tabela Jogos'!G28,'Tabela Jogos'!E31,'Tabela Jogos'!E32)</f>
        <v>3</v>
      </c>
      <c r="D32" s="97">
        <f>SUM(IF(('Tabela Jogos'!$G$28&gt;'Tabela Jogos'!$E$28),COUNT('Tabela Jogos'!$G$28)),IF(('Tabela Jogos'!$E$31&gt;'Tabela Jogos'!$G$31),COUNT('Tabela Jogos'!$E$31)),IF(('Tabela Jogos'!$E$32&gt;'Tabela Jogos'!$G$32),COUNT('Tabela Jogos'!$E$32)))</f>
        <v>1</v>
      </c>
      <c r="E32" s="97">
        <f>SUM(IF(('Tabela Jogos'!$G$28='Tabela Jogos'!$E$28),COUNT('Tabela Jogos'!$G$28)),IF(('Tabela Jogos'!$E$31='Tabela Jogos'!$G$31),COUNT('Tabela Jogos'!$E$31)),IF(('Tabela Jogos'!$E$32='Tabela Jogos'!$G$32),COUNT('Tabela Jogos'!$E$32)))</f>
        <v>0</v>
      </c>
      <c r="F32" s="97">
        <f>SUM(IF(('Tabela Jogos'!$G$28&lt;'Tabela Jogos'!$E$28),COUNT('Tabela Jogos'!$G$28)),IF(('Tabela Jogos'!$E$31&lt;'Tabela Jogos'!$G$31),COUNT('Tabela Jogos'!$E$31)),IF(('Tabela Jogos'!$E$32&lt;'Tabela Jogos'!$G$32),COUNT('Tabela Jogos'!$E$32)))</f>
        <v>2</v>
      </c>
      <c r="G32" s="97">
        <f>SUM((('Tabela Jogos'!G28+'Tabela Jogos'!E31)+'Tabela Jogos'!E32))</f>
        <v>2</v>
      </c>
      <c r="H32" s="97">
        <f>SUM((('Tabela Jogos'!E28+'Tabela Jogos'!G31)+'Tabela Jogos'!G32))</f>
        <v>5</v>
      </c>
      <c r="I32" s="97">
        <f>SUM((G32-H32))</f>
        <v>-3</v>
      </c>
      <c r="J32" s="96"/>
      <c r="K32" s="93" t="str">
        <f>IF((B32&lt;=B31),A32,A31)</f>
        <v>Los Angeles FC</v>
      </c>
      <c r="L32" s="99">
        <f>VLOOKUP(K32,$A$29:$I$32,2,FALSE)</f>
        <v>3</v>
      </c>
      <c r="M32" s="93"/>
      <c r="N32" s="93" t="str">
        <f>IF((L32&lt;=L30),K32,K30)</f>
        <v>Espérance</v>
      </c>
      <c r="O32" s="99">
        <f>VLOOKUP(N32,$A$29:$I$32,2,FALSE)</f>
        <v>0</v>
      </c>
      <c r="P32" s="93"/>
      <c r="Q32" s="93" t="str">
        <f>IF((O32&lt;=O29),N32,N29)</f>
        <v>Espérance</v>
      </c>
      <c r="R32" s="99">
        <f>VLOOKUP(Q32,$A$29:$I$32,2,FALSE)</f>
        <v>0</v>
      </c>
      <c r="S32" s="99">
        <f>VLOOKUP(Q32,$A$29:$I$32,9,FALSE)</f>
        <v>-6</v>
      </c>
      <c r="T32" s="93"/>
      <c r="U32" s="93" t="str">
        <f>IF(AND((R31=R32),(S32&gt;S31)),Q31,Q32)</f>
        <v>Espérance</v>
      </c>
      <c r="V32" s="99">
        <f>VLOOKUP(U32,$A$29:$I$32,2,FALSE)</f>
        <v>0</v>
      </c>
      <c r="W32" s="99">
        <f>VLOOKUP(U32,$A$29:$I$32,9,FALSE)</f>
        <v>-6</v>
      </c>
      <c r="X32" s="93" t="str">
        <f>IF(AND((V30=V32),(W32&gt;W30)),U30,U32)</f>
        <v>Espérance</v>
      </c>
      <c r="Y32" s="99">
        <f>VLOOKUP(X32,$A$29:$I$32,2,FALSE)</f>
        <v>0</v>
      </c>
      <c r="Z32" s="99">
        <f>VLOOKUP(X32,$A$29:$I$32,9,FALSE)</f>
        <v>-6</v>
      </c>
      <c r="AA32" s="93"/>
      <c r="AB32" s="93" t="str">
        <f>IF(AND((Y32=Y29),(Z32&gt;Z29)),X29,X32)</f>
        <v>Espérance</v>
      </c>
      <c r="AC32" s="99">
        <f>VLOOKUP(AB32,$A$29:$I$32,2,FALSE)</f>
        <v>0</v>
      </c>
      <c r="AD32" s="99">
        <f>VLOOKUP(AB32,$A$29:$I$32,9,FALSE)</f>
        <v>-6</v>
      </c>
      <c r="AE32" s="99">
        <f>VLOOKUP(AB32,$A$29:$I$32,7,FALSE)</f>
        <v>2</v>
      </c>
      <c r="AF32" s="93" t="str">
        <f>IF(AND((AC32=AC31),(AD32=AD31),(AE32&gt;AE31)),X31,X32)</f>
        <v>Espérance</v>
      </c>
      <c r="AG32" s="99">
        <f>VLOOKUP(AF32,$A$29:$I$32,2,FALSE)</f>
        <v>0</v>
      </c>
      <c r="AH32" s="99">
        <f>VLOOKUP(AF32,$A$29:$I$32,9,FALSE)</f>
        <v>-6</v>
      </c>
      <c r="AI32" s="99">
        <f>VLOOKUP(AF32,$A$29:$I$32,7,FALSE)</f>
        <v>2</v>
      </c>
      <c r="AJ32" s="93" t="str">
        <f>IF(AND((AG30=AG32),(AH30=AH32),(AI32&gt;AI30)),AF30,AF32)</f>
        <v>Espérance</v>
      </c>
      <c r="AK32" s="99">
        <f>VLOOKUP(AJ32,$A$29:$I$32,2,FALSE)</f>
        <v>0</v>
      </c>
      <c r="AL32" s="99">
        <f>VLOOKUP(AJ32,$A$29:$I$32,9,FALSE)</f>
        <v>-6</v>
      </c>
      <c r="AM32" s="99">
        <f>VLOOKUP(AJ32,$A$29:$I$32,7,FALSE)</f>
        <v>2</v>
      </c>
      <c r="AN32" s="93" t="str">
        <f>IF(AND((AK32=AK29),(AL32=AL29),(AM32&gt;AM29)),AJ29,AJ32)</f>
        <v>Espérance</v>
      </c>
      <c r="AO32" s="99">
        <f>VLOOKUP(AN32,$A$29:$I$32,2,FALSE)</f>
        <v>0</v>
      </c>
      <c r="AP32" s="99">
        <f>VLOOKUP(AN32,$A$29:$I$32,9,FALSE)</f>
        <v>-6</v>
      </c>
      <c r="AQ32" s="99">
        <f>VLOOKUP(AN32,$A$29:$I$32,7,FALSE)</f>
        <v>2</v>
      </c>
    </row>
    <row r="33" spans="1:43" ht="12" customHeight="1" x14ac:dyDescent="0.2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</row>
    <row r="34" spans="1:43" ht="12" customHeight="1" x14ac:dyDescent="0.2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</row>
    <row r="35" spans="1:43" ht="12" customHeight="1" x14ac:dyDescent="0.2">
      <c r="A35" s="92"/>
      <c r="B35" s="152" t="s">
        <v>86</v>
      </c>
      <c r="C35" s="152"/>
      <c r="D35" s="152"/>
      <c r="E35" s="152"/>
      <c r="F35" s="152"/>
      <c r="G35" s="152"/>
      <c r="H35" s="152"/>
      <c r="I35" s="152"/>
      <c r="J35" s="93"/>
      <c r="K35" s="93" t="s">
        <v>78</v>
      </c>
      <c r="L35" s="93"/>
      <c r="M35" s="93"/>
      <c r="N35" s="93" t="s">
        <v>79</v>
      </c>
      <c r="O35" s="93"/>
      <c r="P35" s="93"/>
      <c r="Q35" s="93" t="s">
        <v>80</v>
      </c>
      <c r="R35" s="93"/>
      <c r="S35" s="93"/>
      <c r="T35" s="93"/>
      <c r="U35" s="93" t="s">
        <v>80</v>
      </c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</row>
    <row r="36" spans="1:43" ht="12" customHeight="1" x14ac:dyDescent="0.25">
      <c r="A36" s="95" t="s">
        <v>81</v>
      </c>
      <c r="B36" s="96" t="s">
        <v>11</v>
      </c>
      <c r="C36" s="97" t="s">
        <v>12</v>
      </c>
      <c r="D36" s="97" t="s">
        <v>13</v>
      </c>
      <c r="E36" s="97" t="s">
        <v>14</v>
      </c>
      <c r="F36" s="97" t="s">
        <v>15</v>
      </c>
      <c r="G36" s="97" t="s">
        <v>16</v>
      </c>
      <c r="H36" s="97" t="s">
        <v>17</v>
      </c>
      <c r="I36" s="97" t="s">
        <v>18</v>
      </c>
      <c r="J36" s="98"/>
      <c r="K36" s="93"/>
      <c r="L36" s="93" t="s">
        <v>11</v>
      </c>
      <c r="M36" s="93"/>
      <c r="N36" s="93"/>
      <c r="O36" s="93" t="s">
        <v>82</v>
      </c>
      <c r="P36" s="93"/>
      <c r="Q36" s="93"/>
      <c r="R36" s="93" t="s">
        <v>11</v>
      </c>
      <c r="S36" s="93" t="s">
        <v>18</v>
      </c>
      <c r="T36" s="93"/>
      <c r="U36" s="93"/>
      <c r="V36" s="93" t="s">
        <v>11</v>
      </c>
      <c r="W36" s="93" t="s">
        <v>18</v>
      </c>
      <c r="X36" s="93"/>
      <c r="Y36" s="93" t="s">
        <v>11</v>
      </c>
      <c r="Z36" s="93" t="s">
        <v>18</v>
      </c>
      <c r="AA36" s="93"/>
      <c r="AB36" s="93"/>
      <c r="AC36" s="93" t="s">
        <v>11</v>
      </c>
      <c r="AD36" s="93" t="s">
        <v>18</v>
      </c>
      <c r="AE36" s="93" t="s">
        <v>16</v>
      </c>
      <c r="AF36" s="93"/>
      <c r="AG36" s="93" t="s">
        <v>11</v>
      </c>
      <c r="AH36" s="93" t="s">
        <v>18</v>
      </c>
      <c r="AI36" s="93" t="s">
        <v>16</v>
      </c>
      <c r="AJ36" s="93"/>
      <c r="AK36" s="93" t="s">
        <v>11</v>
      </c>
      <c r="AL36" s="93" t="s">
        <v>18</v>
      </c>
      <c r="AM36" s="93" t="s">
        <v>16</v>
      </c>
      <c r="AN36" s="93"/>
      <c r="AO36" s="93" t="s">
        <v>11</v>
      </c>
      <c r="AP36" s="93" t="s">
        <v>18</v>
      </c>
      <c r="AQ36" s="93" t="s">
        <v>16</v>
      </c>
    </row>
    <row r="37" spans="1:43" ht="12" customHeight="1" x14ac:dyDescent="0.25">
      <c r="A37" s="92" t="s">
        <v>44</v>
      </c>
      <c r="B37" s="96">
        <f>SUM((D37*3))+E37</f>
        <v>6</v>
      </c>
      <c r="C37" s="97">
        <f>COUNT('Tabela Jogos'!E36,'Tabela Jogos'!E39,'Tabela Jogos'!G40)</f>
        <v>3</v>
      </c>
      <c r="D37" s="97">
        <f>SUM(IF(('Tabela Jogos'!$E$36&gt;'Tabela Jogos'!$G$36),COUNT('Tabela Jogos'!$E$36)),IF(('Tabela Jogos'!$E$39&gt;'Tabela Jogos'!$G$39),COUNT('Tabela Jogos'!$E$39)),IF(('Tabela Jogos'!$G$40&gt;'Tabela Jogos'!$E$40),COUNT('Tabela Jogos'!$G$40)))</f>
        <v>2</v>
      </c>
      <c r="E37" s="97">
        <f>SUM(IF(('Tabela Jogos'!$E$36='Tabela Jogos'!$G$36),COUNT('Tabela Jogos'!$E$36)),IF(('Tabela Jogos'!$E$39='Tabela Jogos'!$G$39),COUNT('Tabela Jogos'!$E$39)),IF(('Tabela Jogos'!$G$40='Tabela Jogos'!$E$40),COUNT('Tabela Jogos'!$G$40)))</f>
        <v>0</v>
      </c>
      <c r="F37" s="97">
        <f>SUM(IF(('Tabela Jogos'!$E$36&lt;'Tabela Jogos'!$G$36),COUNT('Tabela Jogos'!$E$36)),IF(('Tabela Jogos'!$E$39&lt;'Tabela Jogos'!$G$39),COUNT('Tabela Jogos'!$E$39)),IF(('Tabela Jogos'!$G$40&lt;'Tabela Jogos'!$E$40),COUNT('Tabela Jogos'!$G$40)))</f>
        <v>1</v>
      </c>
      <c r="G37" s="97">
        <f>SUM((('Tabela Jogos'!E36+'Tabela Jogos'!E39)+'Tabela Jogos'!G40))</f>
        <v>5</v>
      </c>
      <c r="H37" s="97">
        <f>SUM((('Tabela Jogos'!G36+'Tabela Jogos'!G39)+'Tabela Jogos'!E40))</f>
        <v>3</v>
      </c>
      <c r="I37" s="97">
        <f>SUM((G37-H37))</f>
        <v>2</v>
      </c>
      <c r="J37" s="96"/>
      <c r="K37" s="93" t="str">
        <f>IF((B37&gt;=B38),A37,A38)</f>
        <v>Internazionale</v>
      </c>
      <c r="L37" s="99">
        <f>VLOOKUP(K37,$A$37:$I$40,2,FALSE)</f>
        <v>9</v>
      </c>
      <c r="M37" s="93"/>
      <c r="N37" s="93" t="str">
        <f>IF((L37&gt;=L39),K37,K39)</f>
        <v>Internazionale</v>
      </c>
      <c r="O37" s="99">
        <f>VLOOKUP(N37,$A$37:$I$40,2,FALSE)</f>
        <v>9</v>
      </c>
      <c r="P37" s="93"/>
      <c r="Q37" s="93" t="str">
        <f>IF((O37&gt;=O40),N37,N40)</f>
        <v>Internazionale</v>
      </c>
      <c r="R37" s="99">
        <f>VLOOKUP(Q37,$A$37:$I$40,2,FALSE)</f>
        <v>9</v>
      </c>
      <c r="S37" s="99">
        <f>VLOOKUP(Q37,$A$37:$I$40,9,FALSE)</f>
        <v>6</v>
      </c>
      <c r="T37" s="93"/>
      <c r="U37" s="93" t="str">
        <f>IF(AND((R37=R38),(S38&gt;S37)),Q38,Q37)</f>
        <v>Internazionale</v>
      </c>
      <c r="V37" s="99">
        <f>VLOOKUP(U37,$A$37:$I$40,2,FALSE)</f>
        <v>9</v>
      </c>
      <c r="W37" s="99">
        <f>VLOOKUP(U37,$A$37:$I$40,9,FALSE)</f>
        <v>6</v>
      </c>
      <c r="X37" s="93" t="str">
        <f>IF(AND((V37=V39),(W39&gt;W37)),U39,U37)</f>
        <v>Internazionale</v>
      </c>
      <c r="Y37" s="99">
        <f>VLOOKUP(X37,$A$37:$I$40,2,FALSE)</f>
        <v>9</v>
      </c>
      <c r="Z37" s="99">
        <f>VLOOKUP(X37,$A$37:$I$40,9,FALSE)</f>
        <v>6</v>
      </c>
      <c r="AA37" s="93"/>
      <c r="AB37" s="93" t="str">
        <f>IF(AND((Y37=Y40),(Z40&gt;Z37)),X40,X37)</f>
        <v>Internazionale</v>
      </c>
      <c r="AC37" s="99">
        <f>VLOOKUP(AB37,$A$37:$I$40,2,FALSE)</f>
        <v>9</v>
      </c>
      <c r="AD37" s="99">
        <f>VLOOKUP(AB37,$A$37:$I$40,9,FALSE)</f>
        <v>6</v>
      </c>
      <c r="AE37" s="99">
        <f>VLOOKUP(AB37,$A$37:$I$40,7,FALSE)</f>
        <v>7</v>
      </c>
      <c r="AF37" s="93" t="str">
        <f>IF(AND((AC37=AC38),(AD37=AD38),(AE38&gt;AE37)),AB38,AB37)</f>
        <v>Internazionale</v>
      </c>
      <c r="AG37" s="99">
        <f>VLOOKUP(AF37,$A$37:$I$40,2,FALSE)</f>
        <v>9</v>
      </c>
      <c r="AH37" s="99">
        <f>VLOOKUP(AF37,$A$37:$I$40,9,FALSE)</f>
        <v>6</v>
      </c>
      <c r="AI37" s="99">
        <f>VLOOKUP(AF37,$A$37:$I$40,7,FALSE)</f>
        <v>7</v>
      </c>
      <c r="AJ37" s="93" t="str">
        <f>IF(AND((AG37=AG39),(AH37=AH39),(AI39&gt;AI37)),AF39,AF37)</f>
        <v>Internazionale</v>
      </c>
      <c r="AK37" s="99">
        <f>VLOOKUP(AJ37,$A$37:$I$40,2,FALSE)</f>
        <v>9</v>
      </c>
      <c r="AL37" s="99">
        <f>VLOOKUP(AJ37,$A$37:$I$40,9,FALSE)</f>
        <v>6</v>
      </c>
      <c r="AM37" s="99">
        <f>VLOOKUP(AJ37,$A$37:$I$40,7,FALSE)</f>
        <v>7</v>
      </c>
      <c r="AN37" s="93" t="str">
        <f>IF(AND((AK37=AK40),(AL37=AL40),(AM40&gt;AM37)),AJ40,AJ37)</f>
        <v>Internazionale</v>
      </c>
      <c r="AO37" s="99">
        <f>VLOOKUP(AN37,$A$37:$I$40,2,FALSE)</f>
        <v>9</v>
      </c>
      <c r="AP37" s="99">
        <f>VLOOKUP(AN37,$A$37:$I$40,9,FALSE)</f>
        <v>6</v>
      </c>
      <c r="AQ37" s="99">
        <f>VLOOKUP(AN37,$A$37:$I$40,7,FALSE)</f>
        <v>7</v>
      </c>
    </row>
    <row r="38" spans="1:43" ht="12" customHeight="1" x14ac:dyDescent="0.25">
      <c r="A38" s="92" t="s">
        <v>48</v>
      </c>
      <c r="B38" s="96">
        <f>SUM((D38*3))+E38</f>
        <v>9</v>
      </c>
      <c r="C38" s="97">
        <f>COUNT('Tabela Jogos'!G37,'Tabela Jogos'!E38,'Tabela Jogos'!E40)</f>
        <v>3</v>
      </c>
      <c r="D38" s="97">
        <f>SUM(IF(('Tabela Jogos'!$G$37&gt;'Tabela Jogos'!$E$37),COUNT('Tabela Jogos'!$G$37)),IF(('Tabela Jogos'!$E$38&gt;'Tabela Jogos'!$G$38),COUNT('Tabela Jogos'!$E$38)),IF(('Tabela Jogos'!$E$40&gt;'Tabela Jogos'!$G$40),COUNT('Tabela Jogos'!$E$40)))</f>
        <v>3</v>
      </c>
      <c r="E38" s="97">
        <f>SUM(IF(('Tabela Jogos'!$G$37='Tabela Jogos'!$E$37),COUNT('Tabela Jogos'!$G$37)),IF(('Tabela Jogos'!$E$38='Tabela Jogos'!$G$38),COUNT('Tabela Jogos'!$E$38)),IF(('Tabela Jogos'!$E$40='Tabela Jogos'!$G$40),COUNT('Tabela Jogos'!$E$40)))</f>
        <v>0</v>
      </c>
      <c r="F38" s="97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97">
        <f>SUM((('Tabela Jogos'!G37+'Tabela Jogos'!E38)+'Tabela Jogos'!E40))</f>
        <v>7</v>
      </c>
      <c r="H38" s="97">
        <f>SUM((('Tabela Jogos'!E37+'Tabela Jogos'!G38)+'Tabela Jogos'!G40))</f>
        <v>1</v>
      </c>
      <c r="I38" s="97">
        <f>SUM((G38-H38))</f>
        <v>6</v>
      </c>
      <c r="J38" s="96"/>
      <c r="K38" s="93" t="str">
        <f>IF((B38&lt;=B37),A38,A37)</f>
        <v>River Plate</v>
      </c>
      <c r="L38" s="99">
        <f>VLOOKUP(K38,$A$37:$I$40,2,FALSE)</f>
        <v>6</v>
      </c>
      <c r="M38" s="93"/>
      <c r="N38" s="93" t="str">
        <f>IF((L38&gt;=L40),K38,K40)</f>
        <v>River Plate</v>
      </c>
      <c r="O38" s="99">
        <f>VLOOKUP(N38,$A$37:$I$40,2,FALSE)</f>
        <v>6</v>
      </c>
      <c r="P38" s="93"/>
      <c r="Q38" s="93" t="str">
        <f>IF((O38&gt;=O39),N38,N39)</f>
        <v>River Plate</v>
      </c>
      <c r="R38" s="99">
        <f>VLOOKUP(Q38,$A$37:$I$40,2,FALSE)</f>
        <v>6</v>
      </c>
      <c r="S38" s="99">
        <f>VLOOKUP(Q38,$A$37:$I$40,9,FALSE)</f>
        <v>2</v>
      </c>
      <c r="T38" s="93"/>
      <c r="U38" s="93" t="str">
        <f>IF(AND((R37=R38),(S38&gt;S37)),Q37,Q38)</f>
        <v>River Plate</v>
      </c>
      <c r="V38" s="99">
        <f>VLOOKUP(U38,$A$37:$I$40,2,FALSE)</f>
        <v>6</v>
      </c>
      <c r="W38" s="99">
        <f>VLOOKUP(U38,$A$37:$I$40,9,FALSE)</f>
        <v>2</v>
      </c>
      <c r="X38" s="93" t="str">
        <f>IF(AND((V38=V40),(W40&gt;W38)),U40,U38)</f>
        <v>River Plate</v>
      </c>
      <c r="Y38" s="99">
        <f>VLOOKUP(X38,$A$37:$I$40,2,FALSE)</f>
        <v>6</v>
      </c>
      <c r="Z38" s="99">
        <f>VLOOKUP(X38,$A$37:$I$40,9,FALSE)</f>
        <v>2</v>
      </c>
      <c r="AA38" s="93"/>
      <c r="AB38" s="93" t="str">
        <f>IF(AND((Y38=Y39),(Z39&gt;Z38)),X39,X38)</f>
        <v>River Plate</v>
      </c>
      <c r="AC38" s="99">
        <f>VLOOKUP(AB38,$A$37:$I$40,2,FALSE)</f>
        <v>6</v>
      </c>
      <c r="AD38" s="99">
        <f>VLOOKUP(AB38,$A$37:$I$40,9,FALSE)</f>
        <v>2</v>
      </c>
      <c r="AE38" s="99">
        <f>VLOOKUP(AB38,$A$37:$I$40,7,FALSE)</f>
        <v>5</v>
      </c>
      <c r="AF38" s="93" t="str">
        <f>IF(AND((AC38=AC37),(AD38=AD37),(AE38&gt;AE37)),AB37,AB38)</f>
        <v>River Plate</v>
      </c>
      <c r="AG38" s="99">
        <f>VLOOKUP(AF38,$A$37:$I$40,2,FALSE)</f>
        <v>6</v>
      </c>
      <c r="AH38" s="99">
        <f>VLOOKUP(AF38,$A$37:$I$40,9,FALSE)</f>
        <v>2</v>
      </c>
      <c r="AI38" s="99">
        <f>VLOOKUP(AF38,$A$37:$I$40,7,FALSE)</f>
        <v>5</v>
      </c>
      <c r="AJ38" s="93" t="str">
        <f>IF(AND((AG38=AG40),(AH38=AH40),(AI40&gt;AI38)),AF40,AF38)</f>
        <v>River Plate</v>
      </c>
      <c r="AK38" s="99">
        <f>VLOOKUP(AJ38,$A$37:$I$40,2,FALSE)</f>
        <v>6</v>
      </c>
      <c r="AL38" s="99">
        <f>VLOOKUP(AJ38,$A$37:$I$40,9,FALSE)</f>
        <v>2</v>
      </c>
      <c r="AM38" s="99">
        <f>VLOOKUP(AJ38,$A$37:$I$40,7,FALSE)</f>
        <v>5</v>
      </c>
      <c r="AN38" s="93" t="str">
        <f>IF(AND((AK38=AK39),(AL38=AL39),(AM39&gt;AM38)),AJ39,AJ38)</f>
        <v>River Plate</v>
      </c>
      <c r="AO38" s="99">
        <f>VLOOKUP(AN38,$A$37:$I$40,2,FALSE)</f>
        <v>6</v>
      </c>
      <c r="AP38" s="99">
        <f>VLOOKUP(AN38,$A$37:$I$40,9,FALSE)</f>
        <v>2</v>
      </c>
      <c r="AQ38" s="99">
        <f>VLOOKUP(AN38,$A$37:$I$40,7,FALSE)</f>
        <v>5</v>
      </c>
    </row>
    <row r="39" spans="1:43" ht="12" customHeight="1" x14ac:dyDescent="0.25">
      <c r="A39" s="92" t="s">
        <v>47</v>
      </c>
      <c r="B39" s="96">
        <f>SUM((D39*3))+E39</f>
        <v>1</v>
      </c>
      <c r="C39" s="97">
        <f>COUNT('Tabela Jogos'!E37,'Tabela Jogos'!G39,'Tabela Jogos'!G41)</f>
        <v>3</v>
      </c>
      <c r="D39" s="97">
        <f>SUM(IF(('Tabela Jogos'!$E$37&gt;'Tabela Jogos'!$G$37),COUNT('Tabela Jogos'!$E$37)),IF(('Tabela Jogos'!$G$39&gt;'Tabela Jogos'!$E$39),COUNT('Tabela Jogos'!$G$39)),IF(('Tabela Jogos'!$G$41&gt;'Tabela Jogos'!$E$41),COUNT('Tabela Jogos'!$G$41)))</f>
        <v>0</v>
      </c>
      <c r="E39" s="97">
        <f>SUM(IF(('Tabela Jogos'!$E$37='Tabela Jogos'!$G$37),COUNT('Tabela Jogos'!$E$37)),IF(('Tabela Jogos'!$G$39='Tabela Jogos'!$E$39),COUNT('Tabela Jogos'!$G$39)),IF(('Tabela Jogos'!$G$41='Tabela Jogos'!$E$41),COUNT('Tabela Jogos'!$G$41)))</f>
        <v>1</v>
      </c>
      <c r="F39" s="97">
        <f>SUM(IF(('Tabela Jogos'!$E$37&lt;'Tabela Jogos'!$G$37),COUNT('Tabela Jogos'!$E$37)),IF(('Tabela Jogos'!$G$39&lt;'Tabela Jogos'!$E$39),COUNT('Tabela Jogos'!$G$39)),IF(('Tabela Jogos'!$G$41&lt;'Tabela Jogos'!$E$41),COUNT('Tabela Jogos'!$G$41)))</f>
        <v>2</v>
      </c>
      <c r="G39" s="97">
        <f>SUM((('Tabela Jogos'!E37+'Tabela Jogos'!G39)+'Tabela Jogos'!G41))</f>
        <v>2</v>
      </c>
      <c r="H39" s="97">
        <f>SUM((('Tabela Jogos'!G37+'Tabela Jogos'!E39)+'Tabela Jogos'!E41))</f>
        <v>5</v>
      </c>
      <c r="I39" s="97">
        <f>SUM((G39-H39))</f>
        <v>-3</v>
      </c>
      <c r="J39" s="96"/>
      <c r="K39" s="93" t="str">
        <f>IF((B39&gt;=B40),A39,A40)</f>
        <v>Monterrey</v>
      </c>
      <c r="L39" s="99">
        <f>VLOOKUP(K39,$A$37:$I$40,2,FALSE)</f>
        <v>1</v>
      </c>
      <c r="M39" s="93"/>
      <c r="N39" s="93" t="str">
        <f>IF((L39&lt;=L37),K39,K37)</f>
        <v>Monterrey</v>
      </c>
      <c r="O39" s="99">
        <f>VLOOKUP(N39,$A$37:$I$40,2,FALSE)</f>
        <v>1</v>
      </c>
      <c r="P39" s="93"/>
      <c r="Q39" s="93" t="str">
        <f>IF((O39&lt;=O38),N39,N38)</f>
        <v>Monterrey</v>
      </c>
      <c r="R39" s="99">
        <f>VLOOKUP(Q39,$A$37:$I$40,2,FALSE)</f>
        <v>1</v>
      </c>
      <c r="S39" s="99">
        <f>VLOOKUP(Q39,$A$37:$I$40,9,FALSE)</f>
        <v>-3</v>
      </c>
      <c r="T39" s="93"/>
      <c r="U39" s="93" t="str">
        <f>IF(AND((R39=R40),(S40&gt;S39)),Q40,Q39)</f>
        <v>Monterrey</v>
      </c>
      <c r="V39" s="99">
        <f>VLOOKUP(U39,$A$37:$I$40,2,FALSE)</f>
        <v>1</v>
      </c>
      <c r="W39" s="99">
        <f>VLOOKUP(U39,$A$37:$I$40,9,FALSE)</f>
        <v>-3</v>
      </c>
      <c r="X39" s="93" t="str">
        <f>IF(AND((V37=V39),(W39&gt;W37)),U37,U39)</f>
        <v>Monterrey</v>
      </c>
      <c r="Y39" s="99">
        <f>VLOOKUP(X39,$A$37:$I$40,2,FALSE)</f>
        <v>1</v>
      </c>
      <c r="Z39" s="99">
        <f>VLOOKUP(X39,$A$37:$I$40,9,FALSE)</f>
        <v>-3</v>
      </c>
      <c r="AA39" s="93"/>
      <c r="AB39" s="93" t="str">
        <f>IF(AND((Y39=Y38),(Z39&gt;Z38)),X38,X39)</f>
        <v>Monterrey</v>
      </c>
      <c r="AC39" s="99">
        <f>VLOOKUP(AB39,$A$37:$I$40,2,FALSE)</f>
        <v>1</v>
      </c>
      <c r="AD39" s="99">
        <f>VLOOKUP(AB39,$A$37:$I$40,9,FALSE)</f>
        <v>-3</v>
      </c>
      <c r="AE39" s="99">
        <f>VLOOKUP(AB39,$A$37:$I$40,7,FALSE)</f>
        <v>2</v>
      </c>
      <c r="AF39" s="93" t="str">
        <f>IF(AND((AC39=AC40),(AD39=AD40),(AE40&gt;AE39)),AB40,AB39)</f>
        <v>Monterrey</v>
      </c>
      <c r="AG39" s="99">
        <f>VLOOKUP(AF39,$A$37:$I$40,2,FALSE)</f>
        <v>1</v>
      </c>
      <c r="AH39" s="99">
        <f>VLOOKUP(AF39,$A$37:$I$40,9,FALSE)</f>
        <v>-3</v>
      </c>
      <c r="AI39" s="99">
        <f>VLOOKUP(AF39,$A$37:$I$40,7,FALSE)</f>
        <v>2</v>
      </c>
      <c r="AJ39" s="93" t="str">
        <f>IF(AND((AG39=AG37),(AH39=AH37),(AI39&gt;AI37)),AF37,AF39)</f>
        <v>Monterrey</v>
      </c>
      <c r="AK39" s="99">
        <f>VLOOKUP(AJ39,$A$37:$I$40,2,FALSE)</f>
        <v>1</v>
      </c>
      <c r="AL39" s="99">
        <f>VLOOKUP(AJ39,$A$37:$I$40,9,FALSE)</f>
        <v>-3</v>
      </c>
      <c r="AM39" s="99">
        <f>VLOOKUP(AJ39,$A$37:$I$40,7,FALSE)</f>
        <v>2</v>
      </c>
      <c r="AN39" s="93" t="str">
        <f>IF(AND((AK39=AK38),(AL39=AL38),(AM39&gt;AM38)),AJ38,AJ39)</f>
        <v>Monterrey</v>
      </c>
      <c r="AO39" s="99">
        <f>VLOOKUP(AN39,$A$37:$I$40,2,FALSE)</f>
        <v>1</v>
      </c>
      <c r="AP39" s="99">
        <f>VLOOKUP(AN39,$A$37:$I$40,9,FALSE)</f>
        <v>-3</v>
      </c>
      <c r="AQ39" s="99">
        <f>VLOOKUP(AN39,$A$37:$I$40,7,FALSE)</f>
        <v>2</v>
      </c>
    </row>
    <row r="40" spans="1:43" ht="12" customHeight="1" x14ac:dyDescent="0.25">
      <c r="A40" s="92" t="s">
        <v>45</v>
      </c>
      <c r="B40" s="96">
        <f>SUM((D40*3))+E40</f>
        <v>1</v>
      </c>
      <c r="C40" s="97">
        <f>COUNT('Tabela Jogos'!G36,'Tabela Jogos'!G38,'Tabela Jogos'!E41)</f>
        <v>3</v>
      </c>
      <c r="D40" s="97">
        <f>SUM(IF(('Tabela Jogos'!$G$36&gt;'Tabela Jogos'!$E$36),COUNT('Tabela Jogos'!$G$36)),IF(('Tabela Jogos'!$G$38&gt;'Tabela Jogos'!$E$38),COUNT('Tabela Jogos'!$G$38)),IF(('Tabela Jogos'!$E$41&gt;'Tabela Jogos'!$G$41),COUNT('Tabela Jogos'!$E$41)))</f>
        <v>0</v>
      </c>
      <c r="E40" s="97">
        <f>SUM(IF(('Tabela Jogos'!$G$36='Tabela Jogos'!$E$36),COUNT('Tabela Jogos'!$G$36)),IF(('Tabela Jogos'!$G$38='Tabela Jogos'!$E$38),COUNT('Tabela Jogos'!$G$38)),IF(('Tabela Jogos'!$E$41='Tabela Jogos'!$G$41),COUNT('Tabela Jogos'!$E$41)))</f>
        <v>1</v>
      </c>
      <c r="F40" s="97">
        <f>SUM(IF(('Tabela Jogos'!$G$36&lt;'Tabela Jogos'!$E$36),COUNT('Tabela Jogos'!$G$36)),IF(('Tabela Jogos'!$G$38&lt;'Tabela Jogos'!$E$38),COUNT('Tabela Jogos'!$G$38)),IF(('Tabela Jogos'!$E$41&lt;'Tabela Jogos'!$G$41),COUNT('Tabela Jogos'!$E$41)))</f>
        <v>2</v>
      </c>
      <c r="G40" s="97">
        <f>SUM((('Tabela Jogos'!G36+'Tabela Jogos'!G38)+'Tabela Jogos'!E41))</f>
        <v>1</v>
      </c>
      <c r="H40" s="97">
        <f>SUM((('Tabela Jogos'!E36+'Tabela Jogos'!E38)+'Tabela Jogos'!G41))</f>
        <v>6</v>
      </c>
      <c r="I40" s="97">
        <f>SUM((G40-H40))</f>
        <v>-5</v>
      </c>
      <c r="J40" s="96"/>
      <c r="K40" s="93" t="str">
        <f>IF((B40&lt;=B39),A40,A39)</f>
        <v>Urawa Reds</v>
      </c>
      <c r="L40" s="99">
        <f>VLOOKUP(K40,$A$37:$I$40,2,FALSE)</f>
        <v>1</v>
      </c>
      <c r="M40" s="93"/>
      <c r="N40" s="93" t="str">
        <f>IF((L40&lt;=L38),K40,K38)</f>
        <v>Urawa Reds</v>
      </c>
      <c r="O40" s="99">
        <f>VLOOKUP(N40,$A$37:$I$40,2,FALSE)</f>
        <v>1</v>
      </c>
      <c r="P40" s="93"/>
      <c r="Q40" s="93" t="str">
        <f>IF((O40&lt;=O37),N40,N37)</f>
        <v>Urawa Reds</v>
      </c>
      <c r="R40" s="99">
        <f>VLOOKUP(Q40,$A$37:$I$40,2,FALSE)</f>
        <v>1</v>
      </c>
      <c r="S40" s="99">
        <f>VLOOKUP(Q40,$A$37:$I$40,9,FALSE)</f>
        <v>-5</v>
      </c>
      <c r="T40" s="93"/>
      <c r="U40" s="93" t="str">
        <f>IF(AND((R39=R40),(S40&gt;S39)),Q39,Q40)</f>
        <v>Urawa Reds</v>
      </c>
      <c r="V40" s="99">
        <f>VLOOKUP(U40,$A$37:$I$40,2,FALSE)</f>
        <v>1</v>
      </c>
      <c r="W40" s="99">
        <f>VLOOKUP(U40,$A$37:$I$40,9,FALSE)</f>
        <v>-5</v>
      </c>
      <c r="X40" s="93" t="str">
        <f>IF(AND((V38=V40),(W40&gt;W38)),U38,U40)</f>
        <v>Urawa Reds</v>
      </c>
      <c r="Y40" s="99">
        <f>VLOOKUP(X40,$A$37:$I$40,2,FALSE)</f>
        <v>1</v>
      </c>
      <c r="Z40" s="99">
        <f>VLOOKUP(X40,$A$37:$I$40,9,FALSE)</f>
        <v>-5</v>
      </c>
      <c r="AA40" s="93"/>
      <c r="AB40" s="93" t="str">
        <f>IF(AND((Y40=Y37),(Z40&gt;Z37)),X37,X40)</f>
        <v>Urawa Reds</v>
      </c>
      <c r="AC40" s="99">
        <f>VLOOKUP(AB40,$A$37:$I$40,2,FALSE)</f>
        <v>1</v>
      </c>
      <c r="AD40" s="99">
        <f>VLOOKUP(AB40,$A$37:$I$40,9,FALSE)</f>
        <v>-5</v>
      </c>
      <c r="AE40" s="99">
        <f>VLOOKUP(AB40,$A$37:$I$40,7,FALSE)</f>
        <v>1</v>
      </c>
      <c r="AF40" s="93" t="str">
        <f>IF(AND((AC40=AC39),(AD40=AD39),(AE40&gt;AE39)),X39,X40)</f>
        <v>Urawa Reds</v>
      </c>
      <c r="AG40" s="99">
        <f>VLOOKUP(AF40,$A$37:$I$40,2,FALSE)</f>
        <v>1</v>
      </c>
      <c r="AH40" s="99">
        <f>VLOOKUP(AF40,$A$37:$I$40,9,FALSE)</f>
        <v>-5</v>
      </c>
      <c r="AI40" s="99">
        <f>VLOOKUP(AF40,$A$37:$I$40,7,FALSE)</f>
        <v>1</v>
      </c>
      <c r="AJ40" s="93" t="str">
        <f>IF(AND((AG38=AG40),(AH38=AH40),(AI40&gt;AI38)),AF38,AF40)</f>
        <v>Urawa Reds</v>
      </c>
      <c r="AK40" s="99">
        <f>VLOOKUP(AJ40,$A$37:$I$40,2,FALSE)</f>
        <v>1</v>
      </c>
      <c r="AL40" s="99">
        <f>VLOOKUP(AJ40,$A$37:$I$40,9,FALSE)</f>
        <v>-5</v>
      </c>
      <c r="AM40" s="99">
        <f>VLOOKUP(AJ40,$A$37:$I$40,7,FALSE)</f>
        <v>1</v>
      </c>
      <c r="AN40" s="93" t="str">
        <f>IF(AND((AK40=AK37),(AL40=AL37),(AM40&gt;AM37)),AJ37,AJ40)</f>
        <v>Urawa Reds</v>
      </c>
      <c r="AO40" s="99">
        <f>VLOOKUP(AN40,$A$37:$I$40,2,FALSE)</f>
        <v>1</v>
      </c>
      <c r="AP40" s="99">
        <f>VLOOKUP(AN40,$A$37:$I$40,9,FALSE)</f>
        <v>-5</v>
      </c>
      <c r="AQ40" s="99">
        <f>VLOOKUP(AN40,$A$37:$I$40,7,FALSE)</f>
        <v>1</v>
      </c>
    </row>
    <row r="41" spans="1:43" ht="12" customHeight="1" x14ac:dyDescent="0.2">
      <c r="A41" s="92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</row>
    <row r="42" spans="1:43" ht="12" customHeight="1" x14ac:dyDescent="0.2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</row>
    <row r="43" spans="1:43" ht="12" customHeight="1" x14ac:dyDescent="0.2">
      <c r="A43" s="92"/>
      <c r="B43" s="152" t="s">
        <v>87</v>
      </c>
      <c r="C43" s="152"/>
      <c r="D43" s="152"/>
      <c r="E43" s="152"/>
      <c r="F43" s="152"/>
      <c r="G43" s="152"/>
      <c r="H43" s="152"/>
      <c r="I43" s="152"/>
      <c r="J43" s="93"/>
      <c r="K43" s="93" t="s">
        <v>78</v>
      </c>
      <c r="L43" s="93"/>
      <c r="M43" s="93"/>
      <c r="N43" s="93" t="s">
        <v>79</v>
      </c>
      <c r="O43" s="93"/>
      <c r="P43" s="93"/>
      <c r="Q43" s="93" t="s">
        <v>80</v>
      </c>
      <c r="R43" s="93"/>
      <c r="S43" s="93"/>
      <c r="T43" s="93"/>
      <c r="U43" s="93" t="s">
        <v>80</v>
      </c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</row>
    <row r="44" spans="1:43" ht="12" customHeight="1" x14ac:dyDescent="0.25">
      <c r="A44" s="95" t="s">
        <v>81</v>
      </c>
      <c r="B44" s="96" t="s">
        <v>11</v>
      </c>
      <c r="C44" s="97" t="s">
        <v>12</v>
      </c>
      <c r="D44" s="97" t="s">
        <v>13</v>
      </c>
      <c r="E44" s="97" t="s">
        <v>14</v>
      </c>
      <c r="F44" s="97" t="s">
        <v>15</v>
      </c>
      <c r="G44" s="97" t="s">
        <v>16</v>
      </c>
      <c r="H44" s="97" t="s">
        <v>17</v>
      </c>
      <c r="I44" s="97" t="s">
        <v>18</v>
      </c>
      <c r="J44" s="98"/>
      <c r="K44" s="93"/>
      <c r="L44" s="93" t="s">
        <v>11</v>
      </c>
      <c r="M44" s="93"/>
      <c r="N44" s="93"/>
      <c r="O44" s="93" t="s">
        <v>82</v>
      </c>
      <c r="P44" s="93"/>
      <c r="Q44" s="93"/>
      <c r="R44" s="93" t="s">
        <v>11</v>
      </c>
      <c r="S44" s="93" t="s">
        <v>18</v>
      </c>
      <c r="T44" s="93"/>
      <c r="U44" s="93"/>
      <c r="V44" s="93" t="s">
        <v>11</v>
      </c>
      <c r="W44" s="93" t="s">
        <v>18</v>
      </c>
      <c r="X44" s="93"/>
      <c r="Y44" s="93" t="s">
        <v>11</v>
      </c>
      <c r="Z44" s="93" t="s">
        <v>18</v>
      </c>
      <c r="AA44" s="93"/>
      <c r="AB44" s="93"/>
      <c r="AC44" s="93" t="s">
        <v>11</v>
      </c>
      <c r="AD44" s="93" t="s">
        <v>18</v>
      </c>
      <c r="AE44" s="93" t="s">
        <v>16</v>
      </c>
      <c r="AF44" s="93"/>
      <c r="AG44" s="93" t="s">
        <v>11</v>
      </c>
      <c r="AH44" s="93" t="s">
        <v>18</v>
      </c>
      <c r="AI44" s="93" t="s">
        <v>16</v>
      </c>
      <c r="AJ44" s="93"/>
      <c r="AK44" s="93" t="s">
        <v>11</v>
      </c>
      <c r="AL44" s="93" t="s">
        <v>18</v>
      </c>
      <c r="AM44" s="93" t="s">
        <v>16</v>
      </c>
      <c r="AN44" s="93"/>
      <c r="AO44" s="93" t="s">
        <v>11</v>
      </c>
      <c r="AP44" s="93" t="s">
        <v>18</v>
      </c>
      <c r="AQ44" s="93" t="s">
        <v>16</v>
      </c>
    </row>
    <row r="45" spans="1:43" ht="12" customHeight="1" x14ac:dyDescent="0.25">
      <c r="A45" s="92" t="s">
        <v>51</v>
      </c>
      <c r="B45" s="96">
        <f>SUM((D45*3))+E45</f>
        <v>9</v>
      </c>
      <c r="C45" s="97">
        <f>COUNT('Tabela Jogos'!G44,'Tabela Jogos'!G46,'Tabela Jogos'!E49)</f>
        <v>3</v>
      </c>
      <c r="D45" s="97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97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97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97">
        <f>SUM((('Tabela Jogos'!G44+'Tabela Jogos'!G46)+'Tabela Jogos'!E49))</f>
        <v>7</v>
      </c>
      <c r="H45" s="97">
        <f>SUM((('Tabela Jogos'!E44+'Tabela Jogos'!E46)+'Tabela Jogos'!G49))</f>
        <v>1</v>
      </c>
      <c r="I45" s="97">
        <f>SUM((G45-H45))</f>
        <v>6</v>
      </c>
      <c r="J45" s="96"/>
      <c r="K45" s="93" t="str">
        <f>IF((B45&gt;=B46),A45,A46)</f>
        <v>Borussia Dortmund</v>
      </c>
      <c r="L45" s="99">
        <f>VLOOKUP(K45,$A$45:$I$48,2,FALSE)</f>
        <v>9</v>
      </c>
      <c r="M45" s="93"/>
      <c r="N45" s="93" t="str">
        <f>IF((L45&gt;=L47),K45,K47)</f>
        <v>Borussia Dortmund</v>
      </c>
      <c r="O45" s="99">
        <f>VLOOKUP(N45,$A$45:$I$48,2,FALSE)</f>
        <v>9</v>
      </c>
      <c r="P45" s="93"/>
      <c r="Q45" s="93" t="str">
        <f>IF((O45&gt;=O48),N45,N48)</f>
        <v>Borussia Dortmund</v>
      </c>
      <c r="R45" s="99">
        <f>VLOOKUP(Q45,$A$45:$I$48,2,FALSE)</f>
        <v>9</v>
      </c>
      <c r="S45" s="99">
        <f>VLOOKUP(Q45,$A$45:$I$48,9,FALSE)</f>
        <v>6</v>
      </c>
      <c r="T45" s="93"/>
      <c r="U45" s="93" t="str">
        <f>IF(AND((R45=R46),(S46&gt;S45)),Q46,Q45)</f>
        <v>Borussia Dortmund</v>
      </c>
      <c r="V45" s="99">
        <f>VLOOKUP(U45,$A$45:$I$48,2,FALSE)</f>
        <v>9</v>
      </c>
      <c r="W45" s="99">
        <f>VLOOKUP(U45,$A$45:$I$48,9,FALSE)</f>
        <v>6</v>
      </c>
      <c r="X45" s="93" t="str">
        <f>IF(AND((V45=V47),(W47&gt;W45)),U47,U45)</f>
        <v>Borussia Dortmund</v>
      </c>
      <c r="Y45" s="99">
        <f>VLOOKUP(X45,$A$45:$I$48,2,FALSE)</f>
        <v>9</v>
      </c>
      <c r="Z45" s="99">
        <f>VLOOKUP(X45,$A$45:$I$48,9,FALSE)</f>
        <v>6</v>
      </c>
      <c r="AA45" s="93"/>
      <c r="AB45" s="93" t="str">
        <f>IF(AND((Y45=Y48),(Z48&gt;Z45)),X48,X45)</f>
        <v>Borussia Dortmund</v>
      </c>
      <c r="AC45" s="99">
        <f>VLOOKUP(AB45,$A$45:$I$48,2,FALSE)</f>
        <v>9</v>
      </c>
      <c r="AD45" s="99">
        <f>VLOOKUP(AB45,$A$45:$I$48,9,FALSE)</f>
        <v>6</v>
      </c>
      <c r="AE45" s="99">
        <f>VLOOKUP(AB45,$A$45:$I$48,7,FALSE)</f>
        <v>7</v>
      </c>
      <c r="AF45" s="93" t="str">
        <f>IF(AND((AC45=AC46),(AD45=AD46),(AE46&gt;AE45)),AB46,AB45)</f>
        <v>Borussia Dortmund</v>
      </c>
      <c r="AG45" s="99">
        <f>VLOOKUP(AF45,$A$45:$I$48,2,FALSE)</f>
        <v>9</v>
      </c>
      <c r="AH45" s="99">
        <f>VLOOKUP(AF45,$A$45:$I$48,9,FALSE)</f>
        <v>6</v>
      </c>
      <c r="AI45" s="99">
        <f>VLOOKUP(AF45,$A$45:$I$48,7,FALSE)</f>
        <v>7</v>
      </c>
      <c r="AJ45" s="93" t="str">
        <f>IF(AND((AG45=AG47),(AH45=AH47),(AI47&gt;AI45)),AF47,AF45)</f>
        <v>Borussia Dortmund</v>
      </c>
      <c r="AK45" s="99">
        <f>VLOOKUP(AJ45,$A$45:$I$48,2,FALSE)</f>
        <v>9</v>
      </c>
      <c r="AL45" s="99">
        <f>VLOOKUP(AJ45,$A$45:$I$48,9,FALSE)</f>
        <v>6</v>
      </c>
      <c r="AM45" s="99">
        <f>VLOOKUP(AJ45,$A$45:$I$48,7,FALSE)</f>
        <v>7</v>
      </c>
      <c r="AN45" s="93" t="str">
        <f>IF(AND((AK45=AK48),(AL45=AL48),(AM48&gt;AM45)),AJ48,AJ45)</f>
        <v>Borussia Dortmund</v>
      </c>
      <c r="AO45" s="99">
        <f>VLOOKUP(AN45,$A$45:$I$48,2,FALSE)</f>
        <v>9</v>
      </c>
      <c r="AP45" s="99">
        <f>VLOOKUP(AN45,$A$45:$I$48,9,FALSE)</f>
        <v>6</v>
      </c>
      <c r="AQ45" s="99">
        <f>VLOOKUP(AN45,$A$45:$I$48,7,FALSE)</f>
        <v>7</v>
      </c>
    </row>
    <row r="46" spans="1:43" ht="12" customHeight="1" x14ac:dyDescent="0.25">
      <c r="A46" s="92" t="s">
        <v>50</v>
      </c>
      <c r="B46" s="96">
        <f>SUM((D46*3))+E46</f>
        <v>4</v>
      </c>
      <c r="C46" s="97">
        <f>COUNT('Tabela Jogos'!E44,'Tabela Jogos'!E47,'Tabela Jogos'!G48)</f>
        <v>3</v>
      </c>
      <c r="D46" s="97">
        <f>SUM(IF(('Tabela Jogos'!$E$44&gt;'Tabela Jogos'!$G$44),COUNT('Tabela Jogos'!$E$44)),IF(('Tabela Jogos'!$E$47&gt;'Tabela Jogos'!$G$47),COUNT('Tabela Jogos'!$E$47)),IF(('Tabela Jogos'!$G$48&gt;'Tabela Jogos'!$E$48),COUNT('Tabela Jogos'!$G$48)))</f>
        <v>1</v>
      </c>
      <c r="E46" s="97">
        <f>SUM(IF(('Tabela Jogos'!$E$44='Tabela Jogos'!$G$44),COUNT('Tabela Jogos'!$E$44)),IF(('Tabela Jogos'!$E$47='Tabela Jogos'!$G$47),COUNT('Tabela Jogos'!$E$47)),IF(('Tabela Jogos'!$G$48='Tabela Jogos'!$E$48),COUNT('Tabela Jogos'!$G$48)))</f>
        <v>1</v>
      </c>
      <c r="F46" s="97">
        <f>SUM(IF(('Tabela Jogos'!$E$44&lt;'Tabela Jogos'!$G$44),COUNT('Tabela Jogos'!$E$44)),IF(('Tabela Jogos'!$E$47&lt;'Tabela Jogos'!$G$47),COUNT('Tabela Jogos'!$E$47)),IF(('Tabela Jogos'!$G$48&lt;'Tabela Jogos'!$E$48),COUNT('Tabela Jogos'!$G$48)))</f>
        <v>1</v>
      </c>
      <c r="G46" s="97">
        <f>SUM((('Tabela Jogos'!E44+'Tabela Jogos'!E47)+'Tabela Jogos'!G48))</f>
        <v>4</v>
      </c>
      <c r="H46" s="97">
        <f>SUM((('Tabela Jogos'!G44+'Tabela Jogos'!G47)+'Tabela Jogos'!E48))</f>
        <v>3</v>
      </c>
      <c r="I46" s="97">
        <f>SUM((G46-H46))</f>
        <v>1</v>
      </c>
      <c r="J46" s="96"/>
      <c r="K46" s="93" t="str">
        <f>IF((B46&lt;=B45),A46,A45)</f>
        <v>Fluminense</v>
      </c>
      <c r="L46" s="99">
        <f>VLOOKUP(K46,$A$45:$I$48,2,FALSE)</f>
        <v>4</v>
      </c>
      <c r="M46" s="93"/>
      <c r="N46" s="93" t="str">
        <f>IF((L46&gt;=L48),K46,K48)</f>
        <v>Fluminense</v>
      </c>
      <c r="O46" s="99">
        <f>VLOOKUP(N46,$A$45:$I$48,2,FALSE)</f>
        <v>4</v>
      </c>
      <c r="P46" s="93"/>
      <c r="Q46" s="93" t="str">
        <f>IF((O46&gt;=O47),N46,N47)</f>
        <v>Fluminense</v>
      </c>
      <c r="R46" s="99">
        <f>VLOOKUP(Q46,$A$45:$I$48,2,FALSE)</f>
        <v>4</v>
      </c>
      <c r="S46" s="99">
        <f>VLOOKUP(Q46,$A$45:$I$48,9,FALSE)</f>
        <v>1</v>
      </c>
      <c r="T46" s="93"/>
      <c r="U46" s="93" t="str">
        <f>IF(AND((R45=R46),(S46&gt;S45)),Q45,Q46)</f>
        <v>Fluminense</v>
      </c>
      <c r="V46" s="99">
        <f>VLOOKUP(U46,$A$45:$I$48,2,FALSE)</f>
        <v>4</v>
      </c>
      <c r="W46" s="99">
        <f>VLOOKUP(U46,$A$45:$I$48,9,FALSE)</f>
        <v>1</v>
      </c>
      <c r="X46" s="93" t="str">
        <f>IF(AND((V46=V48),(W48&gt;W46)),U48,U46)</f>
        <v>Fluminense</v>
      </c>
      <c r="Y46" s="99">
        <f>VLOOKUP(X46,$A$45:$I$48,2,FALSE)</f>
        <v>4</v>
      </c>
      <c r="Z46" s="99">
        <f>VLOOKUP(X46,$A$45:$I$48,9,FALSE)</f>
        <v>1</v>
      </c>
      <c r="AA46" s="93"/>
      <c r="AB46" s="93" t="str">
        <f>IF(AND((Y46=Y47),(Z47&gt;Z46)),X47,X46)</f>
        <v>Fluminense</v>
      </c>
      <c r="AC46" s="99">
        <f>VLOOKUP(AB46,$A$45:$I$48,2,FALSE)</f>
        <v>4</v>
      </c>
      <c r="AD46" s="99">
        <f>VLOOKUP(AB46,$A$45:$I$48,9,FALSE)</f>
        <v>1</v>
      </c>
      <c r="AE46" s="99">
        <f>VLOOKUP(AB46,$A$45:$I$48,7,FALSE)</f>
        <v>4</v>
      </c>
      <c r="AF46" s="93" t="str">
        <f>IF(AND((AC46=AC45),(AD46=AD45),(AE46&gt;AE45)),AB45,AB46)</f>
        <v>Fluminense</v>
      </c>
      <c r="AG46" s="99">
        <f>VLOOKUP(AF46,$A$45:$I$48,2,FALSE)</f>
        <v>4</v>
      </c>
      <c r="AH46" s="99">
        <f>VLOOKUP(AF46,$A$45:$I$48,9,FALSE)</f>
        <v>1</v>
      </c>
      <c r="AI46" s="99">
        <f>VLOOKUP(AF46,$A$45:$I$48,7,FALSE)</f>
        <v>4</v>
      </c>
      <c r="AJ46" s="93" t="str">
        <f>IF(AND((AG46=AG48),(AH46=AH48),(AI48&gt;AI46)),AF48,AF46)</f>
        <v>Fluminense</v>
      </c>
      <c r="AK46" s="99">
        <f>VLOOKUP(AJ46,$A$45:$I$48,2,FALSE)</f>
        <v>4</v>
      </c>
      <c r="AL46" s="99">
        <f>VLOOKUP(AJ46,$A$45:$I$48,9,FALSE)</f>
        <v>1</v>
      </c>
      <c r="AM46" s="99">
        <f>VLOOKUP(AJ46,$A$45:$I$48,7,FALSE)</f>
        <v>4</v>
      </c>
      <c r="AN46" s="93" t="str">
        <f>IF(AND((AK46=AK47),(AL46=AL47),(AM47&gt;AM46)),AJ47,AJ46)</f>
        <v>Fluminense</v>
      </c>
      <c r="AO46" s="99">
        <f>VLOOKUP(AN46,$A$45:$I$48,2,FALSE)</f>
        <v>4</v>
      </c>
      <c r="AP46" s="99">
        <f>VLOOKUP(AN46,$A$45:$I$48,9,FALSE)</f>
        <v>1</v>
      </c>
      <c r="AQ46" s="99">
        <f>VLOOKUP(AN46,$A$45:$I$48,7,FALSE)</f>
        <v>4</v>
      </c>
    </row>
    <row r="47" spans="1:43" ht="12" customHeight="1" x14ac:dyDescent="0.25">
      <c r="A47" s="92" t="s">
        <v>54</v>
      </c>
      <c r="B47" s="96">
        <f>SUM((D47*3))+E47</f>
        <v>2</v>
      </c>
      <c r="C47" s="97">
        <f>COUNT('Tabela Jogos'!G45,'Tabela Jogos'!E46,'Tabela Jogos'!E48)</f>
        <v>3</v>
      </c>
      <c r="D47" s="97">
        <f>SUM(IF(('Tabela Jogos'!$G$45&gt;'Tabela Jogos'!$E$45),COUNT('Tabela Jogos'!$G$45)),IF(('Tabela Jogos'!$E$46&gt;'Tabela Jogos'!$G$46),COUNT('Tabela Jogos'!$E$46)),IF(('Tabela Jogos'!$E$48&gt;'Tabela Jogos'!$G$48),COUNT('Tabela Jogos'!$E$48)))</f>
        <v>0</v>
      </c>
      <c r="E47" s="97">
        <f>SUM(IF(('Tabela Jogos'!$G$45='Tabela Jogos'!$E$45),COUNT('Tabela Jogos'!$G$45)),IF(('Tabela Jogos'!$E$46='Tabela Jogos'!$G$46),COUNT('Tabela Jogos'!$E$46)),IF(('Tabela Jogos'!$E$48='Tabela Jogos'!$G$48),COUNT('Tabela Jogos'!$E$48)))</f>
        <v>2</v>
      </c>
      <c r="F47" s="97">
        <f>SUM(IF(('Tabela Jogos'!$G$45&lt;'Tabela Jogos'!$E$45),COUNT('Tabela Jogos'!$G$45)),IF(('Tabela Jogos'!$E$46&lt;'Tabela Jogos'!$G$46),COUNT('Tabela Jogos'!$E$46)),IF(('Tabela Jogos'!$E$48&lt;'Tabela Jogos'!$G$48),COUNT('Tabela Jogos'!$E$48)))</f>
        <v>1</v>
      </c>
      <c r="G47" s="97">
        <f>SUM((('Tabela Jogos'!G45+'Tabela Jogos'!E46)+'Tabela Jogos'!E48))</f>
        <v>2</v>
      </c>
      <c r="H47" s="97">
        <f>SUM((('Tabela Jogos'!E45+'Tabela Jogos'!G46)+'Tabela Jogos'!G48))</f>
        <v>4</v>
      </c>
      <c r="I47" s="97">
        <f>SUM((G47-H47))</f>
        <v>-2</v>
      </c>
      <c r="J47" s="96"/>
      <c r="K47" s="93" t="str">
        <f>IF((B47&gt;=B48),A47,A48)</f>
        <v>Mamelodi Sundowns</v>
      </c>
      <c r="L47" s="99">
        <f>VLOOKUP(K47,$A$45:$I$48,2,FALSE)</f>
        <v>2</v>
      </c>
      <c r="M47" s="93"/>
      <c r="N47" s="93" t="str">
        <f>IF((L47&lt;=L45),K47,K45)</f>
        <v>Mamelodi Sundowns</v>
      </c>
      <c r="O47" s="99">
        <f>VLOOKUP(N47,$A$45:$I$48,2,FALSE)</f>
        <v>2</v>
      </c>
      <c r="P47" s="93"/>
      <c r="Q47" s="93" t="str">
        <f>IF((O47&lt;=O46),N47,N46)</f>
        <v>Mamelodi Sundowns</v>
      </c>
      <c r="R47" s="99">
        <f>VLOOKUP(Q47,$A$45:$I$48,2,FALSE)</f>
        <v>2</v>
      </c>
      <c r="S47" s="99">
        <f>VLOOKUP(Q47,$A$45:$I$48,9,FALSE)</f>
        <v>-2</v>
      </c>
      <c r="T47" s="93"/>
      <c r="U47" s="93" t="str">
        <f>IF(AND((R47=R48),(S48&gt;S47)),Q48,Q47)</f>
        <v>Mamelodi Sundowns</v>
      </c>
      <c r="V47" s="99">
        <f>VLOOKUP(U47,$A$45:$I$48,2,FALSE)</f>
        <v>2</v>
      </c>
      <c r="W47" s="99">
        <f>VLOOKUP(U47,$A$45:$I$48,9,FALSE)</f>
        <v>-2</v>
      </c>
      <c r="X47" s="93" t="str">
        <f>IF(AND((V45=V47),(W47&gt;W45)),U45,U47)</f>
        <v>Mamelodi Sundowns</v>
      </c>
      <c r="Y47" s="99">
        <f>VLOOKUP(X47,$A$45:$I$48,2,FALSE)</f>
        <v>2</v>
      </c>
      <c r="Z47" s="99">
        <f>VLOOKUP(X47,$A$45:$I$48,9,FALSE)</f>
        <v>-2</v>
      </c>
      <c r="AA47" s="93"/>
      <c r="AB47" s="93" t="str">
        <f>IF(AND((Y47=Y46),(Z47&gt;Z46)),X46,X47)</f>
        <v>Mamelodi Sundowns</v>
      </c>
      <c r="AC47" s="99">
        <f>VLOOKUP(AB47,$A$45:$I$48,2,FALSE)</f>
        <v>2</v>
      </c>
      <c r="AD47" s="99">
        <f>VLOOKUP(AB47,$A$45:$I$48,9,FALSE)</f>
        <v>-2</v>
      </c>
      <c r="AE47" s="99">
        <f>VLOOKUP(AB47,$A$45:$I$48,7,FALSE)</f>
        <v>2</v>
      </c>
      <c r="AF47" s="93" t="str">
        <f>IF(AND((AC47=AC48),(AD47=AD48),(AE48&gt;AE47)),AB48,AB47)</f>
        <v>Mamelodi Sundowns</v>
      </c>
      <c r="AG47" s="99">
        <f>VLOOKUP(AF47,$A$45:$I$48,2,FALSE)</f>
        <v>2</v>
      </c>
      <c r="AH47" s="99">
        <f>VLOOKUP(AF47,$A$45:$I$48,9,FALSE)</f>
        <v>-2</v>
      </c>
      <c r="AI47" s="99">
        <f>VLOOKUP(AF47,$A$45:$I$48,7,FALSE)</f>
        <v>2</v>
      </c>
      <c r="AJ47" s="93" t="str">
        <f>IF(AND((AG47=AG45),(AH47=AH45),(AI47&gt;AI45)),AF45,AF47)</f>
        <v>Mamelodi Sundowns</v>
      </c>
      <c r="AK47" s="99">
        <f>VLOOKUP(AJ47,$A$45:$I$48,2,FALSE)</f>
        <v>2</v>
      </c>
      <c r="AL47" s="99">
        <f>VLOOKUP(AJ47,$A$45:$I$48,9,FALSE)</f>
        <v>-2</v>
      </c>
      <c r="AM47" s="99">
        <f>VLOOKUP(AJ47,$A$45:$I$48,7,FALSE)</f>
        <v>2</v>
      </c>
      <c r="AN47" s="93" t="str">
        <f>IF(AND((AK47=AK46),(AL47=AL46),(AM47&gt;AM46)),AJ46,AJ47)</f>
        <v>Mamelodi Sundowns</v>
      </c>
      <c r="AO47" s="99">
        <f>VLOOKUP(AN47,$A$45:$I$48,2,FALSE)</f>
        <v>2</v>
      </c>
      <c r="AP47" s="99">
        <f>VLOOKUP(AN47,$A$45:$I$48,9,FALSE)</f>
        <v>-2</v>
      </c>
      <c r="AQ47" s="99">
        <f>VLOOKUP(AN47,$A$45:$I$48,7,FALSE)</f>
        <v>2</v>
      </c>
    </row>
    <row r="48" spans="1:43" ht="12" customHeight="1" x14ac:dyDescent="0.25">
      <c r="A48" s="92" t="s">
        <v>53</v>
      </c>
      <c r="B48" s="96">
        <f>SUM((D48*3))+E48</f>
        <v>1</v>
      </c>
      <c r="C48" s="97">
        <f>COUNT('Tabela Jogos'!E45,'Tabela Jogos'!G47,'Tabela Jogos'!G49)</f>
        <v>3</v>
      </c>
      <c r="D48" s="97">
        <f>SUM(IF(('Tabela Jogos'!$E$45&gt;'Tabela Jogos'!$G$45),COUNT('Tabela Jogos'!$E$45)),IF(('Tabela Jogos'!$G$47&gt;'Tabela Jogos'!$E$47),COUNT('Tabela Jogos'!$G$47)),IF(('Tabela Jogos'!$G$49&gt;'Tabela Jogos'!$E$49),COUNT('Tabela Jogos'!$G$49)))</f>
        <v>0</v>
      </c>
      <c r="E48" s="97">
        <f>SUM(IF(('Tabela Jogos'!$E$45='Tabela Jogos'!$G$45),COUNT('Tabela Jogos'!$E$45)),IF(('Tabela Jogos'!$G$47='Tabela Jogos'!$E$47),COUNT('Tabela Jogos'!$G$47)),IF(('Tabela Jogos'!$G$49='Tabela Jogos'!$E$49),COUNT('Tabela Jogos'!$G$49)))</f>
        <v>1</v>
      </c>
      <c r="F48" s="97">
        <f>SUM(IF(('Tabela Jogos'!$E$45&lt;'Tabela Jogos'!$G$45),COUNT('Tabela Jogos'!$E$45)),IF(('Tabela Jogos'!$G$47&lt;'Tabela Jogos'!$E$47),COUNT('Tabela Jogos'!$G$47)),IF(('Tabela Jogos'!$G$49&lt;'Tabela Jogos'!$E$49),COUNT('Tabela Jogos'!$G$49)))</f>
        <v>2</v>
      </c>
      <c r="G48" s="97">
        <f>SUM((('Tabela Jogos'!E45+'Tabela Jogos'!G47)+'Tabela Jogos'!G49))</f>
        <v>1</v>
      </c>
      <c r="H48" s="97">
        <f>SUM((('Tabela Jogos'!G45+'Tabela Jogos'!E47)+'Tabela Jogos'!E49))</f>
        <v>6</v>
      </c>
      <c r="I48" s="97">
        <f>SUM((G48-H48))</f>
        <v>-5</v>
      </c>
      <c r="J48" s="96"/>
      <c r="K48" s="93" t="str">
        <f>IF((B48&lt;=B47),A48,A47)</f>
        <v>Ulsan HD</v>
      </c>
      <c r="L48" s="99">
        <f>VLOOKUP(K48,$A$45:$I$48,2,FALSE)</f>
        <v>1</v>
      </c>
      <c r="M48" s="93"/>
      <c r="N48" s="93" t="str">
        <f>IF((L48&lt;=L46),K48,K46)</f>
        <v>Ulsan HD</v>
      </c>
      <c r="O48" s="99">
        <f>VLOOKUP(N48,$A$45:$I$48,2,FALSE)</f>
        <v>1</v>
      </c>
      <c r="P48" s="93"/>
      <c r="Q48" s="93" t="str">
        <f>IF((O48&lt;=O45),N48,N45)</f>
        <v>Ulsan HD</v>
      </c>
      <c r="R48" s="99">
        <f>VLOOKUP(Q48,$A$45:$I$48,2,FALSE)</f>
        <v>1</v>
      </c>
      <c r="S48" s="99">
        <f>VLOOKUP(Q48,$A$45:$I$48,9,FALSE)</f>
        <v>-5</v>
      </c>
      <c r="T48" s="93"/>
      <c r="U48" s="93" t="str">
        <f>IF(AND((R47=R48),(S48&gt;S47)),Q47,Q48)</f>
        <v>Ulsan HD</v>
      </c>
      <c r="V48" s="99">
        <f>VLOOKUP(U48,$A$45:$I$48,2,FALSE)</f>
        <v>1</v>
      </c>
      <c r="W48" s="99">
        <f>VLOOKUP(U48,$A$45:$I$48,9,FALSE)</f>
        <v>-5</v>
      </c>
      <c r="X48" s="93" t="str">
        <f>IF(AND((V46=V48),(W48&gt;W46)),U46,U48)</f>
        <v>Ulsan HD</v>
      </c>
      <c r="Y48" s="99">
        <f>VLOOKUP(X48,$A$45:$I$48,2,FALSE)</f>
        <v>1</v>
      </c>
      <c r="Z48" s="99">
        <f>VLOOKUP(X48,$A$45:$I$48,9,FALSE)</f>
        <v>-5</v>
      </c>
      <c r="AA48" s="93"/>
      <c r="AB48" s="93" t="str">
        <f>IF(AND((Y48=Y45),(Z48&gt;Z45)),X45,X48)</f>
        <v>Ulsan HD</v>
      </c>
      <c r="AC48" s="99">
        <f>VLOOKUP(AB48,$A$45:$I$48,2,FALSE)</f>
        <v>1</v>
      </c>
      <c r="AD48" s="99">
        <f>VLOOKUP(AB48,$A$45:$I$48,9,FALSE)</f>
        <v>-5</v>
      </c>
      <c r="AE48" s="99">
        <f>VLOOKUP(AB48,$A$45:$I$48,7,FALSE)</f>
        <v>1</v>
      </c>
      <c r="AF48" s="93" t="str">
        <f>IF(AND((AC48=AC47),(AD48=AD47),(AE48&gt;AE47)),X47,X48)</f>
        <v>Ulsan HD</v>
      </c>
      <c r="AG48" s="99">
        <f>VLOOKUP(AF48,$A$45:$I$48,2,FALSE)</f>
        <v>1</v>
      </c>
      <c r="AH48" s="99">
        <f>VLOOKUP(AF48,$A$45:$I$48,9,FALSE)</f>
        <v>-5</v>
      </c>
      <c r="AI48" s="99">
        <f>VLOOKUP(AF48,$A$45:$I$48,7,FALSE)</f>
        <v>1</v>
      </c>
      <c r="AJ48" s="93" t="str">
        <f>IF(AND((AG46=AG48),(AH46=AH48),(AI48&gt;AI46)),AF46,AF48)</f>
        <v>Ulsan HD</v>
      </c>
      <c r="AK48" s="99">
        <f>VLOOKUP(AJ48,$A$45:$I$48,2,FALSE)</f>
        <v>1</v>
      </c>
      <c r="AL48" s="99">
        <f>VLOOKUP(AJ48,$A$45:$I$48,9,FALSE)</f>
        <v>-5</v>
      </c>
      <c r="AM48" s="99">
        <f>VLOOKUP(AJ48,$A$45:$I$48,7,FALSE)</f>
        <v>1</v>
      </c>
      <c r="AN48" s="93" t="str">
        <f>IF(AND((AK48=AK45),(AL48=AL45),(AM48&gt;AM45)),AJ45,AJ48)</f>
        <v>Ulsan HD</v>
      </c>
      <c r="AO48" s="99">
        <f>VLOOKUP(AN48,$A$45:$I$48,2,FALSE)</f>
        <v>1</v>
      </c>
      <c r="AP48" s="99">
        <f>VLOOKUP(AN48,$A$45:$I$48,9,FALSE)</f>
        <v>-5</v>
      </c>
      <c r="AQ48" s="99">
        <f>VLOOKUP(AN48,$A$45:$I$48,7,FALSE)</f>
        <v>1</v>
      </c>
    </row>
    <row r="49" spans="1:43" ht="12" customHeight="1" x14ac:dyDescent="0.2">
      <c r="A49" s="92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</row>
    <row r="50" spans="1:43" ht="12" customHeight="1" x14ac:dyDescent="0.2">
      <c r="A50" s="92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</row>
    <row r="51" spans="1:43" ht="12" customHeight="1" x14ac:dyDescent="0.2">
      <c r="A51" s="92"/>
      <c r="B51" s="151" t="s">
        <v>88</v>
      </c>
      <c r="C51" s="151"/>
      <c r="D51" s="151"/>
      <c r="E51" s="151"/>
      <c r="F51" s="151"/>
      <c r="G51" s="151"/>
      <c r="H51" s="151"/>
      <c r="I51" s="151"/>
      <c r="J51" s="93"/>
      <c r="K51" s="93" t="s">
        <v>78</v>
      </c>
      <c r="L51" s="93"/>
      <c r="M51" s="93"/>
      <c r="N51" s="93" t="s">
        <v>79</v>
      </c>
      <c r="O51" s="93"/>
      <c r="P51" s="93"/>
      <c r="Q51" s="93" t="s">
        <v>80</v>
      </c>
      <c r="R51" s="93"/>
      <c r="S51" s="93"/>
      <c r="T51" s="93"/>
      <c r="U51" s="93" t="s">
        <v>80</v>
      </c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</row>
    <row r="52" spans="1:43" ht="12" customHeight="1" x14ac:dyDescent="0.25">
      <c r="A52" s="95" t="s">
        <v>81</v>
      </c>
      <c r="B52" s="96" t="s">
        <v>11</v>
      </c>
      <c r="C52" s="97" t="s">
        <v>12</v>
      </c>
      <c r="D52" s="97" t="s">
        <v>13</v>
      </c>
      <c r="E52" s="97" t="s">
        <v>14</v>
      </c>
      <c r="F52" s="97" t="s">
        <v>15</v>
      </c>
      <c r="G52" s="97" t="s">
        <v>16</v>
      </c>
      <c r="H52" s="97" t="s">
        <v>17</v>
      </c>
      <c r="I52" s="97" t="s">
        <v>18</v>
      </c>
      <c r="J52" s="98"/>
      <c r="K52" s="93"/>
      <c r="L52" s="93" t="s">
        <v>11</v>
      </c>
      <c r="M52" s="93"/>
      <c r="N52" s="93"/>
      <c r="O52" s="93" t="s">
        <v>82</v>
      </c>
      <c r="P52" s="93"/>
      <c r="Q52" s="93"/>
      <c r="R52" s="93" t="s">
        <v>11</v>
      </c>
      <c r="S52" s="93" t="s">
        <v>18</v>
      </c>
      <c r="T52" s="93"/>
      <c r="U52" s="93"/>
      <c r="V52" s="93" t="s">
        <v>11</v>
      </c>
      <c r="W52" s="93" t="s">
        <v>18</v>
      </c>
      <c r="X52" s="93"/>
      <c r="Y52" s="93" t="s">
        <v>11</v>
      </c>
      <c r="Z52" s="93" t="s">
        <v>18</v>
      </c>
      <c r="AA52" s="93"/>
      <c r="AB52" s="93"/>
      <c r="AC52" s="93" t="s">
        <v>11</v>
      </c>
      <c r="AD52" s="93" t="s">
        <v>18</v>
      </c>
      <c r="AE52" s="93" t="s">
        <v>16</v>
      </c>
      <c r="AF52" s="93"/>
      <c r="AG52" s="93" t="s">
        <v>11</v>
      </c>
      <c r="AH52" s="93" t="s">
        <v>18</v>
      </c>
      <c r="AI52" s="93" t="s">
        <v>16</v>
      </c>
      <c r="AJ52" s="93"/>
      <c r="AK52" s="93" t="s">
        <v>11</v>
      </c>
      <c r="AL52" s="93" t="s">
        <v>18</v>
      </c>
      <c r="AM52" s="93" t="s">
        <v>16</v>
      </c>
      <c r="AN52" s="93"/>
      <c r="AO52" s="93" t="s">
        <v>11</v>
      </c>
      <c r="AP52" s="93" t="s">
        <v>18</v>
      </c>
      <c r="AQ52" s="93" t="s">
        <v>16</v>
      </c>
    </row>
    <row r="53" spans="1:43" ht="12" customHeight="1" x14ac:dyDescent="0.25">
      <c r="A53" s="92" t="s">
        <v>59</v>
      </c>
      <c r="B53" s="96">
        <f>SUM((D53*3))+E53</f>
        <v>1</v>
      </c>
      <c r="C53" s="97">
        <f>COUNT('Tabela Jogos'!E53,'Tabela Jogos'!G55,'Tabela Jogos'!G57)</f>
        <v>3</v>
      </c>
      <c r="D53" s="97">
        <f>SUM(IF(('Tabela Jogos'!$E$53&gt;'Tabela Jogos'!$G$53),COUNT('Tabela Jogos'!$E$53)),IF(('Tabela Jogos'!$G$55&gt;'Tabela Jogos'!$E$55),COUNT('Tabela Jogos'!$G$55)),IF(('Tabela Jogos'!$G$57&gt;'Tabela Jogos'!$E$57),COUNT('Tabela Jogos'!$G$57)))</f>
        <v>0</v>
      </c>
      <c r="E53" s="97">
        <f>SUM(IF(('Tabela Jogos'!$E$53='Tabela Jogos'!$G$53),COUNT('Tabela Jogos'!$E$53)),IF(('Tabela Jogos'!$G$55='Tabela Jogos'!$E$55),COUNT('Tabela Jogos'!$G$55)),IF(('Tabela Jogos'!$G$57='Tabela Jogos'!$E$57),COUNT('Tabela Jogos'!$G$57)))</f>
        <v>1</v>
      </c>
      <c r="F53" s="97">
        <f>SUM(IF(('Tabela Jogos'!$E$53&lt;'Tabela Jogos'!$G$53),COUNT('Tabela Jogos'!$E$53)),IF(('Tabela Jogos'!$G$55&lt;'Tabela Jogos'!$E$55),COUNT('Tabela Jogos'!$G$55)),IF(('Tabela Jogos'!$G$57&lt;'Tabela Jogos'!$E$57),COUNT('Tabela Jogos'!$G$57)))</f>
        <v>2</v>
      </c>
      <c r="G53" s="97">
        <f>SUM((('Tabela Jogos'!E53+'Tabela Jogos'!G55)+'Tabela Jogos'!G57))</f>
        <v>1</v>
      </c>
      <c r="H53" s="97">
        <f>SUM((('Tabela Jogos'!G53+'Tabela Jogos'!E55)+'Tabela Jogos'!E57))</f>
        <v>6</v>
      </c>
      <c r="I53" s="97">
        <f>SUM((G53-H53))</f>
        <v>-5</v>
      </c>
      <c r="J53" s="96"/>
      <c r="K53" s="93" t="str">
        <f>IF((B53&gt;=B54),A53,A54)</f>
        <v>Juventus</v>
      </c>
      <c r="L53" s="99">
        <f>VLOOKUP(K53,$A$53:$I$56,2,FALSE)</f>
        <v>6</v>
      </c>
      <c r="M53" s="93"/>
      <c r="N53" s="93" t="str">
        <f>IF((L53&gt;=L55),K53,K55)</f>
        <v>Manchester City</v>
      </c>
      <c r="O53" s="99">
        <f>VLOOKUP(N53,$A$53:$I$56,2,FALSE)</f>
        <v>9</v>
      </c>
      <c r="P53" s="93"/>
      <c r="Q53" s="93" t="str">
        <f>IF((O53&gt;=O56),N53,N56)</f>
        <v>Manchester City</v>
      </c>
      <c r="R53" s="99">
        <f>VLOOKUP(Q53,$A$53:$I$56,2,FALSE)</f>
        <v>9</v>
      </c>
      <c r="S53" s="99">
        <f>VLOOKUP(Q53,$A$53:$I$56,9,FALSE)</f>
        <v>6</v>
      </c>
      <c r="T53" s="93"/>
      <c r="U53" s="93" t="str">
        <f>IF(AND((R53=R54),(S54&gt;S53)),Q54,Q53)</f>
        <v>Manchester City</v>
      </c>
      <c r="V53" s="99">
        <f>VLOOKUP(U53,$A$53:$I$56,2,FALSE)</f>
        <v>9</v>
      </c>
      <c r="W53" s="99">
        <f>VLOOKUP(U53,$A$53:$I$56,9,FALSE)</f>
        <v>6</v>
      </c>
      <c r="X53" s="93" t="str">
        <f>IF(AND((V53=V55),(W55&gt;W53)),U55,U53)</f>
        <v>Manchester City</v>
      </c>
      <c r="Y53" s="99">
        <f>VLOOKUP(X53,$A$53:$I$56,2,FALSE)</f>
        <v>9</v>
      </c>
      <c r="Z53" s="99">
        <f>VLOOKUP(X53,$A$53:$I$56,9,FALSE)</f>
        <v>6</v>
      </c>
      <c r="AA53" s="93"/>
      <c r="AB53" s="93" t="str">
        <f>IF(AND((Y53=Y56),(Z56&gt;Z53)),X56,X53)</f>
        <v>Manchester City</v>
      </c>
      <c r="AC53" s="99">
        <f>VLOOKUP(AB53,$A$53:$I$56,2,FALSE)</f>
        <v>9</v>
      </c>
      <c r="AD53" s="99">
        <f>VLOOKUP(AB53,$A$53:$I$56,9,FALSE)</f>
        <v>6</v>
      </c>
      <c r="AE53" s="99">
        <f>VLOOKUP(AB53,$A$53:$I$56,7,FALSE)</f>
        <v>7</v>
      </c>
      <c r="AF53" s="93" t="str">
        <f>IF(AND((AC53=AC54),(AD53=AD54),(AE54&gt;AE53)),AB54,AB53)</f>
        <v>Manchester City</v>
      </c>
      <c r="AG53" s="99">
        <f>VLOOKUP(AF53,$A$53:$I$56,2,FALSE)</f>
        <v>9</v>
      </c>
      <c r="AH53" s="99">
        <f>VLOOKUP(AF53,$A$53:$I$56,9,FALSE)</f>
        <v>6</v>
      </c>
      <c r="AI53" s="99">
        <f>VLOOKUP(AF53,$A$53:$I$56,7,FALSE)</f>
        <v>7</v>
      </c>
      <c r="AJ53" s="93" t="str">
        <f>IF(AND((AG53=AG55),(AH53=AH55),(AI55&gt;AI53)),AF55,AF53)</f>
        <v>Manchester City</v>
      </c>
      <c r="AK53" s="99">
        <f>VLOOKUP(AJ53,$A$53:$I$56,2,FALSE)</f>
        <v>9</v>
      </c>
      <c r="AL53" s="99">
        <f>VLOOKUP(AJ53,$A$53:$I$56,9,FALSE)</f>
        <v>6</v>
      </c>
      <c r="AM53" s="99">
        <f>VLOOKUP(AJ53,$A$53:$I$56,7,FALSE)</f>
        <v>7</v>
      </c>
      <c r="AN53" s="93" t="str">
        <f>IF(AND((AK53=AK56),(AL53=AL56),(AM56&gt;AM53)),AJ56,AJ53)</f>
        <v>Manchester City</v>
      </c>
      <c r="AO53" s="99">
        <f>VLOOKUP(AN53,$A$53:$I$56,2,FALSE)</f>
        <v>9</v>
      </c>
      <c r="AP53" s="99">
        <f>VLOOKUP(AN53,$A$53:$I$56,9,FALSE)</f>
        <v>6</v>
      </c>
      <c r="AQ53" s="99">
        <f>VLOOKUP(AN53,$A$53:$I$56,7,FALSE)</f>
        <v>7</v>
      </c>
    </row>
    <row r="54" spans="1:43" ht="12" customHeight="1" x14ac:dyDescent="0.25">
      <c r="A54" s="92" t="s">
        <v>60</v>
      </c>
      <c r="B54" s="96">
        <f>SUM((D54*3))+E54</f>
        <v>6</v>
      </c>
      <c r="C54" s="97">
        <f>COUNT('Tabela Jogos'!G53,'Tabela Jogos'!E54,'Tabela Jogos'!E56)</f>
        <v>3</v>
      </c>
      <c r="D54" s="97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97">
        <f>SUM(IF(('Tabela Jogos'!$G$53='Tabela Jogos'!$E$53),COUNT('Tabela Jogos'!$G$53)),IF(('Tabela Jogos'!$E$54='Tabela Jogos'!$G$54),COUNT('Tabela Jogos'!$E$54)),IF(('Tabela Jogos'!$E$56='Tabela Jogos'!$G$56),COUNT('Tabela Jogos'!$E$56)))</f>
        <v>0</v>
      </c>
      <c r="F54" s="97">
        <f>SUM(IF(('Tabela Jogos'!$G$53&lt;'Tabela Jogos'!$E$53),COUNT('Tabela Jogos'!$G$53)),IF(('Tabela Jogos'!$E$54&lt;'Tabela Jogos'!$G$54),COUNT('Tabela Jogos'!$E$54)),IF(('Tabela Jogos'!$E$56&lt;'Tabela Jogos'!$G$56),COUNT('Tabela Jogos'!$E$56)))</f>
        <v>1</v>
      </c>
      <c r="G54" s="97">
        <f>SUM((('Tabela Jogos'!G53+'Tabela Jogos'!E54)+'Tabela Jogos'!E56))</f>
        <v>5</v>
      </c>
      <c r="H54" s="97">
        <f>SUM((('Tabela Jogos'!E53+'Tabela Jogos'!G54)+'Tabela Jogos'!G56))</f>
        <v>2</v>
      </c>
      <c r="I54" s="97">
        <f>SUM((G54-H54))</f>
        <v>3</v>
      </c>
      <c r="J54" s="96"/>
      <c r="K54" s="93" t="str">
        <f>IF((B54&lt;=B53),A54,A53)</f>
        <v>Al-Ain</v>
      </c>
      <c r="L54" s="99">
        <f>VLOOKUP(K54,$A$53:$I$56,2,FALSE)</f>
        <v>1</v>
      </c>
      <c r="M54" s="93"/>
      <c r="N54" s="93" t="str">
        <f>IF((L54&gt;=L56),K54,K56)</f>
        <v>Al-Ain</v>
      </c>
      <c r="O54" s="99">
        <f>VLOOKUP(N54,$A$53:$I$56,2,FALSE)</f>
        <v>1</v>
      </c>
      <c r="P54" s="93"/>
      <c r="Q54" s="93" t="str">
        <f>IF((O54&gt;=O55),N54,N55)</f>
        <v>Juventus</v>
      </c>
      <c r="R54" s="99">
        <f>VLOOKUP(Q54,$A$53:$I$56,2,FALSE)</f>
        <v>6</v>
      </c>
      <c r="S54" s="99">
        <f>VLOOKUP(Q54,$A$53:$I$56,9,FALSE)</f>
        <v>3</v>
      </c>
      <c r="T54" s="93"/>
      <c r="U54" s="93" t="str">
        <f>IF(AND((R53=R54),(S54&gt;S53)),Q53,Q54)</f>
        <v>Juventus</v>
      </c>
      <c r="V54" s="99">
        <f>VLOOKUP(U54,$A$53:$I$56,2,FALSE)</f>
        <v>6</v>
      </c>
      <c r="W54" s="99">
        <f>VLOOKUP(U54,$A$53:$I$56,9,FALSE)</f>
        <v>3</v>
      </c>
      <c r="X54" s="93" t="str">
        <f>IF(AND((V54=V56),(W56&gt;W54)),U56,U54)</f>
        <v>Juventus</v>
      </c>
      <c r="Y54" s="99">
        <f>VLOOKUP(X54,$A$53:$I$56,2,FALSE)</f>
        <v>6</v>
      </c>
      <c r="Z54" s="99">
        <f>VLOOKUP(X54,$A$53:$I$56,9,FALSE)</f>
        <v>3</v>
      </c>
      <c r="AA54" s="93"/>
      <c r="AB54" s="93" t="str">
        <f>IF(AND((Y54=Y55),(Z55&gt;Z54)),X55,X54)</f>
        <v>Juventus</v>
      </c>
      <c r="AC54" s="99">
        <f>VLOOKUP(AB54,$A$53:$I$56,2,FALSE)</f>
        <v>6</v>
      </c>
      <c r="AD54" s="99">
        <f>VLOOKUP(AB54,$A$53:$I$56,9,FALSE)</f>
        <v>3</v>
      </c>
      <c r="AE54" s="99">
        <f>VLOOKUP(AB54,$A$53:$I$56,7,FALSE)</f>
        <v>5</v>
      </c>
      <c r="AF54" s="93" t="str">
        <f>IF(AND((AC54=AC53),(AD54=AD53),(AE54&gt;AE53)),AB53,AB54)</f>
        <v>Juventus</v>
      </c>
      <c r="AG54" s="99">
        <f>VLOOKUP(AF54,$A$53:$I$56,2,FALSE)</f>
        <v>6</v>
      </c>
      <c r="AH54" s="99">
        <f>VLOOKUP(AF54,$A$53:$I$56,9,FALSE)</f>
        <v>3</v>
      </c>
      <c r="AI54" s="99">
        <f>VLOOKUP(AF54,$A$53:$I$56,7,FALSE)</f>
        <v>5</v>
      </c>
      <c r="AJ54" s="93" t="str">
        <f>IF(AND((AG54=AG56),(AH54=AH56),(AI56&gt;AI54)),AF56,AF54)</f>
        <v>Juventus</v>
      </c>
      <c r="AK54" s="99">
        <f>VLOOKUP(AJ54,$A$53:$I$56,2,FALSE)</f>
        <v>6</v>
      </c>
      <c r="AL54" s="99">
        <f>VLOOKUP(AJ54,$A$53:$I$56,9,FALSE)</f>
        <v>3</v>
      </c>
      <c r="AM54" s="99">
        <f>VLOOKUP(AJ54,$A$53:$I$56,7,FALSE)</f>
        <v>5</v>
      </c>
      <c r="AN54" s="93" t="str">
        <f>IF(AND((AK54=AK55),(AL54=AL55),(AM55&gt;AM54)),AJ55,AJ54)</f>
        <v>Juventus</v>
      </c>
      <c r="AO54" s="99">
        <f>VLOOKUP(AN54,$A$53:$I$56,2,FALSE)</f>
        <v>6</v>
      </c>
      <c r="AP54" s="99">
        <f>VLOOKUP(AN54,$A$53:$I$56,9,FALSE)</f>
        <v>3</v>
      </c>
      <c r="AQ54" s="99">
        <f>VLOOKUP(AN54,$A$53:$I$56,7,FALSE)</f>
        <v>5</v>
      </c>
    </row>
    <row r="55" spans="1:43" ht="12" customHeight="1" x14ac:dyDescent="0.25">
      <c r="A55" s="92" t="s">
        <v>56</v>
      </c>
      <c r="B55" s="96">
        <f>SUM((D55*3))+E55</f>
        <v>9</v>
      </c>
      <c r="C55" s="97">
        <f>COUNT('Tabela Jogos'!E52,'Tabela Jogos'!E55,'Tabela Jogos'!G56)</f>
        <v>3</v>
      </c>
      <c r="D55" s="97">
        <f>SUM(IF(('Tabela Jogos'!$E$52&gt;'Tabela Jogos'!$G$52),COUNT('Tabela Jogos'!$E$52)),IF(('Tabela Jogos'!$E$55&gt;'Tabela Jogos'!$G$55),COUNT('Tabela Jogos'!$E$55)),IF(('Tabela Jogos'!$G$56&gt;'Tabela Jogos'!$E$56),COUNT('Tabela Jogos'!$G$56)))</f>
        <v>3</v>
      </c>
      <c r="E55" s="97">
        <f>SUM(IF(('Tabela Jogos'!$E$52='Tabela Jogos'!$G$52),COUNT('Tabela Jogos'!$E$52)),IF(('Tabela Jogos'!$E$55='Tabela Jogos'!$G$55),COUNT('Tabela Jogos'!$E$55)),IF(('Tabela Jogos'!$G$56='Tabela Jogos'!$E$56),COUNT('Tabela Jogos'!$G$56)))</f>
        <v>0</v>
      </c>
      <c r="F55" s="97">
        <f>SUM(IF(('Tabela Jogos'!$E$52&lt;'Tabela Jogos'!$G$52),COUNT('Tabela Jogos'!$E$52)),IF(('Tabela Jogos'!$E$55&lt;'Tabela Jogos'!$G$55),COUNT('Tabela Jogos'!$E$55)),IF(('Tabela Jogos'!$G$56&lt;'Tabela Jogos'!$E$56),COUNT('Tabela Jogos'!$G$56)))</f>
        <v>0</v>
      </c>
      <c r="G55" s="97">
        <f>SUM((('Tabela Jogos'!E52+'Tabela Jogos'!E55)+'Tabela Jogos'!G56))</f>
        <v>7</v>
      </c>
      <c r="H55" s="97">
        <f>SUM((('Tabela Jogos'!G52+'Tabela Jogos'!G55)+'Tabela Jogos'!E56))</f>
        <v>1</v>
      </c>
      <c r="I55" s="97">
        <f>SUM((G55-H55))</f>
        <v>6</v>
      </c>
      <c r="J55" s="96"/>
      <c r="K55" s="93" t="str">
        <f>IF((B55&gt;=B56),A55,A56)</f>
        <v>Manchester City</v>
      </c>
      <c r="L55" s="99">
        <f>VLOOKUP(K55,$A$53:$I$56,2,FALSE)</f>
        <v>9</v>
      </c>
      <c r="M55" s="93"/>
      <c r="N55" s="93" t="str">
        <f>IF((L55&lt;=L53),K55,K53)</f>
        <v>Juventus</v>
      </c>
      <c r="O55" s="99">
        <f>VLOOKUP(N55,$A$53:$I$56,2,FALSE)</f>
        <v>6</v>
      </c>
      <c r="P55" s="93"/>
      <c r="Q55" s="93" t="str">
        <f>IF((O55&lt;=O54),N55,N54)</f>
        <v>Al-Ain</v>
      </c>
      <c r="R55" s="99">
        <f>VLOOKUP(Q55,$A$53:$I$56,2,FALSE)</f>
        <v>1</v>
      </c>
      <c r="S55" s="99">
        <f>VLOOKUP(Q55,$A$53:$I$56,9,FALSE)</f>
        <v>-5</v>
      </c>
      <c r="T55" s="93"/>
      <c r="U55" s="93" t="str">
        <f>IF(AND((R55=R56),(S56&gt;S55)),Q56,Q55)</f>
        <v>Wydad Casablanca</v>
      </c>
      <c r="V55" s="99">
        <f>VLOOKUP(U55,$A$53:$I$56,2,FALSE)</f>
        <v>1</v>
      </c>
      <c r="W55" s="99">
        <f>VLOOKUP(U55,$A$53:$I$56,9,FALSE)</f>
        <v>-4</v>
      </c>
      <c r="X55" s="93" t="str">
        <f>IF(AND((V53=V55),(W55&gt;W53)),U53,U55)</f>
        <v>Wydad Casablanca</v>
      </c>
      <c r="Y55" s="99">
        <f>VLOOKUP(X55,$A$53:$I$56,2,FALSE)</f>
        <v>1</v>
      </c>
      <c r="Z55" s="99">
        <f>VLOOKUP(X55,$A$53:$I$56,9,FALSE)</f>
        <v>-4</v>
      </c>
      <c r="AA55" s="93"/>
      <c r="AB55" s="93" t="str">
        <f>IF(AND((Y55=Y54),(Z55&gt;Z54)),X54,X55)</f>
        <v>Wydad Casablanca</v>
      </c>
      <c r="AC55" s="99">
        <f>VLOOKUP(AB55,$A$53:$I$56,2,FALSE)</f>
        <v>1</v>
      </c>
      <c r="AD55" s="99">
        <f>VLOOKUP(AB55,$A$53:$I$56,9,FALSE)</f>
        <v>-4</v>
      </c>
      <c r="AE55" s="99">
        <f>VLOOKUP(AB55,$A$53:$I$56,7,FALSE)</f>
        <v>1</v>
      </c>
      <c r="AF55" s="93" t="str">
        <f>IF(AND((AC55=AC56),(AD55=AD56),(AE56&gt;AE55)),AB56,AB55)</f>
        <v>Wydad Casablanca</v>
      </c>
      <c r="AG55" s="99">
        <f>VLOOKUP(AF55,$A$53:$I$56,2,FALSE)</f>
        <v>1</v>
      </c>
      <c r="AH55" s="99">
        <f>VLOOKUP(AF55,$A$53:$I$56,9,FALSE)</f>
        <v>-4</v>
      </c>
      <c r="AI55" s="99">
        <f>VLOOKUP(AF55,$A$53:$I$56,7,FALSE)</f>
        <v>1</v>
      </c>
      <c r="AJ55" s="93" t="str">
        <f>IF(AND((AG55=AG53),(AH55=AH53),(AI55&gt;AI53)),AF53,AF55)</f>
        <v>Wydad Casablanca</v>
      </c>
      <c r="AK55" s="99">
        <f>VLOOKUP(AJ55,$A$53:$I$56,2,FALSE)</f>
        <v>1</v>
      </c>
      <c r="AL55" s="99">
        <f>VLOOKUP(AJ55,$A$53:$I$56,9,FALSE)</f>
        <v>-4</v>
      </c>
      <c r="AM55" s="99">
        <f>VLOOKUP(AJ55,$A$53:$I$56,7,FALSE)</f>
        <v>1</v>
      </c>
      <c r="AN55" s="93" t="str">
        <f>IF(AND((AK55=AK54),(AL55=AL54),(AM55&gt;AM54)),AJ54,AJ55)</f>
        <v>Wydad Casablanca</v>
      </c>
      <c r="AO55" s="99">
        <f>VLOOKUP(AN55,$A$53:$I$56,2,FALSE)</f>
        <v>1</v>
      </c>
      <c r="AP55" s="99">
        <f>VLOOKUP(AN55,$A$53:$I$56,9,FALSE)</f>
        <v>-4</v>
      </c>
      <c r="AQ55" s="99">
        <f>VLOOKUP(AN55,$A$53:$I$56,7,FALSE)</f>
        <v>1</v>
      </c>
    </row>
    <row r="56" spans="1:43" ht="12" customHeight="1" x14ac:dyDescent="0.25">
      <c r="A56" s="92" t="s">
        <v>57</v>
      </c>
      <c r="B56" s="96">
        <f>SUM((D56*3))+E56</f>
        <v>1</v>
      </c>
      <c r="C56" s="97">
        <f>COUNT('Tabela Jogos'!G52,'Tabela Jogos'!G54,'Tabela Jogos'!E57)</f>
        <v>3</v>
      </c>
      <c r="D56" s="97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97">
        <f>SUM(IF(('Tabela Jogos'!$G$52='Tabela Jogos'!$E$52),COUNT('Tabela Jogos'!$G$52)),IF(('Tabela Jogos'!$G$54='Tabela Jogos'!$E$54),COUNT('Tabela Jogos'!$G$54)),IF(('Tabela Jogos'!$E$57='Tabela Jogos'!$G$57),COUNT('Tabela Jogos'!$E$57)))</f>
        <v>1</v>
      </c>
      <c r="F56" s="97">
        <f>SUM(IF(('Tabela Jogos'!$G$52&lt;'Tabela Jogos'!$E$52),COUNT('Tabela Jogos'!$G$52)),IF(('Tabela Jogos'!$G$54&lt;'Tabela Jogos'!$E$54),COUNT('Tabela Jogos'!$G$54)),IF(('Tabela Jogos'!$E$57&lt;'Tabela Jogos'!$G$57),COUNT('Tabela Jogos'!$E$57)))</f>
        <v>2</v>
      </c>
      <c r="G56" s="97">
        <f>SUM((('Tabela Jogos'!G52+'Tabela Jogos'!G54)+'Tabela Jogos'!E57))</f>
        <v>1</v>
      </c>
      <c r="H56" s="97">
        <f>SUM((('Tabela Jogos'!E52+'Tabela Jogos'!E54)+'Tabela Jogos'!G57))</f>
        <v>5</v>
      </c>
      <c r="I56" s="97">
        <f>SUM((G56-H56))</f>
        <v>-4</v>
      </c>
      <c r="J56" s="96"/>
      <c r="K56" s="93" t="str">
        <f>IF((B56&lt;=B55),A56,A55)</f>
        <v>Wydad Casablanca</v>
      </c>
      <c r="L56" s="99">
        <f>VLOOKUP(K56,$A$53:$I$56,2,FALSE)</f>
        <v>1</v>
      </c>
      <c r="M56" s="93"/>
      <c r="N56" s="93" t="str">
        <f>IF((L56&lt;=L54),K56,K54)</f>
        <v>Wydad Casablanca</v>
      </c>
      <c r="O56" s="99">
        <f>VLOOKUP(N56,$A$53:$I$56,2,FALSE)</f>
        <v>1</v>
      </c>
      <c r="P56" s="93"/>
      <c r="Q56" s="93" t="str">
        <f>IF((O56&lt;=O53),N56,N53)</f>
        <v>Wydad Casablanca</v>
      </c>
      <c r="R56" s="99">
        <f>VLOOKUP(Q56,$A$53:$I$56,2,FALSE)</f>
        <v>1</v>
      </c>
      <c r="S56" s="99">
        <f>VLOOKUP(Q56,$A$53:$I$56,9,FALSE)</f>
        <v>-4</v>
      </c>
      <c r="T56" s="93"/>
      <c r="U56" s="93" t="str">
        <f>IF(AND((R55=R56),(S56&gt;S55)),Q55,Q56)</f>
        <v>Al-Ain</v>
      </c>
      <c r="V56" s="99">
        <f>VLOOKUP(U56,$A$53:$I$56,2,FALSE)</f>
        <v>1</v>
      </c>
      <c r="W56" s="99">
        <f>VLOOKUP(U56,$A$53:$I$56,9,FALSE)</f>
        <v>-5</v>
      </c>
      <c r="X56" s="93" t="str">
        <f>IF(AND((V54=V56),(W56&gt;W54)),U54,U56)</f>
        <v>Al-Ain</v>
      </c>
      <c r="Y56" s="99">
        <f>VLOOKUP(X56,$A$53:$I$56,2,FALSE)</f>
        <v>1</v>
      </c>
      <c r="Z56" s="99">
        <f>VLOOKUP(X56,$A$53:$I$56,9,FALSE)</f>
        <v>-5</v>
      </c>
      <c r="AA56" s="93"/>
      <c r="AB56" s="93" t="str">
        <f>IF(AND((Y56=Y53),(Z56&gt;Z53)),X53,X56)</f>
        <v>Al-Ain</v>
      </c>
      <c r="AC56" s="99">
        <f>VLOOKUP(AB56,$A$53:$I$56,2,FALSE)</f>
        <v>1</v>
      </c>
      <c r="AD56" s="99">
        <f>VLOOKUP(AB56,$A$53:$I$56,9,FALSE)</f>
        <v>-5</v>
      </c>
      <c r="AE56" s="99">
        <f>VLOOKUP(AB56,$A$53:$I$56,7,FALSE)</f>
        <v>1</v>
      </c>
      <c r="AF56" s="93" t="str">
        <f>IF(AND((AC56=AC55),(AD56=AD55),(AE56&gt;AE55)),X55,X56)</f>
        <v>Al-Ain</v>
      </c>
      <c r="AG56" s="99">
        <f>VLOOKUP(AF56,$A$53:$I$56,2,FALSE)</f>
        <v>1</v>
      </c>
      <c r="AH56" s="99">
        <f>VLOOKUP(AF56,$A$53:$I$56,9,FALSE)</f>
        <v>-5</v>
      </c>
      <c r="AI56" s="99">
        <f>VLOOKUP(AF56,$A$53:$I$56,7,FALSE)</f>
        <v>1</v>
      </c>
      <c r="AJ56" s="93" t="str">
        <f>IF(AND((AG54=AG56),(AH54=AH56),(AI56&gt;AI54)),AF54,AF56)</f>
        <v>Al-Ain</v>
      </c>
      <c r="AK56" s="99">
        <f>VLOOKUP(AJ56,$A$53:$I$56,2,FALSE)</f>
        <v>1</v>
      </c>
      <c r="AL56" s="99">
        <f>VLOOKUP(AJ56,$A$53:$I$56,9,FALSE)</f>
        <v>-5</v>
      </c>
      <c r="AM56" s="99">
        <f>VLOOKUP(AJ56,$A$53:$I$56,7,FALSE)</f>
        <v>1</v>
      </c>
      <c r="AN56" s="93" t="str">
        <f>IF(AND((AK56=AK53),(AL56=AL53),(AM56&gt;AM53)),AJ53,AJ56)</f>
        <v>Al-Ain</v>
      </c>
      <c r="AO56" s="99">
        <f>VLOOKUP(AN56,$A$53:$I$56,2,FALSE)</f>
        <v>1</v>
      </c>
      <c r="AP56" s="99">
        <f>VLOOKUP(AN56,$A$53:$I$56,9,FALSE)</f>
        <v>-5</v>
      </c>
      <c r="AQ56" s="99">
        <f>VLOOKUP(AN56,$A$53:$I$56,7,FALSE)</f>
        <v>1</v>
      </c>
    </row>
    <row r="57" spans="1:43" ht="12" customHeight="1" x14ac:dyDescent="0.2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</row>
    <row r="58" spans="1:43" ht="12" customHeight="1" x14ac:dyDescent="0.2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</row>
    <row r="59" spans="1:43" ht="12" customHeight="1" x14ac:dyDescent="0.2">
      <c r="A59" s="92"/>
      <c r="B59" s="151" t="s">
        <v>89</v>
      </c>
      <c r="C59" s="151"/>
      <c r="D59" s="151"/>
      <c r="E59" s="151"/>
      <c r="F59" s="151"/>
      <c r="G59" s="151"/>
      <c r="H59" s="151"/>
      <c r="I59" s="151"/>
      <c r="J59" s="93"/>
      <c r="K59" s="93" t="s">
        <v>78</v>
      </c>
      <c r="L59" s="93"/>
      <c r="M59" s="93"/>
      <c r="N59" s="93" t="s">
        <v>79</v>
      </c>
      <c r="O59" s="93"/>
      <c r="P59" s="93"/>
      <c r="Q59" s="93" t="s">
        <v>80</v>
      </c>
      <c r="R59" s="93"/>
      <c r="S59" s="93"/>
      <c r="T59" s="93"/>
      <c r="U59" s="93" t="s">
        <v>80</v>
      </c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43" ht="12" customHeight="1" x14ac:dyDescent="0.25">
      <c r="A60" s="95" t="s">
        <v>81</v>
      </c>
      <c r="B60" s="96" t="s">
        <v>11</v>
      </c>
      <c r="C60" s="97" t="s">
        <v>12</v>
      </c>
      <c r="D60" s="97" t="s">
        <v>13</v>
      </c>
      <c r="E60" s="97" t="s">
        <v>14</v>
      </c>
      <c r="F60" s="97" t="s">
        <v>15</v>
      </c>
      <c r="G60" s="97" t="s">
        <v>16</v>
      </c>
      <c r="H60" s="97" t="s">
        <v>17</v>
      </c>
      <c r="I60" s="97" t="s">
        <v>18</v>
      </c>
      <c r="J60" s="98"/>
      <c r="K60" s="93"/>
      <c r="L60" s="93" t="s">
        <v>11</v>
      </c>
      <c r="M60" s="93"/>
      <c r="N60" s="93"/>
      <c r="O60" s="93" t="s">
        <v>82</v>
      </c>
      <c r="P60" s="93"/>
      <c r="Q60" s="93"/>
      <c r="R60" s="93" t="s">
        <v>11</v>
      </c>
      <c r="S60" s="93" t="s">
        <v>18</v>
      </c>
      <c r="T60" s="93"/>
      <c r="U60" s="93"/>
      <c r="V60" s="93" t="s">
        <v>11</v>
      </c>
      <c r="W60" s="93" t="s">
        <v>18</v>
      </c>
      <c r="X60" s="93"/>
      <c r="Y60" s="93" t="s">
        <v>11</v>
      </c>
      <c r="Z60" s="93" t="s">
        <v>18</v>
      </c>
      <c r="AA60" s="93"/>
      <c r="AB60" s="93"/>
      <c r="AC60" s="93" t="s">
        <v>11</v>
      </c>
      <c r="AD60" s="93" t="s">
        <v>18</v>
      </c>
      <c r="AE60" s="93" t="s">
        <v>16</v>
      </c>
      <c r="AF60" s="93"/>
      <c r="AG60" s="93" t="s">
        <v>11</v>
      </c>
      <c r="AH60" s="93" t="s">
        <v>18</v>
      </c>
      <c r="AI60" s="93" t="s">
        <v>16</v>
      </c>
      <c r="AJ60" s="93"/>
      <c r="AK60" s="93" t="s">
        <v>11</v>
      </c>
      <c r="AL60" s="93" t="s">
        <v>18</v>
      </c>
      <c r="AM60" s="93" t="s">
        <v>16</v>
      </c>
      <c r="AN60" s="93"/>
      <c r="AO60" s="93" t="s">
        <v>11</v>
      </c>
      <c r="AP60" s="93" t="s">
        <v>18</v>
      </c>
      <c r="AQ60" s="93" t="s">
        <v>16</v>
      </c>
    </row>
    <row r="61" spans="1:43" ht="12" customHeight="1" x14ac:dyDescent="0.25">
      <c r="A61" s="92" t="s">
        <v>63</v>
      </c>
      <c r="B61" s="96">
        <f>SUM((D61*3))+E61</f>
        <v>6</v>
      </c>
      <c r="C61" s="97">
        <f>COUNT('Tabela Jogos'!G60,'Tabela Jogos'!G63,'Tabela Jogos'!E65)</f>
        <v>3</v>
      </c>
      <c r="D61" s="97">
        <f>SUM(IF(('Tabela Jogos'!$G$60&gt;'Tabela Jogos'!$E$60),COUNT('Tabela Jogos'!$G$60)),IF(('Tabela Jogos'!$G$63&gt;'Tabela Jogos'!$E$63),COUNT('Tabela Jogos'!$G$63)),IF(('Tabela Jogos'!$E$65&gt;'Tabela Jogos'!$G$65),COUNT('Tabela Jogos'!$E$65)))</f>
        <v>2</v>
      </c>
      <c r="E61" s="97">
        <f>SUM(IF(('Tabela Jogos'!$G$60='Tabela Jogos'!$E$60),COUNT('Tabela Jogos'!$G$60)),IF(('Tabela Jogos'!$G$63='Tabela Jogos'!$E$63),COUNT('Tabela Jogos'!$G$63)),IF(('Tabela Jogos'!$E$65='Tabela Jogos'!$G$65),COUNT('Tabela Jogos'!$E$65)))</f>
        <v>0</v>
      </c>
      <c r="F61" s="97">
        <f>SUM(IF(('Tabela Jogos'!$G$60&lt;'Tabela Jogos'!$E$60),COUNT('Tabela Jogos'!$G$60)),IF(('Tabela Jogos'!$G$63&lt;'Tabela Jogos'!$E$63),COUNT('Tabela Jogos'!$G$63)),IF(('Tabela Jogos'!$E$65&lt;'Tabela Jogos'!$G$65),COUNT('Tabela Jogos'!$E$65)))</f>
        <v>1</v>
      </c>
      <c r="G61" s="97">
        <f>SUM((('Tabela Jogos'!G60+'Tabela Jogos'!G63)+'Tabela Jogos'!E65))</f>
        <v>3</v>
      </c>
      <c r="H61" s="97">
        <f>SUM((('Tabela Jogos'!E60+'Tabela Jogos'!E63)+'Tabela Jogos'!G65))</f>
        <v>3</v>
      </c>
      <c r="I61" s="97">
        <f>SUM((G61-H61))</f>
        <v>0</v>
      </c>
      <c r="J61" s="96"/>
      <c r="K61" s="93" t="str">
        <f>IF((B61&gt;=B62),A61,A62)</f>
        <v>Al-Hilal</v>
      </c>
      <c r="L61" s="99">
        <f>VLOOKUP(K61,$A$61:$I$64,2,FALSE)</f>
        <v>6</v>
      </c>
      <c r="M61" s="93"/>
      <c r="N61" s="93" t="str">
        <f>IF((L61&gt;=L63),K61,K63)</f>
        <v>Real Madrid</v>
      </c>
      <c r="O61" s="99">
        <f>VLOOKUP(N61,$A$61:$I$64,2,FALSE)</f>
        <v>9</v>
      </c>
      <c r="P61" s="93"/>
      <c r="Q61" s="93" t="str">
        <f>IF((O61&gt;=O64),N61,N64)</f>
        <v>Real Madrid</v>
      </c>
      <c r="R61" s="99">
        <f>VLOOKUP(Q61,$A$61:$I$64,2,FALSE)</f>
        <v>9</v>
      </c>
      <c r="S61" s="99">
        <f>VLOOKUP(Q61,$A$61:$I$64,9,FALSE)</f>
        <v>8</v>
      </c>
      <c r="T61" s="93"/>
      <c r="U61" s="93" t="str">
        <f>IF(AND((R61=R62),(S62&gt;S61)),Q62,Q61)</f>
        <v>Real Madrid</v>
      </c>
      <c r="V61" s="99">
        <f>VLOOKUP(U61,$A$61:$I$64,2,FALSE)</f>
        <v>9</v>
      </c>
      <c r="W61" s="99">
        <f>VLOOKUP(U61,$A$61:$I$64,9,FALSE)</f>
        <v>8</v>
      </c>
      <c r="X61" s="93" t="str">
        <f>IF(AND((V61=V63),(W63&gt;W61)),U63,U61)</f>
        <v>Real Madrid</v>
      </c>
      <c r="Y61" s="99">
        <f>VLOOKUP(X61,$A$61:$I$64,2,FALSE)</f>
        <v>9</v>
      </c>
      <c r="Z61" s="99">
        <f>VLOOKUP(X61,$A$61:$I$64,9,FALSE)</f>
        <v>8</v>
      </c>
      <c r="AA61" s="93"/>
      <c r="AB61" s="93" t="str">
        <f>IF(AND((Y61=Y64),(Z64&gt;Z61)),X64,X61)</f>
        <v>Real Madrid</v>
      </c>
      <c r="AC61" s="99">
        <f>VLOOKUP(AB61,$A$61:$I$64,2,FALSE)</f>
        <v>9</v>
      </c>
      <c r="AD61" s="99">
        <f>VLOOKUP(AB61,$A$61:$I$64,9,FALSE)</f>
        <v>8</v>
      </c>
      <c r="AE61" s="99">
        <f>VLOOKUP(AB61,$A$61:$I$64,7,FALSE)</f>
        <v>8</v>
      </c>
      <c r="AF61" s="93" t="str">
        <f>IF(AND((AC61=AC62),(AD61=AD62),(AE62&gt;AE61)),AB62,AB61)</f>
        <v>Real Madrid</v>
      </c>
      <c r="AG61" s="99">
        <f>VLOOKUP(AF61,$A$61:$I$64,2,FALSE)</f>
        <v>9</v>
      </c>
      <c r="AH61" s="99">
        <f>VLOOKUP(AF61,$A$61:$I$64,9,FALSE)</f>
        <v>8</v>
      </c>
      <c r="AI61" s="99">
        <f>VLOOKUP(AF61,$A$61:$I$64,7,FALSE)</f>
        <v>8</v>
      </c>
      <c r="AJ61" s="93" t="str">
        <f>IF(AND((AG61=AG63),(AH61=AH63),(AI63&gt;AI61)),AF63,AF61)</f>
        <v>Real Madrid</v>
      </c>
      <c r="AK61" s="99">
        <f>VLOOKUP(AJ61,$A$61:$I$64,2,FALSE)</f>
        <v>9</v>
      </c>
      <c r="AL61" s="99">
        <f>VLOOKUP(AJ61,$A$61:$I$64,9,FALSE)</f>
        <v>8</v>
      </c>
      <c r="AM61" s="99">
        <f>VLOOKUP(AJ61,$A$61:$I$64,7,FALSE)</f>
        <v>8</v>
      </c>
      <c r="AN61" s="93" t="str">
        <f>IF(AND((AK61=AK64),(AL61=AL64),(AM64&gt;AM61)),AJ64,AJ61)</f>
        <v>Real Madrid</v>
      </c>
      <c r="AO61" s="99">
        <f>VLOOKUP(AN61,$A$61:$I$64,2,FALSE)</f>
        <v>9</v>
      </c>
      <c r="AP61" s="99">
        <f>VLOOKUP(AN61,$A$61:$I$64,9,FALSE)</f>
        <v>8</v>
      </c>
      <c r="AQ61" s="99">
        <f>VLOOKUP(AN61,$A$61:$I$64,7,FALSE)</f>
        <v>8</v>
      </c>
    </row>
    <row r="62" spans="1:43" ht="12" customHeight="1" x14ac:dyDescent="0.25">
      <c r="A62" s="92" t="s">
        <v>65</v>
      </c>
      <c r="B62" s="96">
        <f>SUM((D62*3))+E62</f>
        <v>1</v>
      </c>
      <c r="C62" s="97">
        <f>COUNT('Tabela Jogos'!E61,'Tabela Jogos'!G62,'Tabela Jogos'!G65)</f>
        <v>3</v>
      </c>
      <c r="D62" s="97">
        <f>SUM(IF(('Tabela Jogos'!$E$61&gt;'Tabela Jogos'!$G$61),COUNT('Tabela Jogos'!$E$61)),IF(('Tabela Jogos'!$G$62&gt;'Tabela Jogos'!$E$62),COUNT('Tabela Jogos'!$G$62)),IF(('Tabela Jogos'!$G$65&gt;'Tabela Jogos'!$E$65),COUNT('Tabela Jogos'!$G$65)))</f>
        <v>0</v>
      </c>
      <c r="E62" s="97">
        <f>SUM(IF(('Tabela Jogos'!$E$61='Tabela Jogos'!$G$61),COUNT('Tabela Jogos'!$E$61)),IF(('Tabela Jogos'!$G$62='Tabela Jogos'!$E$62),COUNT('Tabela Jogos'!$G$62)),IF(('Tabela Jogos'!$G$65='Tabela Jogos'!$E$65),COUNT('Tabela Jogos'!$G$65)))</f>
        <v>1</v>
      </c>
      <c r="F62" s="97">
        <f>SUM(IF(('Tabela Jogos'!$E$61&lt;'Tabela Jogos'!$G$61),COUNT('Tabela Jogos'!$E$61)),IF(('Tabela Jogos'!$G$62&lt;'Tabela Jogos'!$E$62),COUNT('Tabela Jogos'!$G$62)),IF(('Tabela Jogos'!$G$65&lt;'Tabela Jogos'!$E$65),COUNT('Tabela Jogos'!$G$65)))</f>
        <v>2</v>
      </c>
      <c r="G62" s="97">
        <f>SUM((('Tabela Jogos'!E61+'Tabela Jogos'!G62)+'Tabela Jogos'!G65))</f>
        <v>2</v>
      </c>
      <c r="H62" s="97">
        <f>SUM((('Tabela Jogos'!G61+'Tabela Jogos'!E62)+'Tabela Jogos'!E65))</f>
        <v>6</v>
      </c>
      <c r="I62" s="97">
        <f>SUM((G62-H62))</f>
        <v>-4</v>
      </c>
      <c r="J62" s="96"/>
      <c r="K62" s="93" t="str">
        <f>IF((B62&lt;=B61),A62,A61)</f>
        <v>Pachuca</v>
      </c>
      <c r="L62" s="99">
        <f>VLOOKUP(K62,$A$61:$I$64,2,FALSE)</f>
        <v>1</v>
      </c>
      <c r="M62" s="93"/>
      <c r="N62" s="93" t="str">
        <f>IF((L62&gt;=L64),K62,K64)</f>
        <v>Pachuca</v>
      </c>
      <c r="O62" s="99">
        <f>VLOOKUP(N62,$A$61:$I$64,2,FALSE)</f>
        <v>1</v>
      </c>
      <c r="P62" s="93"/>
      <c r="Q62" s="93" t="str">
        <f>IF((O62&gt;=O63),N62,N63)</f>
        <v>Al-Hilal</v>
      </c>
      <c r="R62" s="99">
        <f>VLOOKUP(Q62,$A$61:$I$64,2,FALSE)</f>
        <v>6</v>
      </c>
      <c r="S62" s="99">
        <f>VLOOKUP(Q62,$A$61:$I$64,9,FALSE)</f>
        <v>0</v>
      </c>
      <c r="T62" s="93"/>
      <c r="U62" s="93" t="str">
        <f>IF(AND((R61=R62),(S62&gt;S61)),Q61,Q62)</f>
        <v>Al-Hilal</v>
      </c>
      <c r="V62" s="99">
        <f>VLOOKUP(U62,$A$61:$I$64,2,FALSE)</f>
        <v>6</v>
      </c>
      <c r="W62" s="99">
        <f>VLOOKUP(U62,$A$61:$I$64,9,FALSE)</f>
        <v>0</v>
      </c>
      <c r="X62" s="93" t="str">
        <f>IF(AND((V62=V64),(W64&gt;W62)),U64,U62)</f>
        <v>Al-Hilal</v>
      </c>
      <c r="Y62" s="99">
        <f>VLOOKUP(X62,$A$61:$I$64,2,FALSE)</f>
        <v>6</v>
      </c>
      <c r="Z62" s="99">
        <f>VLOOKUP(X62,$A$61:$I$64,9,FALSE)</f>
        <v>0</v>
      </c>
      <c r="AA62" s="93"/>
      <c r="AB62" s="93" t="str">
        <f>IF(AND((Y62=Y63),(Z63&gt;Z62)),X63,X62)</f>
        <v>Al-Hilal</v>
      </c>
      <c r="AC62" s="99">
        <f>VLOOKUP(AB62,$A$61:$I$64,2,FALSE)</f>
        <v>6</v>
      </c>
      <c r="AD62" s="99">
        <f>VLOOKUP(AB62,$A$61:$I$64,9,FALSE)</f>
        <v>0</v>
      </c>
      <c r="AE62" s="99">
        <f>VLOOKUP(AB62,$A$61:$I$64,7,FALSE)</f>
        <v>3</v>
      </c>
      <c r="AF62" s="93" t="str">
        <f>IF(AND((AC62=AC61),(AD62=AD61),(AE62&gt;AE61)),AB61,AB62)</f>
        <v>Al-Hilal</v>
      </c>
      <c r="AG62" s="99">
        <f>VLOOKUP(AF62,$A$61:$I$64,2,FALSE)</f>
        <v>6</v>
      </c>
      <c r="AH62" s="99">
        <f>VLOOKUP(AF62,$A$61:$I$64,9,FALSE)</f>
        <v>0</v>
      </c>
      <c r="AI62" s="99">
        <f>VLOOKUP(AF62,$A$61:$I$64,7,FALSE)</f>
        <v>3</v>
      </c>
      <c r="AJ62" s="93" t="str">
        <f>IF(AND((AG62=AG64),(AH62=AH64),(AI64&gt;AI62)),AF64,AF62)</f>
        <v>Al-Hilal</v>
      </c>
      <c r="AK62" s="99">
        <f>VLOOKUP(AJ62,$A$61:$I$64,2,FALSE)</f>
        <v>6</v>
      </c>
      <c r="AL62" s="99">
        <f>VLOOKUP(AJ62,$A$61:$I$64,9,FALSE)</f>
        <v>0</v>
      </c>
      <c r="AM62" s="99">
        <f>VLOOKUP(AJ62,$A$61:$I$64,7,FALSE)</f>
        <v>3</v>
      </c>
      <c r="AN62" s="93" t="str">
        <f>IF(AND((AK62=AK63),(AL62=AL63),(AM63&gt;AM62)),AJ63,AJ62)</f>
        <v>Al-Hilal</v>
      </c>
      <c r="AO62" s="99">
        <f>VLOOKUP(AN62,$A$61:$I$64,2,FALSE)</f>
        <v>6</v>
      </c>
      <c r="AP62" s="99">
        <f>VLOOKUP(AN62,$A$61:$I$64,9,FALSE)</f>
        <v>0</v>
      </c>
      <c r="AQ62" s="99">
        <f>VLOOKUP(AN62,$A$61:$I$64,7,FALSE)</f>
        <v>3</v>
      </c>
    </row>
    <row r="63" spans="1:43" ht="12" customHeight="1" x14ac:dyDescent="0.25">
      <c r="A63" s="92" t="s">
        <v>66</v>
      </c>
      <c r="B63" s="96">
        <f>SUM((D63*3))+E63</f>
        <v>1</v>
      </c>
      <c r="C63" s="97">
        <f>COUNT('Tabela Jogos'!G61,'Tabela Jogos'!E63,'Tabela Jogos'!E64)</f>
        <v>3</v>
      </c>
      <c r="D63" s="97">
        <f>SUM(IF(('Tabela Jogos'!$G$61&gt;'Tabela Jogos'!$E$61),COUNT('Tabela Jogos'!$G$61)),IF(('Tabela Jogos'!$E$63&gt;'Tabela Jogos'!$G$63),COUNT('Tabela Jogos'!$E$63)),IF(('Tabela Jogos'!$E$64&gt;'Tabela Jogos'!$G$64),COUNT('Tabela Jogos'!$E$64)))</f>
        <v>0</v>
      </c>
      <c r="E63" s="97">
        <f>SUM(IF(('Tabela Jogos'!$G$61='Tabela Jogos'!$E$61),COUNT('Tabela Jogos'!$G$61)),IF(('Tabela Jogos'!$E$63='Tabela Jogos'!$G$63),COUNT('Tabela Jogos'!$E$63)),IF(('Tabela Jogos'!$E$64='Tabela Jogos'!$G$64),COUNT('Tabela Jogos'!$E$64)))</f>
        <v>1</v>
      </c>
      <c r="F63" s="97">
        <f>SUM(IF(('Tabela Jogos'!$G$61&lt;'Tabela Jogos'!$E$61),COUNT('Tabela Jogos'!$G$61)),IF(('Tabela Jogos'!$E$63&lt;'Tabela Jogos'!$G$63),COUNT('Tabela Jogos'!$E$63)),IF(('Tabela Jogos'!$E$64&lt;'Tabela Jogos'!$G$64),COUNT('Tabela Jogos'!$E$64)))</f>
        <v>2</v>
      </c>
      <c r="G63" s="97">
        <f>SUM((('Tabela Jogos'!G61+'Tabela Jogos'!E63)+'Tabela Jogos'!E64))</f>
        <v>1</v>
      </c>
      <c r="H63" s="97">
        <f>SUM((('Tabela Jogos'!E61+'Tabela Jogos'!G63)+'Tabela Jogos'!G64))</f>
        <v>5</v>
      </c>
      <c r="I63" s="97">
        <f>SUM((G63-H63))</f>
        <v>-4</v>
      </c>
      <c r="J63" s="96"/>
      <c r="K63" s="93" t="str">
        <f>IF((B63&gt;=B64),A63,A64)</f>
        <v>Real Madrid</v>
      </c>
      <c r="L63" s="99">
        <f>VLOOKUP(K63,$A$61:$I$64,2,FALSE)</f>
        <v>9</v>
      </c>
      <c r="M63" s="93"/>
      <c r="N63" s="93" t="str">
        <f>IF((L63&lt;=L61),K63,K61)</f>
        <v>Al-Hilal</v>
      </c>
      <c r="O63" s="99">
        <f>VLOOKUP(N63,$A$61:$I$64,2,FALSE)</f>
        <v>6</v>
      </c>
      <c r="P63" s="93"/>
      <c r="Q63" s="93" t="str">
        <f>IF((O63&lt;=O62),N63,N62)</f>
        <v>Pachuca</v>
      </c>
      <c r="R63" s="99">
        <f>VLOOKUP(Q63,$A$61:$I$64,2,FALSE)</f>
        <v>1</v>
      </c>
      <c r="S63" s="99">
        <f>VLOOKUP(Q63,$A$61:$I$64,9,FALSE)</f>
        <v>-4</v>
      </c>
      <c r="T63" s="93"/>
      <c r="U63" s="93" t="str">
        <f>IF(AND((R63=R64),(S64&gt;S63)),Q64,Q63)</f>
        <v>Pachuca</v>
      </c>
      <c r="V63" s="99">
        <f>VLOOKUP(U63,$A$61:$I$64,2,FALSE)</f>
        <v>1</v>
      </c>
      <c r="W63" s="99">
        <f>VLOOKUP(U63,$A$61:$I$64,9,FALSE)</f>
        <v>-4</v>
      </c>
      <c r="X63" s="93" t="str">
        <f>IF(AND((V61=V63),(W63&gt;W61)),U61,U63)</f>
        <v>Pachuca</v>
      </c>
      <c r="Y63" s="99">
        <f>VLOOKUP(X63,$A$61:$I$64,2,FALSE)</f>
        <v>1</v>
      </c>
      <c r="Z63" s="99">
        <f>VLOOKUP(X63,$A$61:$I$64,9,FALSE)</f>
        <v>-4</v>
      </c>
      <c r="AA63" s="93"/>
      <c r="AB63" s="93" t="str">
        <f>IF(AND((Y63=Y62),(Z63&gt;Z62)),X62,X63)</f>
        <v>Pachuca</v>
      </c>
      <c r="AC63" s="99">
        <f>VLOOKUP(AB63,$A$61:$I$64,2,FALSE)</f>
        <v>1</v>
      </c>
      <c r="AD63" s="99">
        <f>VLOOKUP(AB63,$A$61:$I$64,9,FALSE)</f>
        <v>-4</v>
      </c>
      <c r="AE63" s="99">
        <f>VLOOKUP(AB63,$A$61:$I$64,7,FALSE)</f>
        <v>2</v>
      </c>
      <c r="AF63" s="93" t="str">
        <f>IF(AND((AC63=AC64),(AD63=AD64),(AE64&gt;AE63)),AB64,AB63)</f>
        <v>Pachuca</v>
      </c>
      <c r="AG63" s="99">
        <f>VLOOKUP(AF63,$A$61:$I$64,2,FALSE)</f>
        <v>1</v>
      </c>
      <c r="AH63" s="99">
        <f>VLOOKUP(AF63,$A$61:$I$64,9,FALSE)</f>
        <v>-4</v>
      </c>
      <c r="AI63" s="99">
        <f>VLOOKUP(AF63,$A$61:$I$64,7,FALSE)</f>
        <v>2</v>
      </c>
      <c r="AJ63" s="93" t="str">
        <f>IF(AND((AG63=AG61),(AH63=AH61),(AI63&gt;AI61)),AF61,AF63)</f>
        <v>Pachuca</v>
      </c>
      <c r="AK63" s="99">
        <f>VLOOKUP(AJ63,$A$61:$I$64,2,FALSE)</f>
        <v>1</v>
      </c>
      <c r="AL63" s="99">
        <f>VLOOKUP(AJ63,$A$61:$I$64,9,FALSE)</f>
        <v>-4</v>
      </c>
      <c r="AM63" s="99">
        <f>VLOOKUP(AJ63,$A$61:$I$64,7,FALSE)</f>
        <v>2</v>
      </c>
      <c r="AN63" s="93" t="str">
        <f>IF(AND((AK63=AK62),(AL63=AL62),(AM63&gt;AM62)),AJ62,AJ63)</f>
        <v>Pachuca</v>
      </c>
      <c r="AO63" s="99">
        <f>VLOOKUP(AN63,$A$61:$I$64,2,FALSE)</f>
        <v>1</v>
      </c>
      <c r="AP63" s="99">
        <f>VLOOKUP(AN63,$A$61:$I$64,9,FALSE)</f>
        <v>-4</v>
      </c>
      <c r="AQ63" s="99">
        <f>VLOOKUP(AN63,$A$61:$I$64,7,FALSE)</f>
        <v>2</v>
      </c>
    </row>
    <row r="64" spans="1:43" ht="12" customHeight="1" x14ac:dyDescent="0.25">
      <c r="A64" s="92" t="s">
        <v>62</v>
      </c>
      <c r="B64" s="96">
        <f>SUM((D64*3))+E64</f>
        <v>9</v>
      </c>
      <c r="C64" s="97">
        <f>COUNT('Tabela Jogos'!E60,'Tabela Jogos'!E62,'Tabela Jogos'!G64)</f>
        <v>3</v>
      </c>
      <c r="D64" s="97">
        <f>SUM(IF(('Tabela Jogos'!$E$60&gt;'Tabela Jogos'!$G$60),COUNT('Tabela Jogos'!$E$60)),IF(('Tabela Jogos'!$E$62&gt;'Tabela Jogos'!$G$62),COUNT('Tabela Jogos'!$E$62)),IF(('Tabela Jogos'!$G$64&gt;'Tabela Jogos'!$E$64),COUNT('Tabela Jogos'!$G$64)))</f>
        <v>3</v>
      </c>
      <c r="E64" s="97">
        <f>SUM(IF(('Tabela Jogos'!$E$60='Tabela Jogos'!$G$60),COUNT('Tabela Jogos'!$E$60)),IF(('Tabela Jogos'!$E$62='Tabela Jogos'!$G$62),COUNT('Tabela Jogos'!$E$62)),IF(('Tabela Jogos'!$G$64='Tabela Jogos'!$E$64),COUNT('Tabela Jogos'!$G$64)))</f>
        <v>0</v>
      </c>
      <c r="F64" s="97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97">
        <f>SUM((('Tabela Jogos'!E60+'Tabela Jogos'!E62)+'Tabela Jogos'!G64))</f>
        <v>8</v>
      </c>
      <c r="H64" s="97">
        <f>SUM((('Tabela Jogos'!G60+'Tabela Jogos'!G62)+'Tabela Jogos'!E64))</f>
        <v>0</v>
      </c>
      <c r="I64" s="97">
        <f>SUM((G64-H64))</f>
        <v>8</v>
      </c>
      <c r="J64" s="96"/>
      <c r="K64" s="93" t="str">
        <f>IF((B64&lt;=B63),A64,A63)</f>
        <v>RB Salzburg</v>
      </c>
      <c r="L64" s="99">
        <f>VLOOKUP(K64,$A$61:$I$64,2,FALSE)</f>
        <v>1</v>
      </c>
      <c r="M64" s="93"/>
      <c r="N64" s="93" t="str">
        <f>IF((L64&lt;=L62),K64,K62)</f>
        <v>RB Salzburg</v>
      </c>
      <c r="O64" s="99">
        <f>VLOOKUP(N64,$A$61:$I$64,2,FALSE)</f>
        <v>1</v>
      </c>
      <c r="P64" s="93"/>
      <c r="Q64" s="93" t="str">
        <f>IF((O64&lt;=O61),N64,N61)</f>
        <v>RB Salzburg</v>
      </c>
      <c r="R64" s="99">
        <f>VLOOKUP(Q64,$A$61:$I$64,2,FALSE)</f>
        <v>1</v>
      </c>
      <c r="S64" s="99">
        <f>VLOOKUP(Q64,$A$61:$I$64,9,FALSE)</f>
        <v>-4</v>
      </c>
      <c r="T64" s="93"/>
      <c r="U64" s="93" t="str">
        <f>IF(AND((R63=R64),(S64&gt;S63)),Q63,Q64)</f>
        <v>RB Salzburg</v>
      </c>
      <c r="V64" s="99">
        <f>VLOOKUP(U64,$A$61:$I$64,2,FALSE)</f>
        <v>1</v>
      </c>
      <c r="W64" s="99">
        <f>VLOOKUP(U64,$A$61:$I$64,9,FALSE)</f>
        <v>-4</v>
      </c>
      <c r="X64" s="93" t="str">
        <f>IF(AND((V62=V64),(W64&gt;W62)),U62,U64)</f>
        <v>RB Salzburg</v>
      </c>
      <c r="Y64" s="99">
        <f>VLOOKUP(X64,$A$61:$I$64,2,FALSE)</f>
        <v>1</v>
      </c>
      <c r="Z64" s="99">
        <f>VLOOKUP(X64,$A$61:$I$64,9,FALSE)</f>
        <v>-4</v>
      </c>
      <c r="AA64" s="93"/>
      <c r="AB64" s="93" t="str">
        <f>IF(AND((Y64=Y61),(Z64&gt;Z61)),X61,X64)</f>
        <v>RB Salzburg</v>
      </c>
      <c r="AC64" s="99">
        <f>VLOOKUP(AB64,$A$61:$I$64,2,FALSE)</f>
        <v>1</v>
      </c>
      <c r="AD64" s="99">
        <f>VLOOKUP(AB64,$A$61:$I$64,9,FALSE)</f>
        <v>-4</v>
      </c>
      <c r="AE64" s="99">
        <f>VLOOKUP(AB64,$A$61:$I$64,7,FALSE)</f>
        <v>1</v>
      </c>
      <c r="AF64" s="93" t="str">
        <f>IF(AND((AC64=AC63),(AD64=AD63),(AE64&gt;AE63)),X63,X64)</f>
        <v>RB Salzburg</v>
      </c>
      <c r="AG64" s="99">
        <f>VLOOKUP(AF64,$A$61:$I$64,2,FALSE)</f>
        <v>1</v>
      </c>
      <c r="AH64" s="99">
        <f>VLOOKUP(AF64,$A$61:$I$64,9,FALSE)</f>
        <v>-4</v>
      </c>
      <c r="AI64" s="99">
        <f>VLOOKUP(AF64,$A$61:$I$64,7,FALSE)</f>
        <v>1</v>
      </c>
      <c r="AJ64" s="93" t="str">
        <f>IF(AND((AG62=AG64),(AH62=AH64),(AI64&gt;AI62)),AF62,AF64)</f>
        <v>RB Salzburg</v>
      </c>
      <c r="AK64" s="99">
        <f>VLOOKUP(AJ64,$A$61:$I$64,2,FALSE)</f>
        <v>1</v>
      </c>
      <c r="AL64" s="99">
        <f>VLOOKUP(AJ64,$A$61:$I$64,9,FALSE)</f>
        <v>-4</v>
      </c>
      <c r="AM64" s="99">
        <f>VLOOKUP(AJ64,$A$61:$I$64,7,FALSE)</f>
        <v>1</v>
      </c>
      <c r="AN64" s="93" t="str">
        <f>IF(AND((AK64=AK61),(AL64=AL61),(AM64&gt;AM61)),AJ61,AJ64)</f>
        <v>RB Salzburg</v>
      </c>
      <c r="AO64" s="99">
        <f>VLOOKUP(AN64,$A$61:$I$64,2,FALSE)</f>
        <v>1</v>
      </c>
      <c r="AP64" s="99">
        <f>VLOOKUP(AN64,$A$61:$I$64,9,FALSE)</f>
        <v>-4</v>
      </c>
      <c r="AQ64" s="99">
        <f>VLOOKUP(AN64,$A$61:$I$64,7,FALSE)</f>
        <v>1</v>
      </c>
    </row>
    <row r="65" spans="1:43" ht="12" customHeight="1" x14ac:dyDescent="0.2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</row>
    <row r="66" spans="1:43" ht="12.75" customHeight="1" x14ac:dyDescent="0.2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</row>
    <row r="67" spans="1:43" ht="12.75" customHeight="1" x14ac:dyDescent="0.2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</row>
    <row r="68" spans="1:43" ht="12.75" customHeight="1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</row>
    <row r="69" spans="1:43" ht="12.75" customHeight="1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</row>
    <row r="70" spans="1:43" ht="12.75" customHeight="1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</row>
    <row r="71" spans="1:43" ht="12.75" customHeight="1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</row>
    <row r="72" spans="1:43" ht="12.75" customHeight="1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</row>
    <row r="73" spans="1:43" ht="12.75" customHeight="1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</row>
    <row r="74" spans="1:43" ht="12.75" customHeight="1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</row>
    <row r="75" spans="1:43" ht="12.75" customHeight="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</row>
    <row r="76" spans="1:43" ht="12.75" customHeight="1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</row>
    <row r="77" spans="1:43" ht="12.75" customHeight="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</row>
    <row r="78" spans="1:43" ht="12.75" customHeight="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</row>
    <row r="79" spans="1:43" ht="12.75" customHeight="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</row>
    <row r="80" spans="1:43" ht="12.75" customHeight="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</row>
    <row r="81" spans="1:43" ht="12.75" customHeight="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</row>
    <row r="82" spans="1:43" ht="12.75" customHeight="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</row>
    <row r="83" spans="1:43" ht="12.75" customHeight="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</row>
    <row r="84" spans="1:43" ht="12.75" customHeight="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</row>
    <row r="85" spans="1:43" ht="12.75" customHeight="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</row>
    <row r="86" spans="1:43" ht="12.75" customHeight="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</row>
    <row r="87" spans="1:43" ht="12.75" customHeight="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</row>
    <row r="88" spans="1:43" ht="12.75" customHeight="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</row>
    <row r="89" spans="1:43" ht="12.75" customHeight="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</row>
    <row r="90" spans="1:43" ht="12.75" customHeight="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</row>
    <row r="91" spans="1:43" ht="12.75" customHeight="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</row>
    <row r="92" spans="1:43" ht="12.75" customHeight="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</row>
    <row r="93" spans="1:43" ht="12.75" customHeight="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</row>
    <row r="94" spans="1:43" ht="12.75" customHeight="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</row>
    <row r="95" spans="1:43" ht="12.75" customHeight="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</row>
    <row r="96" spans="1:43" ht="12.75" customHeight="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</row>
    <row r="97" spans="1:43" ht="12.75" customHeight="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</row>
    <row r="98" spans="1:43" ht="12.75" customHeight="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</row>
    <row r="99" spans="1:43" ht="12.75" customHeight="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</row>
    <row r="100" spans="1:43" ht="12.75" customHeight="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</row>
  </sheetData>
  <mergeCells count="8">
    <mergeCell ref="B51:I51"/>
    <mergeCell ref="B59:I59"/>
    <mergeCell ref="B3:I3"/>
    <mergeCell ref="B11:I11"/>
    <mergeCell ref="B19:I19"/>
    <mergeCell ref="B27:I27"/>
    <mergeCell ref="B35:I35"/>
    <mergeCell ref="B43:I4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Jogos</vt:lpstr>
      <vt:lpstr>Jogos</vt:lpstr>
    </vt:vector>
  </TitlesOfParts>
  <Manager/>
  <Company>none</Company>
  <LinksUpToDate>false</LinksUpToDate>
  <SharedDoc>false</SharedDoc>
  <HyperlinkBase>www.edivaldo.zip.to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Copa do mundo de 2002: Japao -Coreia</dc:title>
  <dc:subject/>
  <dc:creator>Edivaldo</dc:creator>
  <cp:keywords>Copa do mundo</cp:keywords>
  <dc:description>Poder ser distribuida gratuitamente, sem limite._x000d_
_x000d_
Edivaldo Barboza da Silva 01/01/2002</dc:description>
  <cp:lastModifiedBy>CESAR ARDUIN SARAIVA</cp:lastModifiedBy>
  <cp:revision/>
  <dcterms:created xsi:type="dcterms:W3CDTF">2001-12-05T11:10:54Z</dcterms:created>
  <dcterms:modified xsi:type="dcterms:W3CDTF">2025-06-11T12:54:54Z</dcterms:modified>
  <cp:category>Livre</cp:category>
  <cp:contentStatus/>
</cp:coreProperties>
</file>