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/>
  <xr:revisionPtr revIDLastSave="0" documentId="11_A871A3D25F43E2ABC33C676049385CF4C372F90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abela Jogos" sheetId="1" r:id="rId1"/>
    <sheet name="Jogos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" i="2" l="1"/>
  <c r="G64" i="2"/>
  <c r="I64" i="2" s="1"/>
  <c r="F64" i="2"/>
  <c r="E64" i="2"/>
  <c r="D64" i="2"/>
  <c r="C64" i="2"/>
  <c r="B64" i="2"/>
  <c r="H63" i="2"/>
  <c r="G63" i="2"/>
  <c r="I63" i="2" s="1"/>
  <c r="F63" i="2"/>
  <c r="E63" i="2"/>
  <c r="D63" i="2"/>
  <c r="C63" i="2"/>
  <c r="B63" i="2"/>
  <c r="K63" i="2" s="1"/>
  <c r="L63" i="2" s="1"/>
  <c r="H62" i="2"/>
  <c r="G62" i="2"/>
  <c r="I62" i="2" s="1"/>
  <c r="F62" i="2"/>
  <c r="E62" i="2"/>
  <c r="D62" i="2"/>
  <c r="C62" i="2"/>
  <c r="B62" i="2"/>
  <c r="H61" i="2"/>
  <c r="G61" i="2"/>
  <c r="I61" i="2" s="1"/>
  <c r="F61" i="2"/>
  <c r="E61" i="2"/>
  <c r="D61" i="2"/>
  <c r="C61" i="2"/>
  <c r="B61" i="2"/>
  <c r="K61" i="2" s="1"/>
  <c r="L61" i="2" s="1"/>
  <c r="N61" i="2" s="1"/>
  <c r="O61" i="2" s="1"/>
  <c r="H56" i="2"/>
  <c r="G56" i="2"/>
  <c r="I56" i="2" s="1"/>
  <c r="F56" i="2"/>
  <c r="E56" i="2"/>
  <c r="D56" i="2"/>
  <c r="C56" i="2"/>
  <c r="B56" i="2"/>
  <c r="H55" i="2"/>
  <c r="G55" i="2"/>
  <c r="I55" i="2" s="1"/>
  <c r="F55" i="2"/>
  <c r="E55" i="2"/>
  <c r="D55" i="2"/>
  <c r="C55" i="2"/>
  <c r="B55" i="2"/>
  <c r="K55" i="2" s="1"/>
  <c r="L55" i="2" s="1"/>
  <c r="H54" i="2"/>
  <c r="G54" i="2"/>
  <c r="I54" i="2" s="1"/>
  <c r="F54" i="2"/>
  <c r="E54" i="2"/>
  <c r="D54" i="2"/>
  <c r="C54" i="2"/>
  <c r="B54" i="2"/>
  <c r="H53" i="2"/>
  <c r="G53" i="2"/>
  <c r="I53" i="2" s="1"/>
  <c r="F53" i="2"/>
  <c r="E53" i="2"/>
  <c r="D53" i="2"/>
  <c r="C53" i="2"/>
  <c r="B53" i="2"/>
  <c r="K53" i="2" s="1"/>
  <c r="L53" i="2" s="1"/>
  <c r="N53" i="2" s="1"/>
  <c r="O53" i="2" s="1"/>
  <c r="H48" i="2"/>
  <c r="G48" i="2"/>
  <c r="I48" i="2" s="1"/>
  <c r="F48" i="2"/>
  <c r="E48" i="2"/>
  <c r="D48" i="2"/>
  <c r="C48" i="2"/>
  <c r="B48" i="2"/>
  <c r="H47" i="2"/>
  <c r="G47" i="2"/>
  <c r="I47" i="2" s="1"/>
  <c r="F47" i="2"/>
  <c r="E47" i="2"/>
  <c r="D47" i="2"/>
  <c r="C47" i="2"/>
  <c r="B47" i="2"/>
  <c r="K47" i="2" s="1"/>
  <c r="L47" i="2" s="1"/>
  <c r="H46" i="2"/>
  <c r="G46" i="2"/>
  <c r="I46" i="2" s="1"/>
  <c r="F46" i="2"/>
  <c r="E46" i="2"/>
  <c r="D46" i="2"/>
  <c r="C46" i="2"/>
  <c r="B46" i="2"/>
  <c r="H45" i="2"/>
  <c r="G45" i="2"/>
  <c r="I45" i="2" s="1"/>
  <c r="F45" i="2"/>
  <c r="E45" i="2"/>
  <c r="D45" i="2"/>
  <c r="C45" i="2"/>
  <c r="B45" i="2"/>
  <c r="K45" i="2" s="1"/>
  <c r="L45" i="2" s="1"/>
  <c r="N45" i="2" s="1"/>
  <c r="O45" i="2" s="1"/>
  <c r="H40" i="2"/>
  <c r="G40" i="2"/>
  <c r="I40" i="2" s="1"/>
  <c r="F40" i="2"/>
  <c r="E40" i="2"/>
  <c r="D40" i="2"/>
  <c r="C40" i="2"/>
  <c r="B40" i="2"/>
  <c r="H39" i="2"/>
  <c r="G39" i="2"/>
  <c r="I39" i="2" s="1"/>
  <c r="F39" i="2"/>
  <c r="E39" i="2"/>
  <c r="D39" i="2"/>
  <c r="C39" i="2"/>
  <c r="B39" i="2"/>
  <c r="K39" i="2" s="1"/>
  <c r="L39" i="2" s="1"/>
  <c r="H38" i="2"/>
  <c r="G38" i="2"/>
  <c r="I38" i="2" s="1"/>
  <c r="F38" i="2"/>
  <c r="E38" i="2"/>
  <c r="D38" i="2"/>
  <c r="C38" i="2"/>
  <c r="B38" i="2"/>
  <c r="H37" i="2"/>
  <c r="G37" i="2"/>
  <c r="I37" i="2" s="1"/>
  <c r="F37" i="2"/>
  <c r="E37" i="2"/>
  <c r="D37" i="2"/>
  <c r="C37" i="2"/>
  <c r="B37" i="2"/>
  <c r="K37" i="2" s="1"/>
  <c r="L37" i="2" s="1"/>
  <c r="N37" i="2" s="1"/>
  <c r="O37" i="2" s="1"/>
  <c r="H32" i="2"/>
  <c r="G32" i="2"/>
  <c r="I32" i="2" s="1"/>
  <c r="F32" i="2"/>
  <c r="E32" i="2"/>
  <c r="D32" i="2"/>
  <c r="C32" i="2"/>
  <c r="B32" i="2"/>
  <c r="H31" i="2"/>
  <c r="G31" i="2"/>
  <c r="I31" i="2" s="1"/>
  <c r="F31" i="2"/>
  <c r="E31" i="2"/>
  <c r="D31" i="2"/>
  <c r="C31" i="2"/>
  <c r="B31" i="2"/>
  <c r="K31" i="2" s="1"/>
  <c r="L31" i="2" s="1"/>
  <c r="H30" i="2"/>
  <c r="G30" i="2"/>
  <c r="I30" i="2" s="1"/>
  <c r="F30" i="2"/>
  <c r="E30" i="2"/>
  <c r="D30" i="2"/>
  <c r="C30" i="2"/>
  <c r="B30" i="2"/>
  <c r="H29" i="2"/>
  <c r="G29" i="2"/>
  <c r="I29" i="2" s="1"/>
  <c r="F29" i="2"/>
  <c r="E29" i="2"/>
  <c r="D29" i="2"/>
  <c r="C29" i="2"/>
  <c r="B29" i="2"/>
  <c r="K29" i="2" s="1"/>
  <c r="L29" i="2" s="1"/>
  <c r="N29" i="2" s="1"/>
  <c r="O29" i="2" s="1"/>
  <c r="H24" i="2"/>
  <c r="G24" i="2"/>
  <c r="I24" i="2" s="1"/>
  <c r="F24" i="2"/>
  <c r="E24" i="2"/>
  <c r="D24" i="2"/>
  <c r="C24" i="2"/>
  <c r="B24" i="2"/>
  <c r="H23" i="2"/>
  <c r="G23" i="2"/>
  <c r="I23" i="2" s="1"/>
  <c r="F23" i="2"/>
  <c r="E23" i="2"/>
  <c r="D23" i="2"/>
  <c r="C23" i="2"/>
  <c r="B23" i="2"/>
  <c r="K23" i="2" s="1"/>
  <c r="L23" i="2" s="1"/>
  <c r="H22" i="2"/>
  <c r="G22" i="2"/>
  <c r="I22" i="2" s="1"/>
  <c r="F22" i="2"/>
  <c r="E22" i="2"/>
  <c r="D22" i="2"/>
  <c r="C22" i="2"/>
  <c r="B22" i="2"/>
  <c r="H21" i="2"/>
  <c r="G21" i="2"/>
  <c r="I21" i="2" s="1"/>
  <c r="F21" i="2"/>
  <c r="E21" i="2"/>
  <c r="D21" i="2"/>
  <c r="C21" i="2"/>
  <c r="B21" i="2"/>
  <c r="K21" i="2" s="1"/>
  <c r="L21" i="2" s="1"/>
  <c r="N21" i="2" s="1"/>
  <c r="O21" i="2" s="1"/>
  <c r="H16" i="2"/>
  <c r="G16" i="2"/>
  <c r="I16" i="2" s="1"/>
  <c r="F16" i="2"/>
  <c r="E16" i="2"/>
  <c r="D16" i="2"/>
  <c r="C16" i="2"/>
  <c r="B16" i="2"/>
  <c r="H15" i="2"/>
  <c r="G15" i="2"/>
  <c r="I15" i="2" s="1"/>
  <c r="F15" i="2"/>
  <c r="E15" i="2"/>
  <c r="D15" i="2"/>
  <c r="C15" i="2"/>
  <c r="B15" i="2"/>
  <c r="K15" i="2" s="1"/>
  <c r="L15" i="2" s="1"/>
  <c r="H14" i="2"/>
  <c r="G14" i="2"/>
  <c r="I14" i="2" s="1"/>
  <c r="F14" i="2"/>
  <c r="E14" i="2"/>
  <c r="D14" i="2"/>
  <c r="C14" i="2"/>
  <c r="B14" i="2"/>
  <c r="H13" i="2"/>
  <c r="G13" i="2"/>
  <c r="I13" i="2" s="1"/>
  <c r="F13" i="2"/>
  <c r="E13" i="2"/>
  <c r="D13" i="2"/>
  <c r="C13" i="2"/>
  <c r="B13" i="2"/>
  <c r="K13" i="2" s="1"/>
  <c r="L13" i="2" s="1"/>
  <c r="N13" i="2" s="1"/>
  <c r="O13" i="2" s="1"/>
  <c r="H8" i="2"/>
  <c r="G8" i="2"/>
  <c r="I8" i="2" s="1"/>
  <c r="F8" i="2"/>
  <c r="E8" i="2"/>
  <c r="D8" i="2"/>
  <c r="C8" i="2"/>
  <c r="B8" i="2"/>
  <c r="H7" i="2"/>
  <c r="G7" i="2"/>
  <c r="I7" i="2" s="1"/>
  <c r="F7" i="2"/>
  <c r="E7" i="2"/>
  <c r="D7" i="2"/>
  <c r="C7" i="2"/>
  <c r="B7" i="2"/>
  <c r="K7" i="2" s="1"/>
  <c r="L7" i="2" s="1"/>
  <c r="H6" i="2"/>
  <c r="G6" i="2"/>
  <c r="I6" i="2" s="1"/>
  <c r="F6" i="2"/>
  <c r="E6" i="2"/>
  <c r="D6" i="2"/>
  <c r="C6" i="2"/>
  <c r="B6" i="2"/>
  <c r="H5" i="2"/>
  <c r="G5" i="2"/>
  <c r="I5" i="2" s="1"/>
  <c r="F5" i="2"/>
  <c r="E5" i="2"/>
  <c r="D5" i="2"/>
  <c r="C5" i="2"/>
  <c r="B5" i="2"/>
  <c r="K5" i="2" s="1"/>
  <c r="L5" i="2" s="1"/>
  <c r="N5" i="2" s="1"/>
  <c r="O5" i="2" s="1"/>
  <c r="K6" i="2" l="1"/>
  <c r="L6" i="2" s="1"/>
  <c r="N7" i="2"/>
  <c r="O7" i="2" s="1"/>
  <c r="K8" i="2"/>
  <c r="L8" i="2" s="1"/>
  <c r="N8" i="2" s="1"/>
  <c r="O8" i="2" s="1"/>
  <c r="K14" i="2"/>
  <c r="L14" i="2" s="1"/>
  <c r="N15" i="2"/>
  <c r="O15" i="2" s="1"/>
  <c r="K16" i="2"/>
  <c r="L16" i="2" s="1"/>
  <c r="N16" i="2" s="1"/>
  <c r="O16" i="2" s="1"/>
  <c r="K22" i="2"/>
  <c r="L22" i="2" s="1"/>
  <c r="N23" i="2"/>
  <c r="O23" i="2" s="1"/>
  <c r="K24" i="2"/>
  <c r="L24" i="2" s="1"/>
  <c r="N24" i="2" s="1"/>
  <c r="O24" i="2" s="1"/>
  <c r="K30" i="2"/>
  <c r="L30" i="2" s="1"/>
  <c r="N31" i="2"/>
  <c r="O31" i="2" s="1"/>
  <c r="K32" i="2"/>
  <c r="L32" i="2" s="1"/>
  <c r="N32" i="2" s="1"/>
  <c r="O32" i="2" s="1"/>
  <c r="K38" i="2"/>
  <c r="L38" i="2" s="1"/>
  <c r="N39" i="2"/>
  <c r="O39" i="2" s="1"/>
  <c r="K40" i="2"/>
  <c r="L40" i="2" s="1"/>
  <c r="N40" i="2" s="1"/>
  <c r="O40" i="2" s="1"/>
  <c r="K46" i="2"/>
  <c r="L46" i="2" s="1"/>
  <c r="N47" i="2"/>
  <c r="O47" i="2" s="1"/>
  <c r="K48" i="2"/>
  <c r="L48" i="2" s="1"/>
  <c r="N48" i="2" s="1"/>
  <c r="O48" i="2" s="1"/>
  <c r="K54" i="2"/>
  <c r="L54" i="2" s="1"/>
  <c r="N55" i="2"/>
  <c r="O55" i="2" s="1"/>
  <c r="K56" i="2"/>
  <c r="L56" i="2" s="1"/>
  <c r="N56" i="2" s="1"/>
  <c r="O56" i="2" s="1"/>
  <c r="K62" i="2"/>
  <c r="L62" i="2" s="1"/>
  <c r="N63" i="2"/>
  <c r="O63" i="2" s="1"/>
  <c r="K64" i="2"/>
  <c r="L64" i="2" s="1"/>
  <c r="N64" i="2" s="1"/>
  <c r="O64" i="2" s="1"/>
  <c r="Q64" i="2" l="1"/>
  <c r="Q61" i="2"/>
  <c r="N62" i="2"/>
  <c r="O62" i="2" s="1"/>
  <c r="Q56" i="2"/>
  <c r="Q53" i="2"/>
  <c r="N54" i="2"/>
  <c r="O54" i="2" s="1"/>
  <c r="Q48" i="2"/>
  <c r="Q45" i="2"/>
  <c r="N46" i="2"/>
  <c r="O46" i="2" s="1"/>
  <c r="Q40" i="2"/>
  <c r="Q37" i="2"/>
  <c r="N38" i="2"/>
  <c r="O38" i="2" s="1"/>
  <c r="Q32" i="2"/>
  <c r="Q29" i="2"/>
  <c r="N30" i="2"/>
  <c r="O30" i="2" s="1"/>
  <c r="Q24" i="2"/>
  <c r="Q21" i="2"/>
  <c r="N22" i="2"/>
  <c r="O22" i="2" s="1"/>
  <c r="Q16" i="2"/>
  <c r="Q13" i="2"/>
  <c r="N14" i="2"/>
  <c r="O14" i="2" s="1"/>
  <c r="Q8" i="2"/>
  <c r="Q5" i="2"/>
  <c r="N6" i="2"/>
  <c r="O6" i="2" s="1"/>
  <c r="Q6" i="2" l="1"/>
  <c r="Q7" i="2"/>
  <c r="S5" i="2"/>
  <c r="R5" i="2"/>
  <c r="S8" i="2"/>
  <c r="R8" i="2"/>
  <c r="Q14" i="2"/>
  <c r="Q15" i="2"/>
  <c r="S13" i="2"/>
  <c r="R13" i="2"/>
  <c r="S16" i="2"/>
  <c r="R16" i="2"/>
  <c r="Q22" i="2"/>
  <c r="Q23" i="2"/>
  <c r="S21" i="2"/>
  <c r="R21" i="2"/>
  <c r="S24" i="2"/>
  <c r="R24" i="2"/>
  <c r="Q30" i="2"/>
  <c r="Q31" i="2"/>
  <c r="S29" i="2"/>
  <c r="R29" i="2"/>
  <c r="S32" i="2"/>
  <c r="R32" i="2"/>
  <c r="Q38" i="2"/>
  <c r="Q39" i="2"/>
  <c r="S37" i="2"/>
  <c r="R37" i="2"/>
  <c r="S40" i="2"/>
  <c r="R40" i="2"/>
  <c r="Q46" i="2"/>
  <c r="Q47" i="2"/>
  <c r="S45" i="2"/>
  <c r="R45" i="2"/>
  <c r="S48" i="2"/>
  <c r="R48" i="2"/>
  <c r="Q54" i="2"/>
  <c r="Q55" i="2"/>
  <c r="S53" i="2"/>
  <c r="R53" i="2"/>
  <c r="S56" i="2"/>
  <c r="R56" i="2"/>
  <c r="Q62" i="2"/>
  <c r="Q63" i="2"/>
  <c r="S61" i="2"/>
  <c r="R61" i="2"/>
  <c r="S64" i="2"/>
  <c r="R64" i="2"/>
  <c r="S63" i="2" l="1"/>
  <c r="R63" i="2"/>
  <c r="S62" i="2"/>
  <c r="R62" i="2"/>
  <c r="S55" i="2"/>
  <c r="R55" i="2"/>
  <c r="S54" i="2"/>
  <c r="R54" i="2"/>
  <c r="S47" i="2"/>
  <c r="R47" i="2"/>
  <c r="S46" i="2"/>
  <c r="R46" i="2"/>
  <c r="S39" i="2"/>
  <c r="R39" i="2"/>
  <c r="S38" i="2"/>
  <c r="R38" i="2"/>
  <c r="S31" i="2"/>
  <c r="R31" i="2"/>
  <c r="S30" i="2"/>
  <c r="R30" i="2"/>
  <c r="S23" i="2"/>
  <c r="R23" i="2"/>
  <c r="S22" i="2"/>
  <c r="R22" i="2"/>
  <c r="S15" i="2"/>
  <c r="R15" i="2"/>
  <c r="S14" i="2"/>
  <c r="R14" i="2"/>
  <c r="S7" i="2"/>
  <c r="R7" i="2"/>
  <c r="S6" i="2"/>
  <c r="R6" i="2"/>
  <c r="U6" i="2" l="1"/>
  <c r="U5" i="2"/>
  <c r="U8" i="2"/>
  <c r="U7" i="2"/>
  <c r="U14" i="2"/>
  <c r="U13" i="2"/>
  <c r="U16" i="2"/>
  <c r="U15" i="2"/>
  <c r="U22" i="2"/>
  <c r="U21" i="2"/>
  <c r="U24" i="2"/>
  <c r="U23" i="2"/>
  <c r="U30" i="2"/>
  <c r="U29" i="2"/>
  <c r="U32" i="2"/>
  <c r="U31" i="2"/>
  <c r="U38" i="2"/>
  <c r="U37" i="2"/>
  <c r="U40" i="2"/>
  <c r="U39" i="2"/>
  <c r="U46" i="2"/>
  <c r="U45" i="2"/>
  <c r="U48" i="2"/>
  <c r="U47" i="2"/>
  <c r="U54" i="2"/>
  <c r="U53" i="2"/>
  <c r="U56" i="2"/>
  <c r="U55" i="2"/>
  <c r="U62" i="2"/>
  <c r="U61" i="2"/>
  <c r="U64" i="2"/>
  <c r="U63" i="2"/>
  <c r="W63" i="2" l="1"/>
  <c r="V63" i="2"/>
  <c r="W64" i="2"/>
  <c r="V64" i="2"/>
  <c r="W61" i="2"/>
  <c r="V61" i="2"/>
  <c r="W62" i="2"/>
  <c r="V62" i="2"/>
  <c r="W55" i="2"/>
  <c r="V55" i="2"/>
  <c r="W56" i="2"/>
  <c r="V56" i="2"/>
  <c r="W53" i="2"/>
  <c r="V53" i="2"/>
  <c r="W54" i="2"/>
  <c r="V54" i="2"/>
  <c r="W47" i="2"/>
  <c r="V47" i="2"/>
  <c r="W48" i="2"/>
  <c r="V48" i="2"/>
  <c r="W45" i="2"/>
  <c r="V45" i="2"/>
  <c r="W46" i="2"/>
  <c r="V46" i="2"/>
  <c r="W39" i="2"/>
  <c r="V39" i="2"/>
  <c r="W40" i="2"/>
  <c r="V40" i="2"/>
  <c r="W37" i="2"/>
  <c r="V37" i="2"/>
  <c r="W38" i="2"/>
  <c r="V38" i="2"/>
  <c r="W31" i="2"/>
  <c r="V31" i="2"/>
  <c r="W32" i="2"/>
  <c r="V32" i="2"/>
  <c r="W29" i="2"/>
  <c r="V29" i="2"/>
  <c r="W30" i="2"/>
  <c r="V30" i="2"/>
  <c r="W23" i="2"/>
  <c r="V23" i="2"/>
  <c r="W24" i="2"/>
  <c r="V24" i="2"/>
  <c r="W21" i="2"/>
  <c r="V21" i="2"/>
  <c r="W22" i="2"/>
  <c r="V22" i="2"/>
  <c r="W15" i="2"/>
  <c r="V15" i="2"/>
  <c r="W16" i="2"/>
  <c r="V16" i="2"/>
  <c r="W13" i="2"/>
  <c r="V13" i="2"/>
  <c r="W14" i="2"/>
  <c r="V14" i="2"/>
  <c r="W7" i="2"/>
  <c r="V7" i="2"/>
  <c r="W8" i="2"/>
  <c r="V8" i="2"/>
  <c r="W5" i="2"/>
  <c r="V5" i="2"/>
  <c r="W6" i="2"/>
  <c r="V6" i="2"/>
  <c r="X8" i="2" l="1"/>
  <c r="X6" i="2"/>
  <c r="X7" i="2"/>
  <c r="X5" i="2"/>
  <c r="X16" i="2"/>
  <c r="X14" i="2"/>
  <c r="X15" i="2"/>
  <c r="X13" i="2"/>
  <c r="X24" i="2"/>
  <c r="X22" i="2"/>
  <c r="X23" i="2"/>
  <c r="X21" i="2"/>
  <c r="X32" i="2"/>
  <c r="X30" i="2"/>
  <c r="X31" i="2"/>
  <c r="X29" i="2"/>
  <c r="X40" i="2"/>
  <c r="X38" i="2"/>
  <c r="X39" i="2"/>
  <c r="X37" i="2"/>
  <c r="X48" i="2"/>
  <c r="X46" i="2"/>
  <c r="X47" i="2"/>
  <c r="X45" i="2"/>
  <c r="X56" i="2"/>
  <c r="X54" i="2"/>
  <c r="X55" i="2"/>
  <c r="X53" i="2"/>
  <c r="X64" i="2"/>
  <c r="X62" i="2"/>
  <c r="X63" i="2"/>
  <c r="X61" i="2"/>
  <c r="Z61" i="2" l="1"/>
  <c r="Y61" i="2"/>
  <c r="Z63" i="2"/>
  <c r="Y63" i="2"/>
  <c r="Z62" i="2"/>
  <c r="Y62" i="2"/>
  <c r="AB62" i="2" s="1"/>
  <c r="Z64" i="2"/>
  <c r="Y64" i="2"/>
  <c r="AB64" i="2" s="1"/>
  <c r="Z53" i="2"/>
  <c r="Y53" i="2"/>
  <c r="Z55" i="2"/>
  <c r="Y55" i="2"/>
  <c r="Z54" i="2"/>
  <c r="Y54" i="2"/>
  <c r="AB54" i="2" s="1"/>
  <c r="Z56" i="2"/>
  <c r="Y56" i="2"/>
  <c r="AB56" i="2" s="1"/>
  <c r="Z45" i="2"/>
  <c r="Y45" i="2"/>
  <c r="Z47" i="2"/>
  <c r="Y47" i="2"/>
  <c r="Z46" i="2"/>
  <c r="Y46" i="2"/>
  <c r="AB46" i="2" s="1"/>
  <c r="Z48" i="2"/>
  <c r="Y48" i="2"/>
  <c r="AB48" i="2" s="1"/>
  <c r="Z37" i="2"/>
  <c r="Y37" i="2"/>
  <c r="Z39" i="2"/>
  <c r="Y39" i="2"/>
  <c r="Z38" i="2"/>
  <c r="Y38" i="2"/>
  <c r="AB38" i="2" s="1"/>
  <c r="Z40" i="2"/>
  <c r="Y40" i="2"/>
  <c r="AB40" i="2" s="1"/>
  <c r="Z29" i="2"/>
  <c r="Y29" i="2"/>
  <c r="Z31" i="2"/>
  <c r="Y31" i="2"/>
  <c r="Z30" i="2"/>
  <c r="Y30" i="2"/>
  <c r="AB30" i="2" s="1"/>
  <c r="Z32" i="2"/>
  <c r="Y32" i="2"/>
  <c r="AB32" i="2" s="1"/>
  <c r="Z21" i="2"/>
  <c r="Y21" i="2"/>
  <c r="Z23" i="2"/>
  <c r="Y23" i="2"/>
  <c r="Z22" i="2"/>
  <c r="Y22" i="2"/>
  <c r="AB22" i="2" s="1"/>
  <c r="Z24" i="2"/>
  <c r="Y24" i="2"/>
  <c r="AB24" i="2" s="1"/>
  <c r="Z13" i="2"/>
  <c r="Y13" i="2"/>
  <c r="Z15" i="2"/>
  <c r="Y15" i="2"/>
  <c r="Z14" i="2"/>
  <c r="Y14" i="2"/>
  <c r="AB14" i="2" s="1"/>
  <c r="Z16" i="2"/>
  <c r="Y16" i="2"/>
  <c r="AB16" i="2" s="1"/>
  <c r="Z5" i="2"/>
  <c r="Y5" i="2"/>
  <c r="Z7" i="2"/>
  <c r="Y7" i="2"/>
  <c r="Z6" i="2"/>
  <c r="Y6" i="2"/>
  <c r="AB6" i="2" s="1"/>
  <c r="Z8" i="2"/>
  <c r="Y8" i="2"/>
  <c r="AB8" i="2" s="1"/>
  <c r="AE8" i="2" l="1"/>
  <c r="AD8" i="2"/>
  <c r="AC8" i="2"/>
  <c r="AE6" i="2"/>
  <c r="AD6" i="2"/>
  <c r="AC6" i="2"/>
  <c r="AB7" i="2"/>
  <c r="AB5" i="2"/>
  <c r="AE16" i="2"/>
  <c r="AD16" i="2"/>
  <c r="AC16" i="2"/>
  <c r="AE14" i="2"/>
  <c r="AD14" i="2"/>
  <c r="AC14" i="2"/>
  <c r="AB15" i="2"/>
  <c r="AB13" i="2"/>
  <c r="AE24" i="2"/>
  <c r="AD24" i="2"/>
  <c r="AC24" i="2"/>
  <c r="AE22" i="2"/>
  <c r="AD22" i="2"/>
  <c r="AC22" i="2"/>
  <c r="AB23" i="2"/>
  <c r="AB21" i="2"/>
  <c r="AE32" i="2"/>
  <c r="AD32" i="2"/>
  <c r="AC32" i="2"/>
  <c r="AE30" i="2"/>
  <c r="AD30" i="2"/>
  <c r="AC30" i="2"/>
  <c r="AB31" i="2"/>
  <c r="AB29" i="2"/>
  <c r="AE40" i="2"/>
  <c r="AD40" i="2"/>
  <c r="AC40" i="2"/>
  <c r="AE38" i="2"/>
  <c r="AD38" i="2"/>
  <c r="AC38" i="2"/>
  <c r="AB39" i="2"/>
  <c r="AB37" i="2"/>
  <c r="AE48" i="2"/>
  <c r="AD48" i="2"/>
  <c r="AC48" i="2"/>
  <c r="AE46" i="2"/>
  <c r="AD46" i="2"/>
  <c r="AC46" i="2"/>
  <c r="AB47" i="2"/>
  <c r="AB45" i="2"/>
  <c r="AE56" i="2"/>
  <c r="AD56" i="2"/>
  <c r="AC56" i="2"/>
  <c r="AE54" i="2"/>
  <c r="AD54" i="2"/>
  <c r="AC54" i="2"/>
  <c r="AB55" i="2"/>
  <c r="AB53" i="2"/>
  <c r="AE64" i="2"/>
  <c r="AD64" i="2"/>
  <c r="AC64" i="2"/>
  <c r="AE62" i="2"/>
  <c r="AD62" i="2"/>
  <c r="AC62" i="2"/>
  <c r="AB63" i="2"/>
  <c r="AB61" i="2"/>
  <c r="AE61" i="2" l="1"/>
  <c r="AD61" i="2"/>
  <c r="AC61" i="2"/>
  <c r="AF61" i="2" s="1"/>
  <c r="AE63" i="2"/>
  <c r="AD63" i="2"/>
  <c r="AC63" i="2"/>
  <c r="AF63" i="2" s="1"/>
  <c r="AF62" i="2"/>
  <c r="AF64" i="2"/>
  <c r="AE53" i="2"/>
  <c r="AD53" i="2"/>
  <c r="AC53" i="2"/>
  <c r="AF53" i="2" s="1"/>
  <c r="AE55" i="2"/>
  <c r="AD55" i="2"/>
  <c r="AC55" i="2"/>
  <c r="AF55" i="2" s="1"/>
  <c r="AF54" i="2"/>
  <c r="AF56" i="2"/>
  <c r="AE45" i="2"/>
  <c r="AD45" i="2"/>
  <c r="AC45" i="2"/>
  <c r="AF45" i="2" s="1"/>
  <c r="AE47" i="2"/>
  <c r="AD47" i="2"/>
  <c r="AC47" i="2"/>
  <c r="AF47" i="2" s="1"/>
  <c r="AF46" i="2"/>
  <c r="AF48" i="2"/>
  <c r="AE37" i="2"/>
  <c r="AD37" i="2"/>
  <c r="AC37" i="2"/>
  <c r="AF37" i="2" s="1"/>
  <c r="AE39" i="2"/>
  <c r="AD39" i="2"/>
  <c r="AC39" i="2"/>
  <c r="AF39" i="2" s="1"/>
  <c r="AF38" i="2"/>
  <c r="AF40" i="2"/>
  <c r="AE29" i="2"/>
  <c r="AD29" i="2"/>
  <c r="AC29" i="2"/>
  <c r="AF29" i="2" s="1"/>
  <c r="AE31" i="2"/>
  <c r="AD31" i="2"/>
  <c r="AC31" i="2"/>
  <c r="AF31" i="2" s="1"/>
  <c r="AF30" i="2"/>
  <c r="AF32" i="2"/>
  <c r="AE21" i="2"/>
  <c r="AD21" i="2"/>
  <c r="AC21" i="2"/>
  <c r="AF21" i="2" s="1"/>
  <c r="AE23" i="2"/>
  <c r="AD23" i="2"/>
  <c r="AC23" i="2"/>
  <c r="AF23" i="2" s="1"/>
  <c r="AF22" i="2"/>
  <c r="AF24" i="2"/>
  <c r="AE13" i="2"/>
  <c r="AD13" i="2"/>
  <c r="AC13" i="2"/>
  <c r="AF13" i="2" s="1"/>
  <c r="AE15" i="2"/>
  <c r="AD15" i="2"/>
  <c r="AC15" i="2"/>
  <c r="AF15" i="2" s="1"/>
  <c r="AF14" i="2"/>
  <c r="AF16" i="2"/>
  <c r="AE5" i="2"/>
  <c r="AD5" i="2"/>
  <c r="AC5" i="2"/>
  <c r="AF5" i="2" s="1"/>
  <c r="AE7" i="2"/>
  <c r="AD7" i="2"/>
  <c r="AC7" i="2"/>
  <c r="AF7" i="2" s="1"/>
  <c r="AF6" i="2"/>
  <c r="AF8" i="2"/>
  <c r="AI8" i="2" l="1"/>
  <c r="AH8" i="2"/>
  <c r="AG8" i="2"/>
  <c r="AI6" i="2"/>
  <c r="AH6" i="2"/>
  <c r="AG6" i="2"/>
  <c r="AI7" i="2"/>
  <c r="AH7" i="2"/>
  <c r="AG7" i="2"/>
  <c r="AI5" i="2"/>
  <c r="AH5" i="2"/>
  <c r="AG5" i="2"/>
  <c r="AJ5" i="2" s="1"/>
  <c r="AI16" i="2"/>
  <c r="AH16" i="2"/>
  <c r="AG16" i="2"/>
  <c r="AI14" i="2"/>
  <c r="AH14" i="2"/>
  <c r="AG14" i="2"/>
  <c r="AI15" i="2"/>
  <c r="AH15" i="2"/>
  <c r="AG15" i="2"/>
  <c r="AI13" i="2"/>
  <c r="AH13" i="2"/>
  <c r="AG13" i="2"/>
  <c r="AJ13" i="2" s="1"/>
  <c r="AI24" i="2"/>
  <c r="AH24" i="2"/>
  <c r="AG24" i="2"/>
  <c r="AI22" i="2"/>
  <c r="AH22" i="2"/>
  <c r="AG22" i="2"/>
  <c r="AI23" i="2"/>
  <c r="AH23" i="2"/>
  <c r="AG23" i="2"/>
  <c r="AI21" i="2"/>
  <c r="AH21" i="2"/>
  <c r="AG21" i="2"/>
  <c r="AJ21" i="2" s="1"/>
  <c r="AI32" i="2"/>
  <c r="AH32" i="2"/>
  <c r="AG32" i="2"/>
  <c r="AI30" i="2"/>
  <c r="AH30" i="2"/>
  <c r="AG30" i="2"/>
  <c r="AI31" i="2"/>
  <c r="AH31" i="2"/>
  <c r="AG31" i="2"/>
  <c r="AI29" i="2"/>
  <c r="AH29" i="2"/>
  <c r="AG29" i="2"/>
  <c r="AJ29" i="2" s="1"/>
  <c r="AI40" i="2"/>
  <c r="AH40" i="2"/>
  <c r="AG40" i="2"/>
  <c r="AI38" i="2"/>
  <c r="AH38" i="2"/>
  <c r="AG38" i="2"/>
  <c r="AI39" i="2"/>
  <c r="AH39" i="2"/>
  <c r="AG39" i="2"/>
  <c r="AI37" i="2"/>
  <c r="AH37" i="2"/>
  <c r="AG37" i="2"/>
  <c r="AJ37" i="2" s="1"/>
  <c r="AI48" i="2"/>
  <c r="AH48" i="2"/>
  <c r="AG48" i="2"/>
  <c r="AI46" i="2"/>
  <c r="AH46" i="2"/>
  <c r="AG46" i="2"/>
  <c r="AI47" i="2"/>
  <c r="AH47" i="2"/>
  <c r="AG47" i="2"/>
  <c r="AI45" i="2"/>
  <c r="AH45" i="2"/>
  <c r="AG45" i="2"/>
  <c r="AJ45" i="2" s="1"/>
  <c r="AI56" i="2"/>
  <c r="AH56" i="2"/>
  <c r="AG56" i="2"/>
  <c r="AI54" i="2"/>
  <c r="AH54" i="2"/>
  <c r="AG54" i="2"/>
  <c r="AI55" i="2"/>
  <c r="AH55" i="2"/>
  <c r="AG55" i="2"/>
  <c r="AI53" i="2"/>
  <c r="AH53" i="2"/>
  <c r="AG53" i="2"/>
  <c r="AJ53" i="2" s="1"/>
  <c r="AI64" i="2"/>
  <c r="AH64" i="2"/>
  <c r="AG64" i="2"/>
  <c r="AI62" i="2"/>
  <c r="AH62" i="2"/>
  <c r="AG62" i="2"/>
  <c r="AI63" i="2"/>
  <c r="AH63" i="2"/>
  <c r="AG63" i="2"/>
  <c r="AI61" i="2"/>
  <c r="AH61" i="2"/>
  <c r="AG61" i="2"/>
  <c r="AJ61" i="2" s="1"/>
  <c r="AM61" i="2" l="1"/>
  <c r="AL61" i="2"/>
  <c r="AK61" i="2"/>
  <c r="AJ63" i="2"/>
  <c r="AJ64" i="2"/>
  <c r="AJ62" i="2"/>
  <c r="AM53" i="2"/>
  <c r="AL53" i="2"/>
  <c r="AK53" i="2"/>
  <c r="AJ55" i="2"/>
  <c r="AJ56" i="2"/>
  <c r="AJ54" i="2"/>
  <c r="AM45" i="2"/>
  <c r="AL45" i="2"/>
  <c r="AK45" i="2"/>
  <c r="AJ47" i="2"/>
  <c r="AJ48" i="2"/>
  <c r="AJ46" i="2"/>
  <c r="AM37" i="2"/>
  <c r="AL37" i="2"/>
  <c r="AK37" i="2"/>
  <c r="AJ39" i="2"/>
  <c r="AJ40" i="2"/>
  <c r="AJ38" i="2"/>
  <c r="AM29" i="2"/>
  <c r="AL29" i="2"/>
  <c r="AK29" i="2"/>
  <c r="AJ31" i="2"/>
  <c r="AJ32" i="2"/>
  <c r="AJ30" i="2"/>
  <c r="AM21" i="2"/>
  <c r="AL21" i="2"/>
  <c r="AK21" i="2"/>
  <c r="AJ23" i="2"/>
  <c r="AJ24" i="2"/>
  <c r="AJ22" i="2"/>
  <c r="AM13" i="2"/>
  <c r="AL13" i="2"/>
  <c r="AK13" i="2"/>
  <c r="AJ15" i="2"/>
  <c r="AJ16" i="2"/>
  <c r="AJ14" i="2"/>
  <c r="AM5" i="2"/>
  <c r="AL5" i="2"/>
  <c r="AK5" i="2"/>
  <c r="AJ7" i="2"/>
  <c r="AJ8" i="2"/>
  <c r="AJ6" i="2"/>
  <c r="AM6" i="2" l="1"/>
  <c r="AL6" i="2"/>
  <c r="AK6" i="2"/>
  <c r="AM8" i="2"/>
  <c r="AL8" i="2"/>
  <c r="AK8" i="2"/>
  <c r="AN8" i="2" s="1"/>
  <c r="AM7" i="2"/>
  <c r="AL7" i="2"/>
  <c r="AK7" i="2"/>
  <c r="AN7" i="2" s="1"/>
  <c r="AN5" i="2"/>
  <c r="AM14" i="2"/>
  <c r="AL14" i="2"/>
  <c r="AK14" i="2"/>
  <c r="AM16" i="2"/>
  <c r="AL16" i="2"/>
  <c r="AK16" i="2"/>
  <c r="AN16" i="2" s="1"/>
  <c r="AM15" i="2"/>
  <c r="AL15" i="2"/>
  <c r="AK15" i="2"/>
  <c r="AN15" i="2" s="1"/>
  <c r="AN13" i="2"/>
  <c r="AM22" i="2"/>
  <c r="AL22" i="2"/>
  <c r="AK22" i="2"/>
  <c r="AM24" i="2"/>
  <c r="AL24" i="2"/>
  <c r="AK24" i="2"/>
  <c r="AN24" i="2" s="1"/>
  <c r="AM23" i="2"/>
  <c r="AL23" i="2"/>
  <c r="AK23" i="2"/>
  <c r="AN23" i="2" s="1"/>
  <c r="AN21" i="2"/>
  <c r="AM30" i="2"/>
  <c r="AL30" i="2"/>
  <c r="AK30" i="2"/>
  <c r="AM32" i="2"/>
  <c r="AL32" i="2"/>
  <c r="AK32" i="2"/>
  <c r="AN32" i="2" s="1"/>
  <c r="AM31" i="2"/>
  <c r="AL31" i="2"/>
  <c r="AK31" i="2"/>
  <c r="AN31" i="2" s="1"/>
  <c r="AN29" i="2"/>
  <c r="AM38" i="2"/>
  <c r="AL38" i="2"/>
  <c r="AK38" i="2"/>
  <c r="AM40" i="2"/>
  <c r="AL40" i="2"/>
  <c r="AK40" i="2"/>
  <c r="AN40" i="2" s="1"/>
  <c r="AM39" i="2"/>
  <c r="AL39" i="2"/>
  <c r="AK39" i="2"/>
  <c r="AN39" i="2" s="1"/>
  <c r="AN37" i="2"/>
  <c r="AM46" i="2"/>
  <c r="AL46" i="2"/>
  <c r="AK46" i="2"/>
  <c r="AM48" i="2"/>
  <c r="AL48" i="2"/>
  <c r="AK48" i="2"/>
  <c r="AN48" i="2" s="1"/>
  <c r="AM47" i="2"/>
  <c r="AL47" i="2"/>
  <c r="AK47" i="2"/>
  <c r="AN47" i="2" s="1"/>
  <c r="AN45" i="2"/>
  <c r="AM54" i="2"/>
  <c r="AL54" i="2"/>
  <c r="AK54" i="2"/>
  <c r="AM56" i="2"/>
  <c r="AL56" i="2"/>
  <c r="AK56" i="2"/>
  <c r="AN56" i="2" s="1"/>
  <c r="AM55" i="2"/>
  <c r="AL55" i="2"/>
  <c r="AK55" i="2"/>
  <c r="AN55" i="2" s="1"/>
  <c r="AN53" i="2"/>
  <c r="AM62" i="2"/>
  <c r="AL62" i="2"/>
  <c r="AK62" i="2"/>
  <c r="AM64" i="2"/>
  <c r="AL64" i="2"/>
  <c r="AK64" i="2"/>
  <c r="AN64" i="2" s="1"/>
  <c r="AM63" i="2"/>
  <c r="AL63" i="2"/>
  <c r="AK63" i="2"/>
  <c r="AN63" i="2" s="1"/>
  <c r="AN61" i="2"/>
  <c r="AQ61" i="2" l="1"/>
  <c r="AP61" i="2"/>
  <c r="AO61" i="2"/>
  <c r="L62" i="1"/>
  <c r="AQ63" i="2"/>
  <c r="AP63" i="2"/>
  <c r="AO63" i="2"/>
  <c r="L64" i="1"/>
  <c r="AQ64" i="2"/>
  <c r="AP64" i="2"/>
  <c r="AO64" i="2"/>
  <c r="L65" i="1"/>
  <c r="AN62" i="2"/>
  <c r="AQ53" i="2"/>
  <c r="AP53" i="2"/>
  <c r="AO53" i="2"/>
  <c r="L54" i="1"/>
  <c r="AQ55" i="2"/>
  <c r="AP55" i="2"/>
  <c r="AO55" i="2"/>
  <c r="L56" i="1"/>
  <c r="AQ56" i="2"/>
  <c r="AP56" i="2"/>
  <c r="AO56" i="2"/>
  <c r="L57" i="1"/>
  <c r="AN54" i="2"/>
  <c r="AQ45" i="2"/>
  <c r="AP45" i="2"/>
  <c r="AO45" i="2"/>
  <c r="L46" i="1"/>
  <c r="AQ47" i="2"/>
  <c r="AP47" i="2"/>
  <c r="AO47" i="2"/>
  <c r="L48" i="1"/>
  <c r="AQ48" i="2"/>
  <c r="AP48" i="2"/>
  <c r="AO48" i="2"/>
  <c r="L49" i="1"/>
  <c r="AN46" i="2"/>
  <c r="AQ37" i="2"/>
  <c r="AP37" i="2"/>
  <c r="AO37" i="2"/>
  <c r="L38" i="1"/>
  <c r="AQ39" i="2"/>
  <c r="AP39" i="2"/>
  <c r="AO39" i="2"/>
  <c r="L40" i="1"/>
  <c r="AQ40" i="2"/>
  <c r="AP40" i="2"/>
  <c r="AO40" i="2"/>
  <c r="L41" i="1"/>
  <c r="AN38" i="2"/>
  <c r="AQ29" i="2"/>
  <c r="AP29" i="2"/>
  <c r="AO29" i="2"/>
  <c r="L30" i="1"/>
  <c r="AQ31" i="2"/>
  <c r="AP31" i="2"/>
  <c r="AO31" i="2"/>
  <c r="L32" i="1"/>
  <c r="AQ32" i="2"/>
  <c r="AP32" i="2"/>
  <c r="AO32" i="2"/>
  <c r="L33" i="1"/>
  <c r="AN30" i="2"/>
  <c r="AQ21" i="2"/>
  <c r="AP21" i="2"/>
  <c r="AO21" i="2"/>
  <c r="L22" i="1"/>
  <c r="AQ23" i="2"/>
  <c r="AP23" i="2"/>
  <c r="AO23" i="2"/>
  <c r="L24" i="1"/>
  <c r="AQ24" i="2"/>
  <c r="AP24" i="2"/>
  <c r="AO24" i="2"/>
  <c r="L25" i="1"/>
  <c r="AN22" i="2"/>
  <c r="AQ13" i="2"/>
  <c r="AP13" i="2"/>
  <c r="AO13" i="2"/>
  <c r="L14" i="1"/>
  <c r="AQ15" i="2"/>
  <c r="AP15" i="2"/>
  <c r="AO15" i="2"/>
  <c r="L16" i="1"/>
  <c r="AQ16" i="2"/>
  <c r="AP16" i="2"/>
  <c r="AO16" i="2"/>
  <c r="L17" i="1"/>
  <c r="AN14" i="2"/>
  <c r="AQ5" i="2"/>
  <c r="AP5" i="2"/>
  <c r="AO5" i="2"/>
  <c r="L6" i="1"/>
  <c r="AQ7" i="2"/>
  <c r="AP7" i="2"/>
  <c r="AO7" i="2"/>
  <c r="L8" i="1"/>
  <c r="AQ8" i="2"/>
  <c r="AP8" i="2"/>
  <c r="AO8" i="2"/>
  <c r="L9" i="1"/>
  <c r="AN6" i="2"/>
  <c r="AQ6" i="2" l="1"/>
  <c r="AP6" i="2"/>
  <c r="AO6" i="2"/>
  <c r="L7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6" i="1"/>
  <c r="S6" i="1"/>
  <c r="R6" i="1"/>
  <c r="Q6" i="1"/>
  <c r="P6" i="1"/>
  <c r="O6" i="1"/>
  <c r="N6" i="1"/>
  <c r="C69" i="1" s="1"/>
  <c r="C80" i="1" s="1"/>
  <c r="C85" i="1" s="1"/>
  <c r="C89" i="1" s="1"/>
  <c r="M76" i="1" s="1"/>
  <c r="M81" i="1" s="1"/>
  <c r="M6" i="1"/>
  <c r="AQ14" i="2"/>
  <c r="AP14" i="2"/>
  <c r="AO14" i="2"/>
  <c r="L15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T14" i="1"/>
  <c r="S14" i="1"/>
  <c r="R14" i="1"/>
  <c r="Q14" i="1"/>
  <c r="P14" i="1"/>
  <c r="O14" i="1"/>
  <c r="N14" i="1"/>
  <c r="C71" i="1" s="1"/>
  <c r="C81" i="1" s="1"/>
  <c r="C86" i="1" s="1"/>
  <c r="M14" i="1"/>
  <c r="AQ22" i="2"/>
  <c r="AP22" i="2"/>
  <c r="AO22" i="2"/>
  <c r="L23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T22" i="1"/>
  <c r="S22" i="1"/>
  <c r="R22" i="1"/>
  <c r="Q22" i="1"/>
  <c r="P22" i="1"/>
  <c r="O22" i="1"/>
  <c r="N22" i="1"/>
  <c r="C70" i="1" s="1"/>
  <c r="I80" i="1" s="1"/>
  <c r="M22" i="1"/>
  <c r="AQ30" i="2"/>
  <c r="AP30" i="2"/>
  <c r="AO30" i="2"/>
  <c r="L31" i="1"/>
  <c r="T33" i="1"/>
  <c r="S33" i="1"/>
  <c r="R33" i="1"/>
  <c r="Q33" i="1"/>
  <c r="P33" i="1"/>
  <c r="O33" i="1"/>
  <c r="N33" i="1"/>
  <c r="M33" i="1"/>
  <c r="T32" i="1"/>
  <c r="S32" i="1"/>
  <c r="R32" i="1"/>
  <c r="Q32" i="1"/>
  <c r="P32" i="1"/>
  <c r="O32" i="1"/>
  <c r="N32" i="1"/>
  <c r="M32" i="1"/>
  <c r="T30" i="1"/>
  <c r="S30" i="1"/>
  <c r="R30" i="1"/>
  <c r="Q30" i="1"/>
  <c r="P30" i="1"/>
  <c r="O30" i="1"/>
  <c r="N30" i="1"/>
  <c r="C72" i="1" s="1"/>
  <c r="M30" i="1"/>
  <c r="AQ38" i="2"/>
  <c r="AP38" i="2"/>
  <c r="AO38" i="2"/>
  <c r="L39" i="1"/>
  <c r="T41" i="1"/>
  <c r="S41" i="1"/>
  <c r="R41" i="1"/>
  <c r="Q41" i="1"/>
  <c r="P41" i="1"/>
  <c r="O41" i="1"/>
  <c r="N41" i="1"/>
  <c r="M41" i="1"/>
  <c r="T40" i="1"/>
  <c r="S40" i="1"/>
  <c r="R40" i="1"/>
  <c r="Q40" i="1"/>
  <c r="P40" i="1"/>
  <c r="O40" i="1"/>
  <c r="N40" i="1"/>
  <c r="M40" i="1"/>
  <c r="T38" i="1"/>
  <c r="S38" i="1"/>
  <c r="R38" i="1"/>
  <c r="Q38" i="1"/>
  <c r="P38" i="1"/>
  <c r="O38" i="1"/>
  <c r="N38" i="1"/>
  <c r="C73" i="1" s="1"/>
  <c r="C79" i="1" s="1"/>
  <c r="I85" i="1" s="1"/>
  <c r="M38" i="1"/>
  <c r="AQ46" i="2"/>
  <c r="AP46" i="2"/>
  <c r="AO46" i="2"/>
  <c r="L47" i="1"/>
  <c r="T49" i="1"/>
  <c r="S49" i="1"/>
  <c r="R49" i="1"/>
  <c r="Q49" i="1"/>
  <c r="P49" i="1"/>
  <c r="O49" i="1"/>
  <c r="N49" i="1"/>
  <c r="M49" i="1"/>
  <c r="T48" i="1"/>
  <c r="S48" i="1"/>
  <c r="R48" i="1"/>
  <c r="Q48" i="1"/>
  <c r="P48" i="1"/>
  <c r="O48" i="1"/>
  <c r="N48" i="1"/>
  <c r="M48" i="1"/>
  <c r="T46" i="1"/>
  <c r="S46" i="1"/>
  <c r="R46" i="1"/>
  <c r="Q46" i="1"/>
  <c r="P46" i="1"/>
  <c r="O46" i="1"/>
  <c r="N46" i="1"/>
  <c r="C76" i="1" s="1"/>
  <c r="C82" i="1" s="1"/>
  <c r="M46" i="1"/>
  <c r="AQ54" i="2"/>
  <c r="AP54" i="2"/>
  <c r="AO54" i="2"/>
  <c r="L55" i="1"/>
  <c r="T57" i="1"/>
  <c r="S57" i="1"/>
  <c r="R57" i="1"/>
  <c r="Q57" i="1"/>
  <c r="P57" i="1"/>
  <c r="O57" i="1"/>
  <c r="N57" i="1"/>
  <c r="M57" i="1"/>
  <c r="T56" i="1"/>
  <c r="S56" i="1"/>
  <c r="R56" i="1"/>
  <c r="Q56" i="1"/>
  <c r="P56" i="1"/>
  <c r="O56" i="1"/>
  <c r="N56" i="1"/>
  <c r="M56" i="1"/>
  <c r="T54" i="1"/>
  <c r="S54" i="1"/>
  <c r="R54" i="1"/>
  <c r="Q54" i="1"/>
  <c r="P54" i="1"/>
  <c r="O54" i="1"/>
  <c r="N54" i="1"/>
  <c r="C74" i="1" s="1"/>
  <c r="I79" i="1" s="1"/>
  <c r="M54" i="1"/>
  <c r="AQ62" i="2"/>
  <c r="AP62" i="2"/>
  <c r="AO62" i="2"/>
  <c r="L63" i="1"/>
  <c r="T65" i="1"/>
  <c r="S65" i="1"/>
  <c r="R65" i="1"/>
  <c r="Q65" i="1"/>
  <c r="P65" i="1"/>
  <c r="O65" i="1"/>
  <c r="N65" i="1"/>
  <c r="M65" i="1"/>
  <c r="T64" i="1"/>
  <c r="S64" i="1"/>
  <c r="R64" i="1"/>
  <c r="Q64" i="1"/>
  <c r="P64" i="1"/>
  <c r="O64" i="1"/>
  <c r="N64" i="1"/>
  <c r="M64" i="1"/>
  <c r="T62" i="1"/>
  <c r="S62" i="1"/>
  <c r="R62" i="1"/>
  <c r="Q62" i="1"/>
  <c r="P62" i="1"/>
  <c r="O62" i="1"/>
  <c r="N62" i="1"/>
  <c r="C75" i="1" s="1"/>
  <c r="I82" i="1" s="1"/>
  <c r="I86" i="1" s="1"/>
  <c r="I89" i="1" s="1"/>
  <c r="M62" i="1"/>
  <c r="T63" i="1" l="1"/>
  <c r="S63" i="1"/>
  <c r="R63" i="1"/>
  <c r="Q63" i="1"/>
  <c r="P63" i="1"/>
  <c r="O63" i="1"/>
  <c r="N63" i="1"/>
  <c r="I74" i="1" s="1"/>
  <c r="M63" i="1"/>
  <c r="T55" i="1"/>
  <c r="S55" i="1"/>
  <c r="R55" i="1"/>
  <c r="Q55" i="1"/>
  <c r="P55" i="1"/>
  <c r="O55" i="1"/>
  <c r="N55" i="1"/>
  <c r="I75" i="1" s="1"/>
  <c r="M55" i="1"/>
  <c r="T47" i="1"/>
  <c r="S47" i="1"/>
  <c r="R47" i="1"/>
  <c r="Q47" i="1"/>
  <c r="P47" i="1"/>
  <c r="O47" i="1"/>
  <c r="N47" i="1"/>
  <c r="I73" i="1" s="1"/>
  <c r="M47" i="1"/>
  <c r="T39" i="1"/>
  <c r="S39" i="1"/>
  <c r="R39" i="1"/>
  <c r="Q39" i="1"/>
  <c r="P39" i="1"/>
  <c r="O39" i="1"/>
  <c r="N39" i="1"/>
  <c r="I76" i="1" s="1"/>
  <c r="M39" i="1"/>
  <c r="T31" i="1"/>
  <c r="S31" i="1"/>
  <c r="R31" i="1"/>
  <c r="Q31" i="1"/>
  <c r="P31" i="1"/>
  <c r="O31" i="1"/>
  <c r="N31" i="1"/>
  <c r="I70" i="1" s="1"/>
  <c r="M31" i="1"/>
  <c r="T23" i="1"/>
  <c r="S23" i="1"/>
  <c r="R23" i="1"/>
  <c r="Q23" i="1"/>
  <c r="P23" i="1"/>
  <c r="O23" i="1"/>
  <c r="N23" i="1"/>
  <c r="I72" i="1" s="1"/>
  <c r="I81" i="1" s="1"/>
  <c r="M23" i="1"/>
  <c r="T15" i="1"/>
  <c r="S15" i="1"/>
  <c r="R15" i="1"/>
  <c r="Q15" i="1"/>
  <c r="P15" i="1"/>
  <c r="O15" i="1"/>
  <c r="N15" i="1"/>
  <c r="I69" i="1" s="1"/>
  <c r="M15" i="1"/>
  <c r="T7" i="1"/>
  <c r="S7" i="1"/>
  <c r="R7" i="1"/>
  <c r="Q7" i="1"/>
  <c r="P7" i="1"/>
  <c r="O7" i="1"/>
  <c r="N7" i="1"/>
  <c r="I71" i="1" s="1"/>
  <c r="M7" i="1"/>
</calcChain>
</file>

<file path=xl/sharedStrings.xml><?xml version="1.0" encoding="utf-8"?>
<sst xmlns="http://schemas.openxmlformats.org/spreadsheetml/2006/main" count="621" uniqueCount="92">
  <si>
    <t xml:space="preserve">NOME: </t>
  </si>
  <si>
    <t>FELIPE GIANNONI</t>
  </si>
  <si>
    <t>Primeira fase            GRUPO A</t>
  </si>
  <si>
    <t xml:space="preserve"> </t>
  </si>
  <si>
    <t>21h</t>
  </si>
  <si>
    <t>Al Ahly</t>
  </si>
  <si>
    <t>x</t>
  </si>
  <si>
    <t>Inter Miami</t>
  </si>
  <si>
    <t>Classificação do grupo A</t>
  </si>
  <si>
    <t>19h</t>
  </si>
  <si>
    <t>Palmeiras</t>
  </si>
  <si>
    <t xml:space="preserve">Porto </t>
  </si>
  <si>
    <t>PT</t>
  </si>
  <si>
    <t>J</t>
  </si>
  <si>
    <t>V</t>
  </si>
  <si>
    <t>E</t>
  </si>
  <si>
    <t>D</t>
  </si>
  <si>
    <t>GP</t>
  </si>
  <si>
    <t>GC</t>
  </si>
  <si>
    <t>SG</t>
  </si>
  <si>
    <t>13h</t>
  </si>
  <si>
    <t>16h</t>
  </si>
  <si>
    <t>22h</t>
  </si>
  <si>
    <t>Porto</t>
  </si>
  <si>
    <t>Primeira fase          GRUPO B</t>
  </si>
  <si>
    <t>Paris Saint-Germain</t>
  </si>
  <si>
    <t>Atlético de Madrid</t>
  </si>
  <si>
    <t>Classificação do grupo B</t>
  </si>
  <si>
    <t>23h</t>
  </si>
  <si>
    <t>Botafogo</t>
  </si>
  <si>
    <t>Seattle Sounders</t>
  </si>
  <si>
    <t>Primeira fase          GRUPO C</t>
  </si>
  <si>
    <t>Bayern de Munique</t>
  </si>
  <si>
    <t>Auckland City</t>
  </si>
  <si>
    <t>Classificação do grupo C</t>
  </si>
  <si>
    <t>Boca Juniors</t>
  </si>
  <si>
    <t>Benfica</t>
  </si>
  <si>
    <t>Primeira fase         GRUPO D</t>
  </si>
  <si>
    <t>Chelsea</t>
  </si>
  <si>
    <t>Los Angeles FC</t>
  </si>
  <si>
    <t>Classificação do grupo D</t>
  </si>
  <si>
    <t>Flamengo</t>
  </si>
  <si>
    <t>Espérance</t>
  </si>
  <si>
    <t>15h</t>
  </si>
  <si>
    <t>Primeira fase       GRUPO E</t>
  </si>
  <si>
    <t>River Plate</t>
  </si>
  <si>
    <t>Urawa Reds</t>
  </si>
  <si>
    <t>Classificação do grupo E</t>
  </si>
  <si>
    <t>Monterrey</t>
  </si>
  <si>
    <t>Internazionale</t>
  </si>
  <si>
    <t>Primeira fase       GRUPO F</t>
  </si>
  <si>
    <t>Fluminense</t>
  </si>
  <si>
    <t>Borussia Dortmund</t>
  </si>
  <si>
    <t>Classificação do grupo F</t>
  </si>
  <si>
    <t>Ulsan HD</t>
  </si>
  <si>
    <t>Mamelodi Sundowns</t>
  </si>
  <si>
    <t>Primeira fase       GRUPO G</t>
  </si>
  <si>
    <t>Manchester City</t>
  </si>
  <si>
    <t>Wydad Casablanca</t>
  </si>
  <si>
    <t>Classificação do grupo G</t>
  </si>
  <si>
    <t>Al-Ain</t>
  </si>
  <si>
    <t>Juventus</t>
  </si>
  <si>
    <t>Primeira fase       GRUPO H</t>
  </si>
  <si>
    <t>Real Madrid</t>
  </si>
  <si>
    <t>Al-Hilal</t>
  </si>
  <si>
    <t>Classificação do grupo H</t>
  </si>
  <si>
    <t>Pachuca</t>
  </si>
  <si>
    <t>RB Salzburg</t>
  </si>
  <si>
    <t>Oitavas de final</t>
  </si>
  <si>
    <t>PEN</t>
  </si>
  <si>
    <t>Tempo normal</t>
  </si>
  <si>
    <t>17h</t>
  </si>
  <si>
    <t>Quartas de final</t>
  </si>
  <si>
    <t>Semifinal</t>
  </si>
  <si>
    <t>BD</t>
  </si>
  <si>
    <t>Final</t>
  </si>
  <si>
    <t>1º</t>
  </si>
  <si>
    <t>Artilheiro do Mundial</t>
  </si>
  <si>
    <t>MBAPPÉ</t>
  </si>
  <si>
    <t>Grupo A</t>
  </si>
  <si>
    <t>Pontos ganhos</t>
  </si>
  <si>
    <t>Pontos Ganhos</t>
  </si>
  <si>
    <t>Saldo de gols</t>
  </si>
  <si>
    <t>Time</t>
  </si>
  <si>
    <t>pt</t>
  </si>
  <si>
    <t>Grupo B</t>
  </si>
  <si>
    <t>Grupo C</t>
  </si>
  <si>
    <t>Grupo D</t>
  </si>
  <si>
    <t>Grupo E</t>
  </si>
  <si>
    <t>Grupo F</t>
  </si>
  <si>
    <t>Grupo G</t>
  </si>
  <si>
    <t>Grupo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</si>
</sst>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h:mm\ \a"/>
    <numFmt numFmtId="166" formatCode="_-* #,##0.00\ &quot;Esc.&quot;_-;\-* #,##0.00\ &quot;Esc.&quot;_-;_-* &quot;-&quot;??\ &quot;Esc.&quot;_-;_-@"/>
  </numFmts>
  <fonts count="51">
    <font>
      <sz val="10"/>
      <color rgb="FF000000"/>
      <name val="Arial"/>
      <scheme val="minor"/>
    </font>
    <font>
      <sz val="24"/>
      <color rgb="FF993366"/>
      <name val="Arial"/>
    </font>
    <font>
      <sz val="10"/>
      <name val="Arial"/>
    </font>
    <font>
      <sz val="9"/>
      <color rgb="FF993366"/>
      <name val="Arial"/>
    </font>
    <font>
      <sz val="24"/>
      <name val="Arial"/>
    </font>
    <font>
      <sz val="24"/>
      <color rgb="FF974806"/>
      <name val="Arial"/>
    </font>
    <font>
      <b/>
      <sz val="9"/>
      <color rgb="FF974806"/>
      <name val="Arial"/>
    </font>
    <font>
      <sz val="10"/>
      <color rgb="FF993300"/>
      <name val="Arial"/>
    </font>
    <font>
      <sz val="8"/>
      <color rgb="FF993300"/>
      <name val="Arial"/>
    </font>
    <font>
      <sz val="9"/>
      <color rgb="FF974806"/>
      <name val="Arial"/>
    </font>
    <font>
      <sz val="10"/>
      <color rgb="FF0066CC"/>
      <name val="Arial"/>
    </font>
    <font>
      <sz val="8"/>
      <color rgb="FF993366"/>
      <name val="Arial"/>
    </font>
    <font>
      <sz val="8"/>
      <color rgb="FF974806"/>
      <name val="Arial"/>
    </font>
    <font>
      <b/>
      <sz val="10"/>
      <color rgb="FF993300"/>
      <name val="Arial"/>
    </font>
    <font>
      <sz val="10"/>
      <color rgb="FF008080"/>
      <name val="Arial"/>
    </font>
    <font>
      <b/>
      <sz val="8"/>
      <name val="Arial"/>
    </font>
    <font>
      <sz val="10"/>
      <color rgb="FF003366"/>
      <name val="Arial"/>
    </font>
    <font>
      <sz val="10"/>
      <color rgb="FF993366"/>
      <name val="Verdana"/>
    </font>
    <font>
      <sz val="10"/>
      <name val="Verdana"/>
    </font>
    <font>
      <sz val="10"/>
      <color rgb="FF974806"/>
      <name val="Arial"/>
    </font>
    <font>
      <sz val="10"/>
      <color rgb="FF003366"/>
      <name val="Verdana"/>
    </font>
    <font>
      <b/>
      <sz val="10"/>
      <color rgb="FF974806"/>
      <name val="Verdana"/>
    </font>
    <font>
      <b/>
      <sz val="9"/>
      <name val="Arial"/>
    </font>
    <font>
      <sz val="10"/>
      <color rgb="FF993366"/>
      <name val="Arial"/>
    </font>
    <font>
      <sz val="8"/>
      <color rgb="FF974806"/>
      <name val="Verdana"/>
    </font>
    <font>
      <b/>
      <sz val="9"/>
      <color rgb="FF595959"/>
      <name val="Arial"/>
    </font>
    <font>
      <sz val="9"/>
      <color rgb="FF974806"/>
      <name val="Verdana"/>
    </font>
    <font>
      <sz val="10"/>
      <color rgb="FF974806"/>
      <name val="Verdana"/>
    </font>
    <font>
      <sz val="12"/>
      <color rgb="FF993366"/>
      <name val="Arial"/>
    </font>
    <font>
      <sz val="12"/>
      <name val="Arial"/>
    </font>
    <font>
      <b/>
      <sz val="8"/>
      <color rgb="FF666699"/>
      <name val="Arial"/>
    </font>
    <font>
      <b/>
      <sz val="10"/>
      <color rgb="FF974806"/>
      <name val="Arial"/>
    </font>
    <font>
      <sz val="6"/>
      <color rgb="FF974806"/>
      <name val="Arial"/>
    </font>
    <font>
      <sz val="10"/>
      <color rgb="FFDD0806"/>
      <name val="Arial"/>
    </font>
    <font>
      <sz val="8"/>
      <name val="Arial"/>
    </font>
    <font>
      <u/>
      <sz val="10"/>
      <color rgb="FF008080"/>
      <name val="Arial"/>
    </font>
    <font>
      <sz val="10"/>
      <color rgb="FF953734"/>
      <name val="Arial"/>
    </font>
    <font>
      <b/>
      <sz val="22"/>
      <color rgb="FF974806"/>
      <name val="Aptos"/>
    </font>
    <font>
      <sz val="8"/>
      <color rgb="FF9999FF"/>
      <name val="Arial"/>
    </font>
    <font>
      <sz val="10"/>
      <color rgb="FF333399"/>
      <name val="Verdana"/>
    </font>
    <font>
      <sz val="9"/>
      <name val="Arial"/>
    </font>
    <font>
      <sz val="16"/>
      <color rgb="FF333399"/>
      <name val="Arial"/>
    </font>
    <font>
      <sz val="10"/>
      <color rgb="FF333399"/>
      <name val="Arial"/>
    </font>
    <font>
      <sz val="10"/>
      <color rgb="FF333300"/>
      <name val="Arial"/>
    </font>
    <font>
      <sz val="10"/>
      <color rgb="FFCCFFFF"/>
      <name val="Arial"/>
    </font>
    <font>
      <sz val="8"/>
      <color rgb="FF666699"/>
      <name val="Arial"/>
    </font>
    <font>
      <b/>
      <sz val="10"/>
      <name val="Arial"/>
    </font>
    <font>
      <sz val="9"/>
      <color rgb="FFC0C0C0"/>
      <name val="Arial"/>
    </font>
    <font>
      <u/>
      <sz val="8"/>
      <color rgb="FF974806"/>
      <name val="Arial"/>
    </font>
    <font>
      <b/>
      <sz val="8"/>
      <color rgb="FF974806"/>
      <name val="Verdana"/>
    </font>
    <font>
      <b/>
      <sz val="8"/>
      <color rgb="FF974806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000000"/>
        <bgColor rgb="FF000000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10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0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1" fillId="0" borderId="0" xfId="0" applyFont="1" applyAlignment="1"/>
    <xf numFmtId="0" fontId="33" fillId="0" borderId="4" xfId="0" applyFont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5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0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9" fillId="0" borderId="0" xfId="0" applyFont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9" fillId="0" borderId="12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5" fontId="12" fillId="0" borderId="12" xfId="0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164" fontId="15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64" fontId="23" fillId="0" borderId="6" xfId="0" applyNumberFormat="1" applyFont="1" applyBorder="1" applyAlignment="1">
      <alignment horizontal="center" vertical="center" wrapText="1"/>
    </xf>
    <xf numFmtId="20" fontId="23" fillId="0" borderId="6" xfId="0" applyNumberFormat="1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165" fontId="12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20" fontId="15" fillId="0" borderId="7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164" fontId="30" fillId="0" borderId="5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164" fontId="38" fillId="0" borderId="12" xfId="0" applyNumberFormat="1" applyFont="1" applyBorder="1" applyAlignment="1">
      <alignment horizontal="center" vertical="center" wrapText="1"/>
    </xf>
    <xf numFmtId="20" fontId="38" fillId="0" borderId="12" xfId="0" applyNumberFormat="1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164" fontId="38" fillId="0" borderId="7" xfId="0" applyNumberFormat="1" applyFont="1" applyBorder="1" applyAlignment="1">
      <alignment horizontal="center" vertical="center" wrapText="1"/>
    </xf>
    <xf numFmtId="20" fontId="38" fillId="0" borderId="7" xfId="0" applyNumberFormat="1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43" fillId="0" borderId="12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164" fontId="45" fillId="0" borderId="8" xfId="0" applyNumberFormat="1" applyFont="1" applyBorder="1" applyAlignment="1">
      <alignment horizontal="center" vertical="center" wrapText="1"/>
    </xf>
    <xf numFmtId="20" fontId="45" fillId="0" borderId="9" xfId="0" applyNumberFormat="1" applyFont="1" applyBorder="1" applyAlignment="1">
      <alignment horizontal="center" vertical="center" wrapText="1"/>
    </xf>
    <xf numFmtId="164" fontId="47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6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/>
    <xf numFmtId="0" fontId="6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2" fillId="0" borderId="7" xfId="0" applyFont="1" applyBorder="1" applyAlignment="1"/>
    <xf numFmtId="0" fontId="1" fillId="0" borderId="7" xfId="0" applyFont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64" fontId="31" fillId="0" borderId="5" xfId="0" applyNumberFormat="1" applyFont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10" xfId="0" applyFont="1" applyBorder="1" applyAlignment="1"/>
    <xf numFmtId="0" fontId="41" fillId="0" borderId="7" xfId="0" applyFont="1" applyBorder="1" applyAlignment="1">
      <alignment horizontal="center" vertical="center" wrapText="1"/>
    </xf>
    <xf numFmtId="0" fontId="0" fillId="0" borderId="0" xfId="0" applyFont="1" applyAlignment="1"/>
    <xf numFmtId="164" fontId="31" fillId="0" borderId="5" xfId="0" applyNumberFormat="1" applyFont="1" applyBorder="1" applyAlignment="1">
      <alignment horizontal="center" vertical="center" wrapText="1"/>
    </xf>
    <xf numFmtId="164" fontId="46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/>
    <xf numFmtId="0" fontId="46" fillId="0" borderId="8" xfId="0" applyFont="1" applyBorder="1" applyAlignment="1">
      <alignment horizontal="center" vertical="center" wrapText="1"/>
    </xf>
    <xf numFmtId="0" fontId="2" fillId="0" borderId="13" xfId="0" applyFont="1" applyBorder="1" applyAlignment="1"/>
    <xf numFmtId="0" fontId="35" fillId="0" borderId="7" xfId="0" applyFont="1" applyBorder="1" applyAlignment="1">
      <alignment horizontal="center" vertical="center" wrapText="1"/>
    </xf>
    <xf numFmtId="166" fontId="37" fillId="0" borderId="0" xfId="0" applyNumberFormat="1" applyFont="1" applyAlignment="1">
      <alignment horizontal="center" vertical="center"/>
    </xf>
    <xf numFmtId="0" fontId="32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/>
    </xf>
    <xf numFmtId="0" fontId="48" fillId="3" borderId="7" xfId="0" applyFont="1" applyFill="1" applyBorder="1" applyAlignment="1">
      <alignment horizontal="center"/>
    </xf>
  </cellXfs>
  <cellStyles count="1">
    <cellStyle name="Normal" xfId="0" builtinId="0"/>
  </cellStyles>
  <dxfs count="3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67700" cy="26765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"/>
  <sheetViews>
    <sheetView tabSelected="1" workbookViewId="0"/>
  </sheetViews>
  <sheetFormatPr defaultColWidth="14.42578125" defaultRowHeight="15" customHeight="1"/>
  <cols>
    <col min="1" max="1" width="8.85546875" customWidth="1"/>
    <col min="2" max="2" width="7.42578125" customWidth="1"/>
    <col min="3" max="3" width="16.140625" customWidth="1"/>
    <col min="4" max="4" width="4.42578125" customWidth="1"/>
    <col min="5" max="5" width="3.42578125" customWidth="1"/>
    <col min="6" max="6" width="2.5703125" customWidth="1"/>
    <col min="7" max="7" width="3.42578125" customWidth="1"/>
    <col min="8" max="8" width="4.42578125" customWidth="1"/>
    <col min="9" max="9" width="16.5703125" customWidth="1"/>
    <col min="10" max="10" width="3.42578125" customWidth="1"/>
    <col min="11" max="11" width="8.85546875" customWidth="1"/>
    <col min="12" max="12" width="15.85546875" customWidth="1"/>
    <col min="13" max="14" width="5.140625" customWidth="1"/>
    <col min="15" max="17" width="2.85546875" customWidth="1"/>
    <col min="18" max="20" width="3.42578125" customWidth="1"/>
    <col min="21" max="26" width="9.140625" customWidth="1"/>
  </cols>
  <sheetData>
    <row r="1" spans="1:26" ht="209.25" customHeight="1">
      <c r="A1" s="26"/>
      <c r="B1" s="27"/>
      <c r="C1" s="117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28"/>
      <c r="V1" s="29"/>
      <c r="W1" s="29"/>
      <c r="X1" s="29"/>
      <c r="Y1" s="29"/>
      <c r="Z1" s="29"/>
    </row>
    <row r="2" spans="1:26" ht="30" customHeight="1">
      <c r="A2" s="118" t="s">
        <v>0</v>
      </c>
      <c r="B2" s="119"/>
      <c r="C2" s="120" t="s">
        <v>1</v>
      </c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28"/>
      <c r="V2" s="29"/>
      <c r="W2" s="26"/>
      <c r="X2" s="29"/>
      <c r="Y2" s="29"/>
      <c r="Z2" s="29"/>
    </row>
    <row r="3" spans="1:26" ht="13.5" customHeight="1">
      <c r="A3" s="112" t="s">
        <v>2</v>
      </c>
      <c r="B3" s="113"/>
      <c r="C3" s="113"/>
      <c r="D3" s="30"/>
      <c r="E3" s="121"/>
      <c r="F3" s="113"/>
      <c r="G3" s="113"/>
      <c r="H3" s="30"/>
      <c r="I3" s="31"/>
      <c r="J3" s="1"/>
      <c r="K3" s="32"/>
      <c r="L3" s="33"/>
      <c r="M3" s="34"/>
      <c r="N3" s="34"/>
      <c r="O3" s="34"/>
      <c r="P3" s="34"/>
      <c r="Q3" s="30"/>
      <c r="R3" s="35"/>
      <c r="S3" s="35"/>
      <c r="T3" s="36"/>
      <c r="U3" s="2"/>
      <c r="V3" s="29"/>
      <c r="W3" s="29" t="s">
        <v>3</v>
      </c>
      <c r="X3" s="29"/>
      <c r="Y3" s="29"/>
      <c r="Z3" s="29"/>
    </row>
    <row r="4" spans="1:26" ht="13.5" customHeight="1">
      <c r="A4" s="37">
        <v>45822</v>
      </c>
      <c r="B4" s="7" t="s">
        <v>4</v>
      </c>
      <c r="C4" s="38" t="s">
        <v>5</v>
      </c>
      <c r="D4" s="3"/>
      <c r="E4" s="39">
        <v>1</v>
      </c>
      <c r="F4" s="40" t="s">
        <v>6</v>
      </c>
      <c r="G4" s="9">
        <v>1</v>
      </c>
      <c r="H4" s="39"/>
      <c r="I4" s="41" t="s">
        <v>7</v>
      </c>
      <c r="J4" s="1"/>
      <c r="K4" s="42"/>
      <c r="L4" s="123" t="s">
        <v>8</v>
      </c>
      <c r="M4" s="124"/>
      <c r="N4" s="124"/>
      <c r="O4" s="124"/>
      <c r="P4" s="124"/>
      <c r="Q4" s="124"/>
      <c r="R4" s="124"/>
      <c r="S4" s="124"/>
      <c r="T4" s="125"/>
      <c r="U4" s="2"/>
      <c r="V4" s="29"/>
      <c r="W4" s="29"/>
      <c r="X4" s="29"/>
      <c r="Y4" s="29"/>
      <c r="Z4" s="29"/>
    </row>
    <row r="5" spans="1:26" ht="13.5" customHeight="1">
      <c r="A5" s="37">
        <v>45823</v>
      </c>
      <c r="B5" s="7" t="s">
        <v>9</v>
      </c>
      <c r="C5" s="38" t="s">
        <v>10</v>
      </c>
      <c r="D5" s="4"/>
      <c r="E5" s="39">
        <v>2</v>
      </c>
      <c r="F5" s="40" t="s">
        <v>6</v>
      </c>
      <c r="G5" s="9">
        <v>1</v>
      </c>
      <c r="H5" s="39"/>
      <c r="I5" s="41" t="s">
        <v>11</v>
      </c>
      <c r="J5" s="1"/>
      <c r="K5" s="78"/>
      <c r="L5" s="43"/>
      <c r="M5" s="44" t="s">
        <v>12</v>
      </c>
      <c r="N5" s="44" t="s">
        <v>13</v>
      </c>
      <c r="O5" s="44" t="s">
        <v>14</v>
      </c>
      <c r="P5" s="44" t="s">
        <v>15</v>
      </c>
      <c r="Q5" s="44" t="s">
        <v>16</v>
      </c>
      <c r="R5" s="44" t="s">
        <v>17</v>
      </c>
      <c r="S5" s="44" t="s">
        <v>18</v>
      </c>
      <c r="T5" s="5" t="s">
        <v>19</v>
      </c>
      <c r="U5" s="2"/>
      <c r="V5" s="29"/>
      <c r="W5" s="29"/>
      <c r="X5" s="29"/>
      <c r="Y5" s="29"/>
      <c r="Z5" s="29"/>
    </row>
    <row r="6" spans="1:26" ht="13.5" customHeight="1">
      <c r="A6" s="37">
        <v>45827</v>
      </c>
      <c r="B6" s="7" t="s">
        <v>20</v>
      </c>
      <c r="C6" s="38" t="s">
        <v>10</v>
      </c>
      <c r="D6" s="3"/>
      <c r="E6" s="39">
        <v>2</v>
      </c>
      <c r="F6" s="40" t="s">
        <v>6</v>
      </c>
      <c r="G6" s="9">
        <v>0</v>
      </c>
      <c r="H6" s="45"/>
      <c r="I6" s="41" t="s">
        <v>5</v>
      </c>
      <c r="J6" s="1"/>
      <c r="K6" s="78"/>
      <c r="L6" s="46" t="str">
        <f>Jogos!AN5</f>
        <v>Palmeiras</v>
      </c>
      <c r="M6" s="47">
        <f>VLOOKUP($L6,Jogos!$A$5:$I$8,2,FALSE)</f>
        <v>9</v>
      </c>
      <c r="N6" s="47">
        <f>VLOOKUP($L6,Jogos!$A$5:$I$8,3,FALSE)</f>
        <v>3</v>
      </c>
      <c r="O6" s="47">
        <f>VLOOKUP($L6,Jogos!$A$5:$I$8,4,FALSE)</f>
        <v>3</v>
      </c>
      <c r="P6" s="47">
        <f>VLOOKUP($L6,Jogos!$A$5:$I$8,5,FALSE)</f>
        <v>0</v>
      </c>
      <c r="Q6" s="47">
        <f>VLOOKUP($L6,Jogos!$A$5:$I$8,6,FALSE)</f>
        <v>0</v>
      </c>
      <c r="R6" s="47">
        <f>VLOOKUP($L6,Jogos!$A$5:$I$8,7,FALSE)</f>
        <v>7</v>
      </c>
      <c r="S6" s="47">
        <f>VLOOKUP($L6,Jogos!$A$5:$I$8,8,FALSE)</f>
        <v>2</v>
      </c>
      <c r="T6" s="47">
        <f>VLOOKUP($L6,Jogos!$A$5:$I$8,9,FALSE)</f>
        <v>5</v>
      </c>
      <c r="U6" s="2"/>
      <c r="V6" s="29"/>
      <c r="W6" s="29"/>
      <c r="X6" s="29" t="s">
        <v>3</v>
      </c>
      <c r="Y6" s="29"/>
      <c r="Z6" s="29"/>
    </row>
    <row r="7" spans="1:26" ht="13.5" customHeight="1">
      <c r="A7" s="37">
        <v>45827</v>
      </c>
      <c r="B7" s="7" t="s">
        <v>21</v>
      </c>
      <c r="C7" s="38" t="s">
        <v>7</v>
      </c>
      <c r="D7" s="3"/>
      <c r="E7" s="39">
        <v>1</v>
      </c>
      <c r="F7" s="40" t="s">
        <v>6</v>
      </c>
      <c r="G7" s="48">
        <v>3</v>
      </c>
      <c r="H7" s="45"/>
      <c r="I7" s="41" t="s">
        <v>11</v>
      </c>
      <c r="J7" s="1"/>
      <c r="K7" s="78"/>
      <c r="L7" s="46" t="str">
        <f>Jogos!AN6</f>
        <v>Porto</v>
      </c>
      <c r="M7" s="47">
        <f>VLOOKUP($L7,Jogos!$A$5:$I$8,2,FALSE)</f>
        <v>6</v>
      </c>
      <c r="N7" s="47">
        <f>VLOOKUP($L7,Jogos!$A$5:$I$8,3,FALSE)</f>
        <v>3</v>
      </c>
      <c r="O7" s="47">
        <f>VLOOKUP($L7,Jogos!$A$5:$I$8,4,FALSE)</f>
        <v>2</v>
      </c>
      <c r="P7" s="47">
        <f>VLOOKUP($L7,Jogos!$A$5:$I$8,5,FALSE)</f>
        <v>0</v>
      </c>
      <c r="Q7" s="47">
        <f>VLOOKUP($L7,Jogos!$A$5:$I$8,6,FALSE)</f>
        <v>1</v>
      </c>
      <c r="R7" s="47">
        <f>VLOOKUP($L7,Jogos!$A$5:$I$8,7,FALSE)</f>
        <v>5</v>
      </c>
      <c r="S7" s="47">
        <f>VLOOKUP($L7,Jogos!$A$5:$I$8,8,FALSE)</f>
        <v>3</v>
      </c>
      <c r="T7" s="47">
        <f>VLOOKUP($L7,Jogos!$A$5:$I$8,9,FALSE)</f>
        <v>2</v>
      </c>
      <c r="U7" s="2"/>
      <c r="V7" s="29"/>
      <c r="W7" s="29"/>
      <c r="X7" s="29"/>
      <c r="Y7" s="29"/>
      <c r="Z7" s="29"/>
    </row>
    <row r="8" spans="1:26" ht="13.5" customHeight="1">
      <c r="A8" s="37">
        <v>45831</v>
      </c>
      <c r="B8" s="7" t="s">
        <v>22</v>
      </c>
      <c r="C8" s="38" t="s">
        <v>7</v>
      </c>
      <c r="D8" s="4"/>
      <c r="E8" s="39">
        <v>1</v>
      </c>
      <c r="F8" s="40" t="s">
        <v>6</v>
      </c>
      <c r="G8" s="48">
        <v>3</v>
      </c>
      <c r="H8" s="39"/>
      <c r="I8" s="41" t="s">
        <v>10</v>
      </c>
      <c r="J8" s="1"/>
      <c r="K8" s="78"/>
      <c r="L8" s="46" t="str">
        <f>Jogos!AN7</f>
        <v>Al Ahly</v>
      </c>
      <c r="M8" s="47">
        <f>VLOOKUP($L8,Jogos!$A$5:$I$8,2,FALSE)</f>
        <v>1</v>
      </c>
      <c r="N8" s="47">
        <f>VLOOKUP($L8,Jogos!$A$5:$I$8,3,FALSE)</f>
        <v>3</v>
      </c>
      <c r="O8" s="47">
        <f>VLOOKUP($L8,Jogos!$A$5:$I$8,4,FALSE)</f>
        <v>0</v>
      </c>
      <c r="P8" s="47">
        <f>VLOOKUP($L8,Jogos!$A$5:$I$8,5,FALSE)</f>
        <v>1</v>
      </c>
      <c r="Q8" s="47">
        <f>VLOOKUP($L8,Jogos!$A$5:$I$8,6,FALSE)</f>
        <v>2</v>
      </c>
      <c r="R8" s="47">
        <f>VLOOKUP($L8,Jogos!$A$5:$I$8,7,FALSE)</f>
        <v>1</v>
      </c>
      <c r="S8" s="47">
        <f>VLOOKUP($L8,Jogos!$A$5:$I$8,8,FALSE)</f>
        <v>4</v>
      </c>
      <c r="T8" s="47">
        <f>VLOOKUP($L8,Jogos!$A$5:$I$8,9,FALSE)</f>
        <v>-3</v>
      </c>
      <c r="U8" s="2"/>
      <c r="V8" s="29"/>
      <c r="W8" s="29"/>
      <c r="X8" s="29"/>
      <c r="Y8" s="29"/>
      <c r="Z8" s="29"/>
    </row>
    <row r="9" spans="1:26" ht="13.5" customHeight="1">
      <c r="A9" s="37">
        <v>45831</v>
      </c>
      <c r="B9" s="7" t="s">
        <v>22</v>
      </c>
      <c r="C9" s="38" t="s">
        <v>23</v>
      </c>
      <c r="D9" s="4"/>
      <c r="E9" s="39">
        <v>1</v>
      </c>
      <c r="F9" s="40" t="s">
        <v>6</v>
      </c>
      <c r="G9" s="9">
        <v>0</v>
      </c>
      <c r="H9" s="39"/>
      <c r="I9" s="41" t="s">
        <v>5</v>
      </c>
      <c r="J9" s="1"/>
      <c r="K9" s="32"/>
      <c r="L9" s="46" t="str">
        <f>Jogos!AN8</f>
        <v>Inter Miami</v>
      </c>
      <c r="M9" s="47">
        <f>VLOOKUP($L9,Jogos!$A$5:$I$8,2,FALSE)</f>
        <v>1</v>
      </c>
      <c r="N9" s="47">
        <f>VLOOKUP($L9,Jogos!$A$5:$I$8,3,FALSE)</f>
        <v>3</v>
      </c>
      <c r="O9" s="47">
        <f>VLOOKUP($L9,Jogos!$A$5:$I$8,4,FALSE)</f>
        <v>0</v>
      </c>
      <c r="P9" s="47">
        <f>VLOOKUP($L9,Jogos!$A$5:$I$8,5,FALSE)</f>
        <v>1</v>
      </c>
      <c r="Q9" s="47">
        <f>VLOOKUP($L9,Jogos!$A$5:$I$8,6,FALSE)</f>
        <v>2</v>
      </c>
      <c r="R9" s="47">
        <f>VLOOKUP($L9,Jogos!$A$5:$I$8,7,FALSE)</f>
        <v>3</v>
      </c>
      <c r="S9" s="47">
        <f>VLOOKUP($L9,Jogos!$A$5:$I$8,8,FALSE)</f>
        <v>7</v>
      </c>
      <c r="T9" s="47">
        <f>VLOOKUP($L9,Jogos!$A$5:$I$8,9,FALSE)</f>
        <v>-4</v>
      </c>
      <c r="U9" s="2"/>
      <c r="V9" s="29"/>
      <c r="W9" s="29"/>
      <c r="X9" s="29"/>
      <c r="Y9" s="29"/>
      <c r="Z9" s="29"/>
    </row>
    <row r="10" spans="1:26" ht="13.5" customHeight="1">
      <c r="A10" s="49"/>
      <c r="B10" s="50"/>
      <c r="C10" s="51"/>
      <c r="D10" s="48"/>
      <c r="E10" s="48"/>
      <c r="F10" s="40"/>
      <c r="G10" s="48"/>
      <c r="H10" s="48"/>
      <c r="I10" s="51"/>
      <c r="J10" s="1"/>
      <c r="K10" s="52"/>
      <c r="L10" s="53"/>
      <c r="M10" s="48"/>
      <c r="N10" s="48"/>
      <c r="O10" s="48"/>
      <c r="P10" s="48"/>
      <c r="Q10" s="48"/>
      <c r="R10" s="48"/>
      <c r="S10" s="48"/>
      <c r="T10" s="48"/>
      <c r="U10" s="29"/>
      <c r="V10" s="29"/>
      <c r="W10" s="29"/>
      <c r="X10" s="29"/>
      <c r="Y10" s="29"/>
      <c r="Z10" s="29"/>
    </row>
    <row r="11" spans="1:26" ht="13.5" customHeight="1">
      <c r="A11" s="114" t="s">
        <v>24</v>
      </c>
      <c r="B11" s="111"/>
      <c r="C11" s="111"/>
      <c r="D11" s="54"/>
      <c r="E11" s="110"/>
      <c r="F11" s="111"/>
      <c r="G11" s="111"/>
      <c r="H11" s="54"/>
      <c r="I11" s="55"/>
      <c r="J11" s="1"/>
      <c r="K11" s="56"/>
      <c r="L11" s="57"/>
      <c r="M11" s="58"/>
      <c r="N11" s="58"/>
      <c r="O11" s="58"/>
      <c r="P11" s="58"/>
      <c r="Q11" s="54"/>
      <c r="R11" s="59"/>
      <c r="S11" s="59"/>
      <c r="T11" s="6"/>
      <c r="U11" s="60"/>
      <c r="V11" s="29"/>
      <c r="W11" s="29"/>
      <c r="X11" s="29"/>
      <c r="Y11" s="29"/>
      <c r="Z11" s="29"/>
    </row>
    <row r="12" spans="1:26" ht="13.5" customHeight="1">
      <c r="A12" s="37">
        <v>45823</v>
      </c>
      <c r="B12" s="7" t="s">
        <v>21</v>
      </c>
      <c r="C12" s="38" t="s">
        <v>25</v>
      </c>
      <c r="D12" s="3"/>
      <c r="E12" s="39">
        <v>3</v>
      </c>
      <c r="F12" s="40" t="s">
        <v>6</v>
      </c>
      <c r="G12" s="9">
        <v>2</v>
      </c>
      <c r="H12" s="39"/>
      <c r="I12" s="41" t="s">
        <v>26</v>
      </c>
      <c r="J12" s="1"/>
      <c r="K12" s="42"/>
      <c r="L12" s="123" t="s">
        <v>27</v>
      </c>
      <c r="M12" s="124"/>
      <c r="N12" s="124"/>
      <c r="O12" s="124"/>
      <c r="P12" s="124"/>
      <c r="Q12" s="124"/>
      <c r="R12" s="124"/>
      <c r="S12" s="124"/>
      <c r="T12" s="125"/>
      <c r="U12" s="60"/>
      <c r="V12" s="29"/>
      <c r="W12" s="29"/>
      <c r="X12" s="29"/>
      <c r="Y12" s="29"/>
      <c r="Z12" s="29"/>
    </row>
    <row r="13" spans="1:26" ht="13.5" customHeight="1">
      <c r="A13" s="37">
        <v>45823</v>
      </c>
      <c r="B13" s="7" t="s">
        <v>28</v>
      </c>
      <c r="C13" s="38" t="s">
        <v>29</v>
      </c>
      <c r="D13" s="4"/>
      <c r="E13" s="39">
        <v>2</v>
      </c>
      <c r="F13" s="40" t="s">
        <v>6</v>
      </c>
      <c r="G13" s="9">
        <v>0</v>
      </c>
      <c r="H13" s="39"/>
      <c r="I13" s="41" t="s">
        <v>30</v>
      </c>
      <c r="J13" s="1"/>
      <c r="K13" s="78"/>
      <c r="L13" s="43"/>
      <c r="M13" s="44" t="s">
        <v>12</v>
      </c>
      <c r="N13" s="44" t="s">
        <v>13</v>
      </c>
      <c r="O13" s="44" t="s">
        <v>14</v>
      </c>
      <c r="P13" s="44" t="s">
        <v>15</v>
      </c>
      <c r="Q13" s="44" t="s">
        <v>16</v>
      </c>
      <c r="R13" s="44" t="s">
        <v>17</v>
      </c>
      <c r="S13" s="44" t="s">
        <v>18</v>
      </c>
      <c r="T13" s="5" t="s">
        <v>19</v>
      </c>
      <c r="U13" s="60"/>
      <c r="V13" s="29"/>
      <c r="W13" s="29"/>
      <c r="X13" s="29"/>
      <c r="Y13" s="29"/>
      <c r="Z13" s="29"/>
    </row>
    <row r="14" spans="1:26" ht="13.5" customHeight="1">
      <c r="A14" s="37">
        <v>45827</v>
      </c>
      <c r="B14" s="7" t="s">
        <v>9</v>
      </c>
      <c r="C14" s="41" t="s">
        <v>30</v>
      </c>
      <c r="D14" s="3"/>
      <c r="E14" s="39">
        <v>0</v>
      </c>
      <c r="F14" s="40" t="s">
        <v>6</v>
      </c>
      <c r="G14" s="9">
        <v>3</v>
      </c>
      <c r="H14" s="45"/>
      <c r="I14" s="61" t="s">
        <v>26</v>
      </c>
      <c r="J14" s="1"/>
      <c r="K14" s="78"/>
      <c r="L14" s="46" t="str">
        <f>Jogos!AN13</f>
        <v>Paris Saint-Germain</v>
      </c>
      <c r="M14" s="47">
        <f>VLOOKUP($L14,Jogos!$A$13:$I$16,2,FALSE)</f>
        <v>9</v>
      </c>
      <c r="N14" s="47">
        <f>VLOOKUP($L14,Jogos!$A$13:$I$16,3,FALSE)</f>
        <v>3</v>
      </c>
      <c r="O14" s="47">
        <f>VLOOKUP($L14,Jogos!$A$13:$I$16,4,FALSE)</f>
        <v>3</v>
      </c>
      <c r="P14" s="47">
        <f>VLOOKUP($L14,Jogos!$A$13:$I$16,5,FALSE)</f>
        <v>0</v>
      </c>
      <c r="Q14" s="47">
        <f>VLOOKUP($L14,Jogos!$A$13:$I$16,6,FALSE)</f>
        <v>0</v>
      </c>
      <c r="R14" s="47">
        <f>VLOOKUP($L14,Jogos!$A$13:$I$16,7,FALSE)</f>
        <v>10</v>
      </c>
      <c r="S14" s="47">
        <f>VLOOKUP($L14,Jogos!$A$13:$I$16,8,FALSE)</f>
        <v>2</v>
      </c>
      <c r="T14" s="47">
        <f>VLOOKUP($L14,Jogos!$A$13:$I$16,9,FALSE)</f>
        <v>8</v>
      </c>
      <c r="U14" s="60"/>
      <c r="V14" s="29"/>
      <c r="W14" s="29"/>
      <c r="X14" s="29"/>
      <c r="Y14" s="29"/>
      <c r="Z14" s="29"/>
    </row>
    <row r="15" spans="1:26" ht="13.5" customHeight="1">
      <c r="A15" s="37">
        <v>45827</v>
      </c>
      <c r="B15" s="62" t="s">
        <v>22</v>
      </c>
      <c r="C15" s="38" t="s">
        <v>25</v>
      </c>
      <c r="D15" s="4"/>
      <c r="E15" s="39">
        <v>3</v>
      </c>
      <c r="F15" s="40" t="s">
        <v>6</v>
      </c>
      <c r="G15" s="9">
        <v>0</v>
      </c>
      <c r="H15" s="39"/>
      <c r="I15" s="41" t="s">
        <v>29</v>
      </c>
      <c r="J15" s="1"/>
      <c r="K15" s="78"/>
      <c r="L15" s="46" t="str">
        <f>Jogos!AN14</f>
        <v>Atlético de Madrid</v>
      </c>
      <c r="M15" s="47">
        <f>VLOOKUP($L15,Jogos!$A$13:$I$16,2,FALSE)</f>
        <v>6</v>
      </c>
      <c r="N15" s="47">
        <f>VLOOKUP($L15,Jogos!$A$13:$I$16,3,FALSE)</f>
        <v>3</v>
      </c>
      <c r="O15" s="47">
        <f>VLOOKUP($L15,Jogos!$A$13:$I$16,4,FALSE)</f>
        <v>2</v>
      </c>
      <c r="P15" s="47">
        <f>VLOOKUP($L15,Jogos!$A$13:$I$16,5,FALSE)</f>
        <v>0</v>
      </c>
      <c r="Q15" s="47">
        <f>VLOOKUP($L15,Jogos!$A$13:$I$16,6,FALSE)</f>
        <v>1</v>
      </c>
      <c r="R15" s="47">
        <f>VLOOKUP($L15,Jogos!$A$13:$I$16,7,FALSE)</f>
        <v>7</v>
      </c>
      <c r="S15" s="47">
        <f>VLOOKUP($L15,Jogos!$A$13:$I$16,8,FALSE)</f>
        <v>3</v>
      </c>
      <c r="T15" s="47">
        <f>VLOOKUP($L15,Jogos!$A$13:$I$16,9,FALSE)</f>
        <v>4</v>
      </c>
      <c r="U15" s="60"/>
      <c r="V15" s="29"/>
      <c r="W15" s="29"/>
      <c r="X15" s="29"/>
      <c r="Y15" s="29"/>
      <c r="Z15" s="29"/>
    </row>
    <row r="16" spans="1:26" ht="13.5" customHeight="1">
      <c r="A16" s="37">
        <v>45831</v>
      </c>
      <c r="B16" s="7" t="s">
        <v>21</v>
      </c>
      <c r="C16" s="41" t="s">
        <v>30</v>
      </c>
      <c r="D16" s="4"/>
      <c r="E16" s="39">
        <v>0</v>
      </c>
      <c r="F16" s="40" t="s">
        <v>6</v>
      </c>
      <c r="G16" s="9">
        <v>4</v>
      </c>
      <c r="H16" s="39"/>
      <c r="I16" s="41" t="s">
        <v>25</v>
      </c>
      <c r="J16" s="1"/>
      <c r="K16" s="78"/>
      <c r="L16" s="46" t="str">
        <f>Jogos!AN15</f>
        <v>Botafogo</v>
      </c>
      <c r="M16" s="47">
        <f>VLOOKUP($L16,Jogos!$A$13:$I$16,2,FALSE)</f>
        <v>3</v>
      </c>
      <c r="N16" s="47">
        <f>VLOOKUP($L16,Jogos!$A$13:$I$16,3,FALSE)</f>
        <v>3</v>
      </c>
      <c r="O16" s="47">
        <f>VLOOKUP($L16,Jogos!$A$13:$I$16,4,FALSE)</f>
        <v>1</v>
      </c>
      <c r="P16" s="47">
        <f>VLOOKUP($L16,Jogos!$A$13:$I$16,5,FALSE)</f>
        <v>0</v>
      </c>
      <c r="Q16" s="47">
        <f>VLOOKUP($L16,Jogos!$A$13:$I$16,6,FALSE)</f>
        <v>2</v>
      </c>
      <c r="R16" s="47">
        <f>VLOOKUP($L16,Jogos!$A$13:$I$16,7,FALSE)</f>
        <v>2</v>
      </c>
      <c r="S16" s="47">
        <f>VLOOKUP($L16,Jogos!$A$13:$I$16,8,FALSE)</f>
        <v>5</v>
      </c>
      <c r="T16" s="47">
        <f>VLOOKUP($L16,Jogos!$A$13:$I$16,9,FALSE)</f>
        <v>-3</v>
      </c>
      <c r="U16" s="60"/>
      <c r="V16" s="29"/>
      <c r="W16" s="29"/>
      <c r="X16" s="29"/>
      <c r="Y16" s="29"/>
      <c r="Z16" s="29"/>
    </row>
    <row r="17" spans="1:26" ht="13.5" customHeight="1">
      <c r="A17" s="37">
        <v>45831</v>
      </c>
      <c r="B17" s="7" t="s">
        <v>21</v>
      </c>
      <c r="C17" s="41" t="s">
        <v>26</v>
      </c>
      <c r="D17" s="4"/>
      <c r="E17" s="39">
        <v>2</v>
      </c>
      <c r="F17" s="40" t="s">
        <v>6</v>
      </c>
      <c r="G17" s="9">
        <v>0</v>
      </c>
      <c r="H17" s="39"/>
      <c r="I17" s="41" t="s">
        <v>29</v>
      </c>
      <c r="J17" s="1"/>
      <c r="K17" s="32"/>
      <c r="L17" s="46" t="str">
        <f>Jogos!AN16</f>
        <v>Seattle Sounders</v>
      </c>
      <c r="M17" s="47">
        <f>VLOOKUP($L17,Jogos!$A$13:$I$16,2,FALSE)</f>
        <v>0</v>
      </c>
      <c r="N17" s="47">
        <f>VLOOKUP($L17,Jogos!$A$13:$I$16,3,FALSE)</f>
        <v>3</v>
      </c>
      <c r="O17" s="47">
        <f>VLOOKUP($L17,Jogos!$A$13:$I$16,4,FALSE)</f>
        <v>0</v>
      </c>
      <c r="P17" s="47">
        <f>VLOOKUP($L17,Jogos!$A$13:$I$16,5,FALSE)</f>
        <v>0</v>
      </c>
      <c r="Q17" s="47">
        <f>VLOOKUP($L17,Jogos!$A$13:$I$16,6,FALSE)</f>
        <v>3</v>
      </c>
      <c r="R17" s="47">
        <f>VLOOKUP($L17,Jogos!$A$13:$I$16,7,FALSE)</f>
        <v>0</v>
      </c>
      <c r="S17" s="47">
        <f>VLOOKUP($L17,Jogos!$A$13:$I$16,8,FALSE)</f>
        <v>9</v>
      </c>
      <c r="T17" s="47">
        <f>VLOOKUP($L17,Jogos!$A$13:$I$16,9,FALSE)</f>
        <v>-9</v>
      </c>
      <c r="U17" s="60"/>
      <c r="V17" s="29"/>
      <c r="W17" s="29"/>
      <c r="X17" s="29"/>
      <c r="Y17" s="29"/>
      <c r="Z17" s="29"/>
    </row>
    <row r="18" spans="1:26" ht="13.5" customHeight="1">
      <c r="A18" s="49"/>
      <c r="B18" s="50"/>
      <c r="C18" s="41"/>
      <c r="D18" s="63"/>
      <c r="E18" s="64"/>
      <c r="F18" s="65"/>
      <c r="G18" s="64"/>
      <c r="H18" s="64"/>
      <c r="I18" s="41"/>
      <c r="J18" s="1"/>
      <c r="K18" s="52"/>
      <c r="L18" s="53"/>
      <c r="M18" s="48"/>
      <c r="N18" s="48"/>
      <c r="O18" s="48"/>
      <c r="P18" s="48"/>
      <c r="Q18" s="48"/>
      <c r="R18" s="48"/>
      <c r="S18" s="48"/>
      <c r="T18" s="48"/>
      <c r="U18" s="29"/>
      <c r="V18" s="29"/>
      <c r="W18" s="29"/>
      <c r="X18" s="29"/>
      <c r="Y18" s="29"/>
      <c r="Z18" s="29"/>
    </row>
    <row r="19" spans="1:26" ht="13.5" customHeight="1">
      <c r="A19" s="114" t="s">
        <v>31</v>
      </c>
      <c r="B19" s="111"/>
      <c r="C19" s="111"/>
      <c r="D19" s="54"/>
      <c r="E19" s="110"/>
      <c r="F19" s="111"/>
      <c r="G19" s="111"/>
      <c r="H19" s="54"/>
      <c r="I19" s="55"/>
      <c r="J19" s="1"/>
      <c r="K19" s="56"/>
      <c r="L19" s="57"/>
      <c r="M19" s="58"/>
      <c r="N19" s="58"/>
      <c r="O19" s="58"/>
      <c r="P19" s="58"/>
      <c r="Q19" s="54"/>
      <c r="R19" s="59"/>
      <c r="S19" s="59"/>
      <c r="T19" s="6"/>
      <c r="U19" s="60"/>
      <c r="V19" s="29"/>
      <c r="W19" s="29"/>
      <c r="X19" s="29"/>
      <c r="Y19" s="29"/>
      <c r="Z19" s="29"/>
    </row>
    <row r="20" spans="1:26" ht="13.5" customHeight="1">
      <c r="A20" s="37">
        <v>45823</v>
      </c>
      <c r="B20" s="7" t="s">
        <v>20</v>
      </c>
      <c r="C20" s="38" t="s">
        <v>32</v>
      </c>
      <c r="D20" s="3"/>
      <c r="E20" s="39">
        <v>4</v>
      </c>
      <c r="F20" s="40" t="s">
        <v>6</v>
      </c>
      <c r="G20" s="9">
        <v>0</v>
      </c>
      <c r="H20" s="39"/>
      <c r="I20" s="41" t="s">
        <v>33</v>
      </c>
      <c r="J20" s="1"/>
      <c r="K20" s="42"/>
      <c r="L20" s="123" t="s">
        <v>34</v>
      </c>
      <c r="M20" s="124"/>
      <c r="N20" s="124"/>
      <c r="O20" s="124"/>
      <c r="P20" s="124"/>
      <c r="Q20" s="124"/>
      <c r="R20" s="124"/>
      <c r="S20" s="124"/>
      <c r="T20" s="125"/>
      <c r="U20" s="60"/>
      <c r="V20" s="29"/>
      <c r="W20" s="29"/>
      <c r="X20" s="29"/>
      <c r="Y20" s="29"/>
      <c r="Z20" s="29"/>
    </row>
    <row r="21" spans="1:26" ht="13.5" customHeight="1">
      <c r="A21" s="37">
        <v>45824</v>
      </c>
      <c r="B21" s="7" t="s">
        <v>9</v>
      </c>
      <c r="C21" s="38" t="s">
        <v>35</v>
      </c>
      <c r="D21" s="4"/>
      <c r="E21" s="39">
        <v>1</v>
      </c>
      <c r="F21" s="40" t="s">
        <v>6</v>
      </c>
      <c r="G21" s="9">
        <v>2</v>
      </c>
      <c r="H21" s="39"/>
      <c r="I21" s="41" t="s">
        <v>36</v>
      </c>
      <c r="J21" s="1"/>
      <c r="K21" s="78"/>
      <c r="L21" s="43"/>
      <c r="M21" s="44" t="s">
        <v>12</v>
      </c>
      <c r="N21" s="44" t="s">
        <v>13</v>
      </c>
      <c r="O21" s="44" t="s">
        <v>14</v>
      </c>
      <c r="P21" s="44" t="s">
        <v>15</v>
      </c>
      <c r="Q21" s="44" t="s">
        <v>16</v>
      </c>
      <c r="R21" s="44" t="s">
        <v>17</v>
      </c>
      <c r="S21" s="44" t="s">
        <v>18</v>
      </c>
      <c r="T21" s="5" t="s">
        <v>19</v>
      </c>
      <c r="U21" s="60"/>
      <c r="V21" s="29"/>
      <c r="W21" s="29"/>
      <c r="X21" s="29"/>
      <c r="Y21" s="29"/>
      <c r="Z21" s="29"/>
    </row>
    <row r="22" spans="1:26" ht="13.5" customHeight="1">
      <c r="A22" s="37">
        <v>45828</v>
      </c>
      <c r="B22" s="7" t="s">
        <v>20</v>
      </c>
      <c r="C22" s="41" t="s">
        <v>36</v>
      </c>
      <c r="D22" s="3"/>
      <c r="E22" s="39">
        <v>3</v>
      </c>
      <c r="F22" s="40" t="s">
        <v>6</v>
      </c>
      <c r="G22" s="9">
        <v>0</v>
      </c>
      <c r="H22" s="45"/>
      <c r="I22" s="41" t="s">
        <v>33</v>
      </c>
      <c r="J22" s="1"/>
      <c r="K22" s="78"/>
      <c r="L22" s="46" t="str">
        <f>Jogos!AN21</f>
        <v>Bayern de Munique</v>
      </c>
      <c r="M22" s="47">
        <f>VLOOKUP($L22,Jogos!$A$21:$I$24,2,FALSE)</f>
        <v>9</v>
      </c>
      <c r="N22" s="47">
        <f>VLOOKUP($L22,Jogos!$A$21:$I$24,3,FALSE)</f>
        <v>3</v>
      </c>
      <c r="O22" s="47">
        <f>VLOOKUP($L22,Jogos!$A$21:$I$24,4,FALSE)</f>
        <v>3</v>
      </c>
      <c r="P22" s="47">
        <f>VLOOKUP($L22,Jogos!$A$21:$I$24,5,FALSE)</f>
        <v>0</v>
      </c>
      <c r="Q22" s="47">
        <f>VLOOKUP($L22,Jogos!$A$21:$I$24,6,FALSE)</f>
        <v>0</v>
      </c>
      <c r="R22" s="47">
        <f>VLOOKUP($L22,Jogos!$A$21:$I$24,7,FALSE)</f>
        <v>9</v>
      </c>
      <c r="S22" s="47">
        <f>VLOOKUP($L22,Jogos!$A$21:$I$24,8,FALSE)</f>
        <v>1</v>
      </c>
      <c r="T22" s="47">
        <f>VLOOKUP($L22,Jogos!$A$21:$I$24,9,FALSE)</f>
        <v>8</v>
      </c>
      <c r="U22" s="60"/>
      <c r="V22" s="29"/>
      <c r="W22" s="29"/>
      <c r="X22" s="29"/>
      <c r="Y22" s="29"/>
      <c r="Z22" s="29"/>
    </row>
    <row r="23" spans="1:26" ht="13.5" customHeight="1">
      <c r="A23" s="37">
        <v>45828</v>
      </c>
      <c r="B23" s="7" t="s">
        <v>22</v>
      </c>
      <c r="C23" s="38" t="s">
        <v>32</v>
      </c>
      <c r="D23" s="4"/>
      <c r="E23" s="39">
        <v>3</v>
      </c>
      <c r="F23" s="40" t="s">
        <v>6</v>
      </c>
      <c r="G23" s="9">
        <v>0</v>
      </c>
      <c r="H23" s="39"/>
      <c r="I23" s="41" t="s">
        <v>35</v>
      </c>
      <c r="J23" s="1"/>
      <c r="K23" s="78"/>
      <c r="L23" s="46" t="str">
        <f>Jogos!AN22</f>
        <v>Benfica</v>
      </c>
      <c r="M23" s="47">
        <f>VLOOKUP($L23,Jogos!$A$21:$I$24,2,FALSE)</f>
        <v>6</v>
      </c>
      <c r="N23" s="47">
        <f>VLOOKUP($L23,Jogos!$A$21:$I$24,3,FALSE)</f>
        <v>3</v>
      </c>
      <c r="O23" s="47">
        <f>VLOOKUP($L23,Jogos!$A$21:$I$24,4,FALSE)</f>
        <v>2</v>
      </c>
      <c r="P23" s="47">
        <f>VLOOKUP($L23,Jogos!$A$21:$I$24,5,FALSE)</f>
        <v>0</v>
      </c>
      <c r="Q23" s="47">
        <f>VLOOKUP($L23,Jogos!$A$21:$I$24,6,FALSE)</f>
        <v>1</v>
      </c>
      <c r="R23" s="47">
        <f>VLOOKUP($L23,Jogos!$A$21:$I$24,7,FALSE)</f>
        <v>6</v>
      </c>
      <c r="S23" s="47">
        <f>VLOOKUP($L23,Jogos!$A$21:$I$24,8,FALSE)</f>
        <v>3</v>
      </c>
      <c r="T23" s="47">
        <f>VLOOKUP($L23,Jogos!$A$21:$I$24,9,FALSE)</f>
        <v>3</v>
      </c>
      <c r="U23" s="60"/>
      <c r="V23" s="29"/>
      <c r="W23" s="29"/>
      <c r="X23" s="29"/>
      <c r="Y23" s="29"/>
      <c r="Z23" s="29"/>
    </row>
    <row r="24" spans="1:26" ht="13.5" customHeight="1">
      <c r="A24" s="37">
        <v>45832</v>
      </c>
      <c r="B24" s="7" t="s">
        <v>21</v>
      </c>
      <c r="C24" s="41" t="s">
        <v>36</v>
      </c>
      <c r="D24" s="4"/>
      <c r="E24" s="39">
        <v>1</v>
      </c>
      <c r="F24" s="40" t="s">
        <v>6</v>
      </c>
      <c r="G24" s="9">
        <v>2</v>
      </c>
      <c r="H24" s="39"/>
      <c r="I24" s="41" t="s">
        <v>32</v>
      </c>
      <c r="J24" s="1"/>
      <c r="K24" s="78"/>
      <c r="L24" s="46" t="str">
        <f>Jogos!AN23</f>
        <v>Boca Juniors</v>
      </c>
      <c r="M24" s="47">
        <f>VLOOKUP($L24,Jogos!$A$21:$I$24,2,FALSE)</f>
        <v>3</v>
      </c>
      <c r="N24" s="47">
        <f>VLOOKUP($L24,Jogos!$A$21:$I$24,3,FALSE)</f>
        <v>3</v>
      </c>
      <c r="O24" s="47">
        <f>VLOOKUP($L24,Jogos!$A$21:$I$24,4,FALSE)</f>
        <v>1</v>
      </c>
      <c r="P24" s="47">
        <f>VLOOKUP($L24,Jogos!$A$21:$I$24,5,FALSE)</f>
        <v>0</v>
      </c>
      <c r="Q24" s="47">
        <f>VLOOKUP($L24,Jogos!$A$21:$I$24,6,FALSE)</f>
        <v>2</v>
      </c>
      <c r="R24" s="47">
        <f>VLOOKUP($L24,Jogos!$A$21:$I$24,7,FALSE)</f>
        <v>3</v>
      </c>
      <c r="S24" s="47">
        <f>VLOOKUP($L24,Jogos!$A$21:$I$24,8,FALSE)</f>
        <v>6</v>
      </c>
      <c r="T24" s="47">
        <f>VLOOKUP($L24,Jogos!$A$21:$I$24,9,FALSE)</f>
        <v>-3</v>
      </c>
      <c r="U24" s="60"/>
      <c r="V24" s="29"/>
      <c r="W24" s="29"/>
      <c r="X24" s="29"/>
      <c r="Y24" s="29"/>
      <c r="Z24" s="29"/>
    </row>
    <row r="25" spans="1:26" ht="13.5" customHeight="1">
      <c r="A25" s="37">
        <v>45832</v>
      </c>
      <c r="B25" s="7" t="s">
        <v>21</v>
      </c>
      <c r="C25" s="41" t="s">
        <v>33</v>
      </c>
      <c r="D25" s="4"/>
      <c r="E25" s="39">
        <v>1</v>
      </c>
      <c r="F25" s="40" t="s">
        <v>6</v>
      </c>
      <c r="G25" s="9">
        <v>2</v>
      </c>
      <c r="H25" s="39"/>
      <c r="I25" s="41" t="s">
        <v>35</v>
      </c>
      <c r="J25" s="1"/>
      <c r="K25" s="32"/>
      <c r="L25" s="46" t="str">
        <f>Jogos!AN24</f>
        <v>Auckland City</v>
      </c>
      <c r="M25" s="47">
        <f>VLOOKUP($L25,Jogos!$A$21:$I$24,2,FALSE)</f>
        <v>0</v>
      </c>
      <c r="N25" s="47">
        <f>VLOOKUP($L25,Jogos!$A$21:$I$24,3,FALSE)</f>
        <v>3</v>
      </c>
      <c r="O25" s="47">
        <f>VLOOKUP($L25,Jogos!$A$21:$I$24,4,FALSE)</f>
        <v>0</v>
      </c>
      <c r="P25" s="47">
        <f>VLOOKUP($L25,Jogos!$A$21:$I$24,5,FALSE)</f>
        <v>0</v>
      </c>
      <c r="Q25" s="47">
        <f>VLOOKUP($L25,Jogos!$A$21:$I$24,6,FALSE)</f>
        <v>3</v>
      </c>
      <c r="R25" s="47">
        <f>VLOOKUP($L25,Jogos!$A$21:$I$24,7,FALSE)</f>
        <v>1</v>
      </c>
      <c r="S25" s="47">
        <f>VLOOKUP($L25,Jogos!$A$21:$I$24,8,FALSE)</f>
        <v>9</v>
      </c>
      <c r="T25" s="47">
        <f>VLOOKUP($L25,Jogos!$A$21:$I$24,9,FALSE)</f>
        <v>-8</v>
      </c>
      <c r="U25" s="60"/>
      <c r="V25" s="29"/>
      <c r="W25" s="29"/>
      <c r="X25" s="29"/>
      <c r="Y25" s="29"/>
      <c r="Z25" s="29"/>
    </row>
    <row r="26" spans="1:26" ht="13.5" customHeight="1">
      <c r="A26" s="49"/>
      <c r="B26" s="50"/>
      <c r="C26" s="41"/>
      <c r="D26" s="63"/>
      <c r="E26" s="64"/>
      <c r="F26" s="65"/>
      <c r="G26" s="64"/>
      <c r="H26" s="64"/>
      <c r="I26" s="66"/>
      <c r="J26" s="1"/>
      <c r="K26" s="52"/>
      <c r="L26" s="53"/>
      <c r="M26" s="48"/>
      <c r="N26" s="48"/>
      <c r="O26" s="48"/>
      <c r="P26" s="48"/>
      <c r="Q26" s="48"/>
      <c r="R26" s="48"/>
      <c r="S26" s="48"/>
      <c r="T26" s="48"/>
      <c r="U26" s="29"/>
      <c r="V26" s="29"/>
      <c r="W26" s="29"/>
      <c r="X26" s="29"/>
      <c r="Y26" s="29"/>
      <c r="Z26" s="29"/>
    </row>
    <row r="27" spans="1:26" ht="13.5" customHeight="1">
      <c r="A27" s="114" t="s">
        <v>37</v>
      </c>
      <c r="B27" s="111"/>
      <c r="C27" s="111"/>
      <c r="D27" s="54"/>
      <c r="E27" s="110"/>
      <c r="F27" s="111"/>
      <c r="G27" s="111"/>
      <c r="H27" s="54"/>
      <c r="I27" s="55"/>
      <c r="J27" s="1"/>
      <c r="K27" s="56"/>
      <c r="L27" s="57"/>
      <c r="M27" s="58"/>
      <c r="N27" s="58"/>
      <c r="O27" s="58"/>
      <c r="P27" s="58"/>
      <c r="Q27" s="54"/>
      <c r="R27" s="59"/>
      <c r="S27" s="59"/>
      <c r="T27" s="6"/>
      <c r="U27" s="60"/>
      <c r="V27" s="29"/>
      <c r="W27" s="29"/>
      <c r="X27" s="29"/>
      <c r="Y27" s="29"/>
      <c r="Z27" s="29"/>
    </row>
    <row r="28" spans="1:26" ht="13.5" customHeight="1">
      <c r="A28" s="37">
        <v>45824</v>
      </c>
      <c r="B28" s="7" t="s">
        <v>21</v>
      </c>
      <c r="C28" s="38" t="s">
        <v>38</v>
      </c>
      <c r="D28" s="3"/>
      <c r="E28" s="39">
        <v>3</v>
      </c>
      <c r="F28" s="40" t="s">
        <v>6</v>
      </c>
      <c r="G28" s="9">
        <v>0</v>
      </c>
      <c r="H28" s="39"/>
      <c r="I28" s="41" t="s">
        <v>39</v>
      </c>
      <c r="J28" s="1"/>
      <c r="K28" s="42"/>
      <c r="L28" s="136" t="s">
        <v>40</v>
      </c>
      <c r="M28" s="124"/>
      <c r="N28" s="124"/>
      <c r="O28" s="124"/>
      <c r="P28" s="124"/>
      <c r="Q28" s="124"/>
      <c r="R28" s="124"/>
      <c r="S28" s="124"/>
      <c r="T28" s="125"/>
      <c r="U28" s="60"/>
      <c r="V28" s="29"/>
      <c r="W28" s="29"/>
      <c r="X28" s="29"/>
      <c r="Y28" s="29"/>
      <c r="Z28" s="29"/>
    </row>
    <row r="29" spans="1:26" ht="13.5" customHeight="1">
      <c r="A29" s="37">
        <v>45824</v>
      </c>
      <c r="B29" s="7" t="s">
        <v>22</v>
      </c>
      <c r="C29" s="38" t="s">
        <v>41</v>
      </c>
      <c r="D29" s="4"/>
      <c r="E29" s="39">
        <v>3</v>
      </c>
      <c r="F29" s="40" t="s">
        <v>6</v>
      </c>
      <c r="G29" s="9">
        <v>1</v>
      </c>
      <c r="H29" s="39"/>
      <c r="I29" s="41" t="s">
        <v>42</v>
      </c>
      <c r="J29" s="1"/>
      <c r="K29" s="78"/>
      <c r="L29" s="43"/>
      <c r="M29" s="44" t="s">
        <v>12</v>
      </c>
      <c r="N29" s="44" t="s">
        <v>13</v>
      </c>
      <c r="O29" s="44" t="s">
        <v>14</v>
      </c>
      <c r="P29" s="44" t="s">
        <v>15</v>
      </c>
      <c r="Q29" s="44" t="s">
        <v>16</v>
      </c>
      <c r="R29" s="44" t="s">
        <v>17</v>
      </c>
      <c r="S29" s="44" t="s">
        <v>18</v>
      </c>
      <c r="T29" s="5" t="s">
        <v>19</v>
      </c>
      <c r="U29" s="60"/>
      <c r="V29" s="29"/>
      <c r="W29" s="29"/>
      <c r="X29" s="29"/>
      <c r="Y29" s="29"/>
      <c r="Z29" s="29"/>
    </row>
    <row r="30" spans="1:26" ht="13.5" customHeight="1">
      <c r="A30" s="37">
        <v>45828</v>
      </c>
      <c r="B30" s="7" t="s">
        <v>43</v>
      </c>
      <c r="C30" s="38" t="s">
        <v>41</v>
      </c>
      <c r="D30" s="3"/>
      <c r="E30" s="39">
        <v>0</v>
      </c>
      <c r="F30" s="40" t="s">
        <v>6</v>
      </c>
      <c r="G30" s="9">
        <v>2</v>
      </c>
      <c r="H30" s="45"/>
      <c r="I30" s="41" t="s">
        <v>38</v>
      </c>
      <c r="J30" s="1"/>
      <c r="K30" s="78"/>
      <c r="L30" s="46" t="str">
        <f>Jogos!AN29</f>
        <v>Chelsea</v>
      </c>
      <c r="M30" s="47">
        <f>VLOOKUP($L30,Jogos!$A$29:$I$32,2,FALSE)</f>
        <v>9</v>
      </c>
      <c r="N30" s="47">
        <f>VLOOKUP($L30,Jogos!$A$29:$I$32,3,FALSE)</f>
        <v>3</v>
      </c>
      <c r="O30" s="47">
        <f>VLOOKUP($L30,Jogos!$A$29:$I$32,4,FALSE)</f>
        <v>3</v>
      </c>
      <c r="P30" s="47">
        <f>VLOOKUP($L30,Jogos!$A$29:$I$32,5,FALSE)</f>
        <v>0</v>
      </c>
      <c r="Q30" s="47">
        <f>VLOOKUP($L30,Jogos!$A$29:$I$32,6,FALSE)</f>
        <v>0</v>
      </c>
      <c r="R30" s="47">
        <f>VLOOKUP($L30,Jogos!$A$29:$I$32,7,FALSE)</f>
        <v>9</v>
      </c>
      <c r="S30" s="47">
        <f>VLOOKUP($L30,Jogos!$A$29:$I$32,8,FALSE)</f>
        <v>0</v>
      </c>
      <c r="T30" s="47">
        <f>VLOOKUP($L30,Jogos!$A$29:$I$32,9,FALSE)</f>
        <v>9</v>
      </c>
      <c r="U30" s="60"/>
      <c r="V30" s="29"/>
      <c r="W30" s="29"/>
      <c r="X30" s="29"/>
      <c r="Y30" s="29"/>
      <c r="Z30" s="29"/>
    </row>
    <row r="31" spans="1:26" ht="13.5" customHeight="1">
      <c r="A31" s="37">
        <v>45828</v>
      </c>
      <c r="B31" s="7" t="s">
        <v>9</v>
      </c>
      <c r="C31" s="38" t="s">
        <v>39</v>
      </c>
      <c r="D31" s="4"/>
      <c r="E31" s="39">
        <v>0</v>
      </c>
      <c r="F31" s="40" t="s">
        <v>6</v>
      </c>
      <c r="G31" s="9">
        <v>0</v>
      </c>
      <c r="H31" s="39"/>
      <c r="I31" s="41" t="s">
        <v>42</v>
      </c>
      <c r="J31" s="1"/>
      <c r="K31" s="78"/>
      <c r="L31" s="46" t="str">
        <f>Jogos!AN30</f>
        <v>Flamengo</v>
      </c>
      <c r="M31" s="47">
        <f>VLOOKUP($L31,Jogos!$A$29:$I$32,2,FALSE)</f>
        <v>6</v>
      </c>
      <c r="N31" s="47">
        <f>VLOOKUP($L31,Jogos!$A$29:$I$32,3,FALSE)</f>
        <v>3</v>
      </c>
      <c r="O31" s="47">
        <f>VLOOKUP($L31,Jogos!$A$29:$I$32,4,FALSE)</f>
        <v>2</v>
      </c>
      <c r="P31" s="47">
        <f>VLOOKUP($L31,Jogos!$A$29:$I$32,5,FALSE)</f>
        <v>0</v>
      </c>
      <c r="Q31" s="47">
        <f>VLOOKUP($L31,Jogos!$A$29:$I$32,6,FALSE)</f>
        <v>1</v>
      </c>
      <c r="R31" s="47">
        <f>VLOOKUP($L31,Jogos!$A$29:$I$32,7,FALSE)</f>
        <v>5</v>
      </c>
      <c r="S31" s="47">
        <f>VLOOKUP($L31,Jogos!$A$29:$I$32,8,FALSE)</f>
        <v>3</v>
      </c>
      <c r="T31" s="47">
        <f>VLOOKUP($L31,Jogos!$A$29:$I$32,9,FALSE)</f>
        <v>2</v>
      </c>
      <c r="U31" s="60"/>
      <c r="V31" s="29"/>
      <c r="W31" s="29"/>
      <c r="X31" s="29"/>
      <c r="Y31" s="29"/>
      <c r="Z31" s="29"/>
    </row>
    <row r="32" spans="1:26" ht="13.5" customHeight="1">
      <c r="A32" s="37">
        <v>45832</v>
      </c>
      <c r="B32" s="7" t="s">
        <v>22</v>
      </c>
      <c r="C32" s="38" t="s">
        <v>39</v>
      </c>
      <c r="D32" s="4"/>
      <c r="E32" s="39">
        <v>0</v>
      </c>
      <c r="F32" s="40" t="s">
        <v>6</v>
      </c>
      <c r="G32" s="9">
        <v>2</v>
      </c>
      <c r="H32" s="39"/>
      <c r="I32" s="41" t="s">
        <v>41</v>
      </c>
      <c r="J32" s="1"/>
      <c r="K32" s="78"/>
      <c r="L32" s="46" t="str">
        <f>Jogos!AN31</f>
        <v>Los Angeles FC</v>
      </c>
      <c r="M32" s="47">
        <f>VLOOKUP($L32,Jogos!$A$29:$I$32,2,FALSE)</f>
        <v>1</v>
      </c>
      <c r="N32" s="47">
        <f>VLOOKUP($L32,Jogos!$A$29:$I$32,3,FALSE)</f>
        <v>3</v>
      </c>
      <c r="O32" s="47">
        <f>VLOOKUP($L32,Jogos!$A$29:$I$32,4,FALSE)</f>
        <v>0</v>
      </c>
      <c r="P32" s="47">
        <f>VLOOKUP($L32,Jogos!$A$29:$I$32,5,FALSE)</f>
        <v>1</v>
      </c>
      <c r="Q32" s="47">
        <f>VLOOKUP($L32,Jogos!$A$29:$I$32,6,FALSE)</f>
        <v>2</v>
      </c>
      <c r="R32" s="47">
        <f>VLOOKUP($L32,Jogos!$A$29:$I$32,7,FALSE)</f>
        <v>0</v>
      </c>
      <c r="S32" s="47">
        <f>VLOOKUP($L32,Jogos!$A$29:$I$32,8,FALSE)</f>
        <v>5</v>
      </c>
      <c r="T32" s="47">
        <f>VLOOKUP($L32,Jogos!$A$29:$I$32,9,FALSE)</f>
        <v>-5</v>
      </c>
      <c r="U32" s="60"/>
      <c r="V32" s="29"/>
      <c r="W32" s="29"/>
      <c r="X32" s="29"/>
      <c r="Y32" s="29"/>
      <c r="Z32" s="29"/>
    </row>
    <row r="33" spans="1:26" ht="13.5" customHeight="1">
      <c r="A33" s="37">
        <v>45832</v>
      </c>
      <c r="B33" s="7" t="s">
        <v>22</v>
      </c>
      <c r="C33" s="38" t="s">
        <v>42</v>
      </c>
      <c r="D33" s="4"/>
      <c r="E33" s="39">
        <v>0</v>
      </c>
      <c r="F33" s="40" t="s">
        <v>6</v>
      </c>
      <c r="G33" s="9">
        <v>4</v>
      </c>
      <c r="H33" s="39"/>
      <c r="I33" s="41" t="s">
        <v>38</v>
      </c>
      <c r="J33" s="1"/>
      <c r="K33" s="32"/>
      <c r="L33" s="46" t="str">
        <f>Jogos!AN32</f>
        <v>Espérance</v>
      </c>
      <c r="M33" s="47">
        <f>VLOOKUP($L33,Jogos!$A$29:$I$32,2,FALSE)</f>
        <v>1</v>
      </c>
      <c r="N33" s="47">
        <f>VLOOKUP($L33,Jogos!$A$29:$I$32,3,FALSE)</f>
        <v>3</v>
      </c>
      <c r="O33" s="47">
        <f>VLOOKUP($L33,Jogos!$A$29:$I$32,4,FALSE)</f>
        <v>0</v>
      </c>
      <c r="P33" s="47">
        <f>VLOOKUP($L33,Jogos!$A$29:$I$32,5,FALSE)</f>
        <v>1</v>
      </c>
      <c r="Q33" s="47">
        <f>VLOOKUP($L33,Jogos!$A$29:$I$32,6,FALSE)</f>
        <v>2</v>
      </c>
      <c r="R33" s="47">
        <f>VLOOKUP($L33,Jogos!$A$29:$I$32,7,FALSE)</f>
        <v>1</v>
      </c>
      <c r="S33" s="47">
        <f>VLOOKUP($L33,Jogos!$A$29:$I$32,8,FALSE)</f>
        <v>7</v>
      </c>
      <c r="T33" s="47">
        <f>VLOOKUP($L33,Jogos!$A$29:$I$32,9,FALSE)</f>
        <v>-6</v>
      </c>
      <c r="U33" s="60"/>
      <c r="V33" s="29"/>
      <c r="W33" s="29"/>
      <c r="X33" s="29"/>
      <c r="Y33" s="29"/>
      <c r="Z33" s="29"/>
    </row>
    <row r="34" spans="1:26" ht="13.5" customHeight="1">
      <c r="A34" s="67"/>
      <c r="B34" s="50"/>
      <c r="C34" s="41"/>
      <c r="D34" s="63"/>
      <c r="E34" s="64"/>
      <c r="F34" s="65"/>
      <c r="G34" s="64"/>
      <c r="H34" s="64"/>
      <c r="I34" s="41"/>
      <c r="J34" s="1"/>
      <c r="K34" s="52"/>
      <c r="L34" s="53"/>
      <c r="M34" s="48"/>
      <c r="N34" s="48"/>
      <c r="O34" s="48"/>
      <c r="P34" s="48"/>
      <c r="Q34" s="48"/>
      <c r="R34" s="48"/>
      <c r="S34" s="48"/>
      <c r="T34" s="48"/>
      <c r="U34" s="29"/>
      <c r="V34" s="29"/>
      <c r="W34" s="29"/>
      <c r="X34" s="29"/>
      <c r="Y34" s="29"/>
      <c r="Z34" s="29"/>
    </row>
    <row r="35" spans="1:26" ht="13.5" customHeight="1">
      <c r="A35" s="114" t="s">
        <v>44</v>
      </c>
      <c r="B35" s="111"/>
      <c r="C35" s="111"/>
      <c r="D35" s="54"/>
      <c r="E35" s="110"/>
      <c r="F35" s="111"/>
      <c r="G35" s="111"/>
      <c r="H35" s="54"/>
      <c r="I35" s="55"/>
      <c r="J35" s="1"/>
      <c r="K35" s="56"/>
      <c r="L35" s="57"/>
      <c r="M35" s="58"/>
      <c r="N35" s="58"/>
      <c r="O35" s="58"/>
      <c r="P35" s="58"/>
      <c r="Q35" s="54"/>
      <c r="R35" s="59"/>
      <c r="S35" s="59"/>
      <c r="T35" s="6"/>
      <c r="U35" s="60"/>
      <c r="V35" s="29"/>
      <c r="W35" s="29"/>
      <c r="X35" s="29"/>
      <c r="Y35" s="29"/>
      <c r="Z35" s="29"/>
    </row>
    <row r="36" spans="1:26" ht="13.5" customHeight="1">
      <c r="A36" s="37">
        <v>45825</v>
      </c>
      <c r="B36" s="7" t="s">
        <v>21</v>
      </c>
      <c r="C36" s="38" t="s">
        <v>45</v>
      </c>
      <c r="D36" s="3"/>
      <c r="E36" s="39">
        <v>2</v>
      </c>
      <c r="F36" s="40" t="s">
        <v>6</v>
      </c>
      <c r="G36" s="9">
        <v>0</v>
      </c>
      <c r="H36" s="39"/>
      <c r="I36" s="41" t="s">
        <v>46</v>
      </c>
      <c r="J36" s="1"/>
      <c r="K36" s="42"/>
      <c r="L36" s="123" t="s">
        <v>47</v>
      </c>
      <c r="M36" s="124"/>
      <c r="N36" s="124"/>
      <c r="O36" s="124"/>
      <c r="P36" s="124"/>
      <c r="Q36" s="124"/>
      <c r="R36" s="124"/>
      <c r="S36" s="124"/>
      <c r="T36" s="125"/>
      <c r="U36" s="60"/>
      <c r="V36" s="29"/>
      <c r="W36" s="29"/>
      <c r="X36" s="29"/>
      <c r="Y36" s="29"/>
      <c r="Z36" s="29"/>
    </row>
    <row r="37" spans="1:26" ht="13.5" customHeight="1">
      <c r="A37" s="37">
        <v>45825</v>
      </c>
      <c r="B37" s="7" t="s">
        <v>22</v>
      </c>
      <c r="C37" s="38" t="s">
        <v>48</v>
      </c>
      <c r="D37" s="4"/>
      <c r="E37" s="39">
        <v>0</v>
      </c>
      <c r="F37" s="40" t="s">
        <v>6</v>
      </c>
      <c r="G37" s="9">
        <v>3</v>
      </c>
      <c r="H37" s="39"/>
      <c r="I37" s="41" t="s">
        <v>49</v>
      </c>
      <c r="J37" s="1"/>
      <c r="K37" s="78"/>
      <c r="L37" s="43"/>
      <c r="M37" s="44" t="s">
        <v>12</v>
      </c>
      <c r="N37" s="44" t="s">
        <v>13</v>
      </c>
      <c r="O37" s="44" t="s">
        <v>14</v>
      </c>
      <c r="P37" s="44" t="s">
        <v>15</v>
      </c>
      <c r="Q37" s="44" t="s">
        <v>16</v>
      </c>
      <c r="R37" s="44" t="s">
        <v>17</v>
      </c>
      <c r="S37" s="44" t="s">
        <v>18</v>
      </c>
      <c r="T37" s="5" t="s">
        <v>19</v>
      </c>
      <c r="U37" s="60"/>
      <c r="V37" s="29"/>
      <c r="W37" s="29"/>
      <c r="X37" s="29"/>
      <c r="Y37" s="29"/>
      <c r="Z37" s="29"/>
    </row>
    <row r="38" spans="1:26" ht="13.5" customHeight="1">
      <c r="A38" s="37">
        <v>45829</v>
      </c>
      <c r="B38" s="8" t="s">
        <v>21</v>
      </c>
      <c r="C38" s="41" t="s">
        <v>49</v>
      </c>
      <c r="D38" s="3"/>
      <c r="E38" s="39">
        <v>5</v>
      </c>
      <c r="F38" s="40" t="s">
        <v>6</v>
      </c>
      <c r="G38" s="9">
        <v>0</v>
      </c>
      <c r="H38" s="45"/>
      <c r="I38" s="41" t="s">
        <v>46</v>
      </c>
      <c r="J38" s="1"/>
      <c r="K38" s="78"/>
      <c r="L38" s="46" t="str">
        <f>Jogos!AN37</f>
        <v>Internazionale</v>
      </c>
      <c r="M38" s="47">
        <f>VLOOKUP($L38,Jogos!$A$37:$I$40,2,FALSE)</f>
        <v>9</v>
      </c>
      <c r="N38" s="47">
        <f>VLOOKUP($L38,Jogos!$A$37:$I$40,3,FALSE)</f>
        <v>3</v>
      </c>
      <c r="O38" s="47">
        <f>VLOOKUP($L38,Jogos!$A$37:$I$40,4,FALSE)</f>
        <v>3</v>
      </c>
      <c r="P38" s="47">
        <f>VLOOKUP($L38,Jogos!$A$37:$I$40,5,FALSE)</f>
        <v>0</v>
      </c>
      <c r="Q38" s="47">
        <f>VLOOKUP($L38,Jogos!$A$37:$I$40,6,FALSE)</f>
        <v>0</v>
      </c>
      <c r="R38" s="47">
        <f>VLOOKUP($L38,Jogos!$A$37:$I$40,7,FALSE)</f>
        <v>10</v>
      </c>
      <c r="S38" s="47">
        <f>VLOOKUP($L38,Jogos!$A$37:$I$40,8,FALSE)</f>
        <v>1</v>
      </c>
      <c r="T38" s="47">
        <f>VLOOKUP($L38,Jogos!$A$37:$I$40,9,FALSE)</f>
        <v>9</v>
      </c>
      <c r="U38" s="60"/>
      <c r="V38" s="29"/>
      <c r="W38" s="29"/>
      <c r="X38" s="29"/>
      <c r="Y38" s="29"/>
      <c r="Z38" s="29"/>
    </row>
    <row r="39" spans="1:26" ht="13.5" customHeight="1">
      <c r="A39" s="37">
        <v>45829</v>
      </c>
      <c r="B39" s="7" t="s">
        <v>22</v>
      </c>
      <c r="C39" s="38" t="s">
        <v>45</v>
      </c>
      <c r="D39" s="4"/>
      <c r="E39" s="39">
        <v>2</v>
      </c>
      <c r="F39" s="40" t="s">
        <v>6</v>
      </c>
      <c r="G39" s="9">
        <v>2</v>
      </c>
      <c r="H39" s="39"/>
      <c r="I39" s="41" t="s">
        <v>48</v>
      </c>
      <c r="J39" s="1"/>
      <c r="K39" s="78"/>
      <c r="L39" s="46" t="str">
        <f>Jogos!AN38</f>
        <v>River Plate</v>
      </c>
      <c r="M39" s="47">
        <f>VLOOKUP($L39,Jogos!$A$37:$I$40,2,FALSE)</f>
        <v>4</v>
      </c>
      <c r="N39" s="47">
        <f>VLOOKUP($L39,Jogos!$A$37:$I$40,3,FALSE)</f>
        <v>3</v>
      </c>
      <c r="O39" s="47">
        <f>VLOOKUP($L39,Jogos!$A$37:$I$40,4,FALSE)</f>
        <v>1</v>
      </c>
      <c r="P39" s="47">
        <f>VLOOKUP($L39,Jogos!$A$37:$I$40,5,FALSE)</f>
        <v>1</v>
      </c>
      <c r="Q39" s="47">
        <f>VLOOKUP($L39,Jogos!$A$37:$I$40,6,FALSE)</f>
        <v>1</v>
      </c>
      <c r="R39" s="47">
        <f>VLOOKUP($L39,Jogos!$A$37:$I$40,7,FALSE)</f>
        <v>5</v>
      </c>
      <c r="S39" s="47">
        <f>VLOOKUP($L39,Jogos!$A$37:$I$40,8,FALSE)</f>
        <v>4</v>
      </c>
      <c r="T39" s="47">
        <f>VLOOKUP($L39,Jogos!$A$37:$I$40,9,FALSE)</f>
        <v>1</v>
      </c>
      <c r="U39" s="60"/>
      <c r="V39" s="29"/>
      <c r="W39" s="29"/>
      <c r="X39" s="29"/>
      <c r="Y39" s="29"/>
      <c r="Z39" s="29"/>
    </row>
    <row r="40" spans="1:26" ht="13.5" customHeight="1">
      <c r="A40" s="37">
        <v>45833</v>
      </c>
      <c r="B40" s="7" t="s">
        <v>22</v>
      </c>
      <c r="C40" s="38" t="s">
        <v>49</v>
      </c>
      <c r="D40" s="4"/>
      <c r="E40" s="39">
        <v>2</v>
      </c>
      <c r="F40" s="40" t="s">
        <v>6</v>
      </c>
      <c r="G40" s="9">
        <v>1</v>
      </c>
      <c r="H40" s="39"/>
      <c r="I40" s="41" t="s">
        <v>45</v>
      </c>
      <c r="J40" s="1"/>
      <c r="K40" s="78"/>
      <c r="L40" s="46" t="str">
        <f>Jogos!AN39</f>
        <v>Monterrey</v>
      </c>
      <c r="M40" s="47">
        <f>VLOOKUP($L40,Jogos!$A$37:$I$40,2,FALSE)</f>
        <v>4</v>
      </c>
      <c r="N40" s="47">
        <f>VLOOKUP($L40,Jogos!$A$37:$I$40,3,FALSE)</f>
        <v>3</v>
      </c>
      <c r="O40" s="47">
        <f>VLOOKUP($L40,Jogos!$A$37:$I$40,4,FALSE)</f>
        <v>1</v>
      </c>
      <c r="P40" s="47">
        <f>VLOOKUP($L40,Jogos!$A$37:$I$40,5,FALSE)</f>
        <v>1</v>
      </c>
      <c r="Q40" s="47">
        <f>VLOOKUP($L40,Jogos!$A$37:$I$40,6,FALSE)</f>
        <v>1</v>
      </c>
      <c r="R40" s="47">
        <f>VLOOKUP($L40,Jogos!$A$37:$I$40,7,FALSE)</f>
        <v>3</v>
      </c>
      <c r="S40" s="47">
        <f>VLOOKUP($L40,Jogos!$A$37:$I$40,8,FALSE)</f>
        <v>5</v>
      </c>
      <c r="T40" s="47">
        <f>VLOOKUP($L40,Jogos!$A$37:$I$40,9,FALSE)</f>
        <v>-2</v>
      </c>
      <c r="U40" s="60"/>
      <c r="V40" s="29"/>
      <c r="W40" s="29"/>
      <c r="X40" s="29"/>
      <c r="Y40" s="29"/>
      <c r="Z40" s="29"/>
    </row>
    <row r="41" spans="1:26" ht="13.5" customHeight="1">
      <c r="A41" s="37">
        <v>45833</v>
      </c>
      <c r="B41" s="7" t="s">
        <v>22</v>
      </c>
      <c r="C41" s="38" t="s">
        <v>46</v>
      </c>
      <c r="D41" s="4"/>
      <c r="E41" s="39">
        <v>0</v>
      </c>
      <c r="F41" s="40" t="s">
        <v>6</v>
      </c>
      <c r="G41" s="9">
        <v>1</v>
      </c>
      <c r="H41" s="39"/>
      <c r="I41" s="41" t="s">
        <v>48</v>
      </c>
      <c r="J41" s="1"/>
      <c r="K41" s="32"/>
      <c r="L41" s="46" t="str">
        <f>Jogos!AN40</f>
        <v>Urawa Reds</v>
      </c>
      <c r="M41" s="47">
        <f>VLOOKUP($L41,Jogos!$A$37:$I$40,2,FALSE)</f>
        <v>0</v>
      </c>
      <c r="N41" s="47">
        <f>VLOOKUP($L41,Jogos!$A$37:$I$40,3,FALSE)</f>
        <v>3</v>
      </c>
      <c r="O41" s="47">
        <f>VLOOKUP($L41,Jogos!$A$37:$I$40,4,FALSE)</f>
        <v>0</v>
      </c>
      <c r="P41" s="47">
        <f>VLOOKUP($L41,Jogos!$A$37:$I$40,5,FALSE)</f>
        <v>0</v>
      </c>
      <c r="Q41" s="47">
        <f>VLOOKUP($L41,Jogos!$A$37:$I$40,6,FALSE)</f>
        <v>3</v>
      </c>
      <c r="R41" s="47">
        <f>VLOOKUP($L41,Jogos!$A$37:$I$40,7,FALSE)</f>
        <v>0</v>
      </c>
      <c r="S41" s="47">
        <f>VLOOKUP($L41,Jogos!$A$37:$I$40,8,FALSE)</f>
        <v>8</v>
      </c>
      <c r="T41" s="47">
        <f>VLOOKUP($L41,Jogos!$A$37:$I$40,9,FALSE)</f>
        <v>-8</v>
      </c>
      <c r="U41" s="60"/>
      <c r="V41" s="29"/>
      <c r="W41" s="29"/>
      <c r="X41" s="29"/>
      <c r="Y41" s="29"/>
      <c r="Z41" s="29"/>
    </row>
    <row r="42" spans="1:26" ht="13.5" customHeight="1">
      <c r="A42" s="49"/>
      <c r="B42" s="50"/>
      <c r="C42" s="41"/>
      <c r="D42" s="63"/>
      <c r="E42" s="64"/>
      <c r="F42" s="65"/>
      <c r="G42" s="64"/>
      <c r="H42" s="64"/>
      <c r="I42" s="41"/>
      <c r="J42" s="1"/>
      <c r="K42" s="52"/>
      <c r="L42" s="53"/>
      <c r="M42" s="48"/>
      <c r="N42" s="48"/>
      <c r="O42" s="48"/>
      <c r="P42" s="48"/>
      <c r="Q42" s="48"/>
      <c r="R42" s="48"/>
      <c r="S42" s="48"/>
      <c r="T42" s="48"/>
      <c r="U42" s="29"/>
      <c r="V42" s="29"/>
      <c r="W42" s="29"/>
      <c r="X42" s="29"/>
      <c r="Y42" s="29"/>
      <c r="Z42" s="29"/>
    </row>
    <row r="43" spans="1:26" ht="13.5" customHeight="1">
      <c r="A43" s="114" t="s">
        <v>50</v>
      </c>
      <c r="B43" s="111"/>
      <c r="C43" s="111"/>
      <c r="D43" s="54"/>
      <c r="E43" s="110"/>
      <c r="F43" s="111"/>
      <c r="G43" s="111"/>
      <c r="H43" s="54"/>
      <c r="I43" s="55"/>
      <c r="J43" s="1"/>
      <c r="K43" s="56"/>
      <c r="L43" s="57"/>
      <c r="M43" s="58"/>
      <c r="N43" s="58"/>
      <c r="O43" s="58"/>
      <c r="P43" s="58"/>
      <c r="Q43" s="54"/>
      <c r="R43" s="59"/>
      <c r="S43" s="59"/>
      <c r="T43" s="6"/>
      <c r="U43" s="60"/>
      <c r="V43" s="29"/>
      <c r="W43" s="29"/>
      <c r="X43" s="29"/>
      <c r="Y43" s="29"/>
      <c r="Z43" s="29"/>
    </row>
    <row r="44" spans="1:26" ht="13.5" customHeight="1">
      <c r="A44" s="37">
        <v>45825</v>
      </c>
      <c r="B44" s="7" t="s">
        <v>20</v>
      </c>
      <c r="C44" s="38" t="s">
        <v>51</v>
      </c>
      <c r="D44" s="3"/>
      <c r="E44" s="39">
        <v>0</v>
      </c>
      <c r="F44" s="40" t="s">
        <v>6</v>
      </c>
      <c r="G44" s="9">
        <v>2</v>
      </c>
      <c r="H44" s="39"/>
      <c r="I44" s="41" t="s">
        <v>52</v>
      </c>
      <c r="J44" s="1"/>
      <c r="K44" s="42"/>
      <c r="L44" s="123" t="s">
        <v>53</v>
      </c>
      <c r="M44" s="124"/>
      <c r="N44" s="124"/>
      <c r="O44" s="124"/>
      <c r="P44" s="124"/>
      <c r="Q44" s="124"/>
      <c r="R44" s="124"/>
      <c r="S44" s="124"/>
      <c r="T44" s="125"/>
      <c r="U44" s="60"/>
      <c r="V44" s="29"/>
      <c r="W44" s="29"/>
      <c r="X44" s="29"/>
      <c r="Y44" s="29"/>
      <c r="Z44" s="29"/>
    </row>
    <row r="45" spans="1:26" ht="13.5" customHeight="1">
      <c r="A45" s="37">
        <v>45825</v>
      </c>
      <c r="B45" s="7" t="s">
        <v>9</v>
      </c>
      <c r="C45" s="38" t="s">
        <v>54</v>
      </c>
      <c r="D45" s="4"/>
      <c r="E45" s="39">
        <v>1</v>
      </c>
      <c r="F45" s="40" t="s">
        <v>6</v>
      </c>
      <c r="G45" s="9">
        <v>1</v>
      </c>
      <c r="H45" s="39"/>
      <c r="I45" s="41" t="s">
        <v>55</v>
      </c>
      <c r="J45" s="1"/>
      <c r="K45" s="78"/>
      <c r="L45" s="43"/>
      <c r="M45" s="44" t="s">
        <v>12</v>
      </c>
      <c r="N45" s="44" t="s">
        <v>13</v>
      </c>
      <c r="O45" s="44" t="s">
        <v>14</v>
      </c>
      <c r="P45" s="44" t="s">
        <v>15</v>
      </c>
      <c r="Q45" s="44" t="s">
        <v>16</v>
      </c>
      <c r="R45" s="44" t="s">
        <v>17</v>
      </c>
      <c r="S45" s="44" t="s">
        <v>18</v>
      </c>
      <c r="T45" s="5" t="s">
        <v>19</v>
      </c>
      <c r="U45" s="60"/>
      <c r="V45" s="29"/>
      <c r="W45" s="29"/>
      <c r="X45" s="29"/>
      <c r="Y45" s="29"/>
      <c r="Z45" s="29"/>
    </row>
    <row r="46" spans="1:26" ht="13.5" customHeight="1">
      <c r="A46" s="37">
        <v>45829</v>
      </c>
      <c r="B46" s="7" t="s">
        <v>20</v>
      </c>
      <c r="C46" s="41" t="s">
        <v>55</v>
      </c>
      <c r="D46" s="3"/>
      <c r="E46" s="39">
        <v>0</v>
      </c>
      <c r="F46" s="40" t="s">
        <v>6</v>
      </c>
      <c r="G46" s="9">
        <v>4</v>
      </c>
      <c r="H46" s="45"/>
      <c r="I46" s="41" t="s">
        <v>52</v>
      </c>
      <c r="J46" s="1"/>
      <c r="K46" s="78"/>
      <c r="L46" s="46" t="str">
        <f>Jogos!AN45</f>
        <v>Borussia Dortmund</v>
      </c>
      <c r="M46" s="47">
        <f>VLOOKUP($L46,Jogos!$A$45:$I$48,2,FALSE)</f>
        <v>9</v>
      </c>
      <c r="N46" s="47">
        <f>VLOOKUP($L46,Jogos!$A$45:$I$48,3,FALSE)</f>
        <v>3</v>
      </c>
      <c r="O46" s="47">
        <f>VLOOKUP($L46,Jogos!$A$45:$I$48,4,FALSE)</f>
        <v>3</v>
      </c>
      <c r="P46" s="47">
        <f>VLOOKUP($L46,Jogos!$A$45:$I$48,5,FALSE)</f>
        <v>0</v>
      </c>
      <c r="Q46" s="47">
        <f>VLOOKUP($L46,Jogos!$A$45:$I$48,6,FALSE)</f>
        <v>0</v>
      </c>
      <c r="R46" s="47">
        <f>VLOOKUP($L46,Jogos!$A$45:$I$48,7,FALSE)</f>
        <v>11</v>
      </c>
      <c r="S46" s="47">
        <f>VLOOKUP($L46,Jogos!$A$45:$I$48,8,FALSE)</f>
        <v>0</v>
      </c>
      <c r="T46" s="47">
        <f>VLOOKUP($L46,Jogos!$A$45:$I$48,9,FALSE)</f>
        <v>11</v>
      </c>
      <c r="U46" s="60"/>
      <c r="V46" s="29"/>
      <c r="W46" s="29"/>
      <c r="X46" s="29"/>
      <c r="Y46" s="29"/>
      <c r="Z46" s="29"/>
    </row>
    <row r="47" spans="1:26" ht="13.5" customHeight="1">
      <c r="A47" s="37">
        <v>45829</v>
      </c>
      <c r="B47" s="7" t="s">
        <v>9</v>
      </c>
      <c r="C47" s="38" t="s">
        <v>51</v>
      </c>
      <c r="D47" s="4"/>
      <c r="E47" s="39">
        <v>1</v>
      </c>
      <c r="F47" s="40" t="s">
        <v>6</v>
      </c>
      <c r="G47" s="9">
        <v>0</v>
      </c>
      <c r="H47" s="39"/>
      <c r="I47" s="41" t="s">
        <v>54</v>
      </c>
      <c r="J47" s="1"/>
      <c r="K47" s="78"/>
      <c r="L47" s="46" t="str">
        <f>Jogos!AN46</f>
        <v>Fluminense</v>
      </c>
      <c r="M47" s="47">
        <f>VLOOKUP($L47,Jogos!$A$45:$I$48,2,FALSE)</f>
        <v>6</v>
      </c>
      <c r="N47" s="47">
        <f>VLOOKUP($L47,Jogos!$A$45:$I$48,3,FALSE)</f>
        <v>3</v>
      </c>
      <c r="O47" s="47">
        <f>VLOOKUP($L47,Jogos!$A$45:$I$48,4,FALSE)</f>
        <v>2</v>
      </c>
      <c r="P47" s="47">
        <f>VLOOKUP($L47,Jogos!$A$45:$I$48,5,FALSE)</f>
        <v>0</v>
      </c>
      <c r="Q47" s="47">
        <f>VLOOKUP($L47,Jogos!$A$45:$I$48,6,FALSE)</f>
        <v>1</v>
      </c>
      <c r="R47" s="47">
        <f>VLOOKUP($L47,Jogos!$A$45:$I$48,7,FALSE)</f>
        <v>2</v>
      </c>
      <c r="S47" s="47">
        <f>VLOOKUP($L47,Jogos!$A$45:$I$48,8,FALSE)</f>
        <v>2</v>
      </c>
      <c r="T47" s="47">
        <f>VLOOKUP($L47,Jogos!$A$45:$I$48,9,FALSE)</f>
        <v>0</v>
      </c>
      <c r="U47" s="60"/>
      <c r="V47" s="29"/>
      <c r="W47" s="29"/>
      <c r="X47" s="29"/>
      <c r="Y47" s="29"/>
      <c r="Z47" s="29"/>
    </row>
    <row r="48" spans="1:26" ht="13.5" customHeight="1">
      <c r="A48" s="37">
        <v>45833</v>
      </c>
      <c r="B48" s="7" t="s">
        <v>21</v>
      </c>
      <c r="C48" s="38" t="s">
        <v>55</v>
      </c>
      <c r="D48" s="4"/>
      <c r="E48" s="39">
        <v>0</v>
      </c>
      <c r="F48" s="40" t="s">
        <v>6</v>
      </c>
      <c r="G48" s="9">
        <v>1</v>
      </c>
      <c r="H48" s="39"/>
      <c r="I48" s="41" t="s">
        <v>51</v>
      </c>
      <c r="J48" s="1"/>
      <c r="K48" s="78"/>
      <c r="L48" s="46" t="str">
        <f>Jogos!AN47</f>
        <v>Mamelodi Sundowns</v>
      </c>
      <c r="M48" s="47">
        <f>VLOOKUP($L48,Jogos!$A$45:$I$48,2,FALSE)</f>
        <v>1</v>
      </c>
      <c r="N48" s="47">
        <f>VLOOKUP($L48,Jogos!$A$45:$I$48,3,FALSE)</f>
        <v>3</v>
      </c>
      <c r="O48" s="47">
        <f>VLOOKUP($L48,Jogos!$A$45:$I$48,4,FALSE)</f>
        <v>0</v>
      </c>
      <c r="P48" s="47">
        <f>VLOOKUP($L48,Jogos!$A$45:$I$48,5,FALSE)</f>
        <v>1</v>
      </c>
      <c r="Q48" s="47">
        <f>VLOOKUP($L48,Jogos!$A$45:$I$48,6,FALSE)</f>
        <v>2</v>
      </c>
      <c r="R48" s="47">
        <f>VLOOKUP($L48,Jogos!$A$45:$I$48,7,FALSE)</f>
        <v>1</v>
      </c>
      <c r="S48" s="47">
        <f>VLOOKUP($L48,Jogos!$A$45:$I$48,8,FALSE)</f>
        <v>6</v>
      </c>
      <c r="T48" s="47">
        <f>VLOOKUP($L48,Jogos!$A$45:$I$48,9,FALSE)</f>
        <v>-5</v>
      </c>
      <c r="U48" s="60"/>
      <c r="V48" s="29"/>
      <c r="W48" s="29"/>
      <c r="X48" s="29"/>
      <c r="Y48" s="29"/>
      <c r="Z48" s="29"/>
    </row>
    <row r="49" spans="1:26" ht="13.5" customHeight="1">
      <c r="A49" s="37">
        <v>45833</v>
      </c>
      <c r="B49" s="7" t="s">
        <v>21</v>
      </c>
      <c r="C49" s="41" t="s">
        <v>52</v>
      </c>
      <c r="D49" s="4"/>
      <c r="E49" s="39">
        <v>5</v>
      </c>
      <c r="F49" s="40" t="s">
        <v>6</v>
      </c>
      <c r="G49" s="9">
        <v>0</v>
      </c>
      <c r="H49" s="39"/>
      <c r="I49" s="41" t="s">
        <v>54</v>
      </c>
      <c r="J49" s="1"/>
      <c r="K49" s="32"/>
      <c r="L49" s="46" t="str">
        <f>Jogos!AN48</f>
        <v>Ulsan HD</v>
      </c>
      <c r="M49" s="47">
        <f>VLOOKUP($L49,Jogos!$A$45:$I$48,2,FALSE)</f>
        <v>1</v>
      </c>
      <c r="N49" s="47">
        <f>VLOOKUP($L49,Jogos!$A$45:$I$48,3,FALSE)</f>
        <v>3</v>
      </c>
      <c r="O49" s="47">
        <f>VLOOKUP($L49,Jogos!$A$45:$I$48,4,FALSE)</f>
        <v>0</v>
      </c>
      <c r="P49" s="47">
        <f>VLOOKUP($L49,Jogos!$A$45:$I$48,5,FALSE)</f>
        <v>1</v>
      </c>
      <c r="Q49" s="47">
        <f>VLOOKUP($L49,Jogos!$A$45:$I$48,6,FALSE)</f>
        <v>2</v>
      </c>
      <c r="R49" s="47">
        <f>VLOOKUP($L49,Jogos!$A$45:$I$48,7,FALSE)</f>
        <v>1</v>
      </c>
      <c r="S49" s="47">
        <f>VLOOKUP($L49,Jogos!$A$45:$I$48,8,FALSE)</f>
        <v>7</v>
      </c>
      <c r="T49" s="47">
        <f>VLOOKUP($L49,Jogos!$A$45:$I$48,9,FALSE)</f>
        <v>-6</v>
      </c>
      <c r="U49" s="60"/>
      <c r="V49" s="29"/>
      <c r="W49" s="29"/>
      <c r="X49" s="29"/>
      <c r="Y49" s="29"/>
      <c r="Z49" s="29"/>
    </row>
    <row r="50" spans="1:26" ht="13.5" customHeight="1">
      <c r="A50" s="49"/>
      <c r="B50" s="50"/>
      <c r="C50" s="41"/>
      <c r="D50" s="63"/>
      <c r="E50" s="64"/>
      <c r="F50" s="65"/>
      <c r="G50" s="64"/>
      <c r="H50" s="64"/>
      <c r="I50" s="41"/>
      <c r="J50" s="1"/>
      <c r="K50" s="52"/>
      <c r="L50" s="53"/>
      <c r="M50" s="48"/>
      <c r="N50" s="48"/>
      <c r="O50" s="48"/>
      <c r="P50" s="48"/>
      <c r="Q50" s="48"/>
      <c r="R50" s="48"/>
      <c r="S50" s="48"/>
      <c r="T50" s="48"/>
      <c r="U50" s="29"/>
      <c r="V50" s="29"/>
      <c r="W50" s="29"/>
      <c r="X50" s="29"/>
      <c r="Y50" s="29"/>
      <c r="Z50" s="29"/>
    </row>
    <row r="51" spans="1:26" ht="13.5" customHeight="1">
      <c r="A51" s="114" t="s">
        <v>56</v>
      </c>
      <c r="B51" s="111"/>
      <c r="C51" s="111"/>
      <c r="D51" s="54"/>
      <c r="E51" s="110"/>
      <c r="F51" s="111"/>
      <c r="G51" s="111"/>
      <c r="H51" s="54"/>
      <c r="I51" s="55"/>
      <c r="J51" s="1"/>
      <c r="K51" s="56"/>
      <c r="L51" s="57"/>
      <c r="M51" s="58"/>
      <c r="N51" s="58"/>
      <c r="O51" s="58"/>
      <c r="P51" s="58"/>
      <c r="Q51" s="54"/>
      <c r="R51" s="59"/>
      <c r="S51" s="59"/>
      <c r="T51" s="6"/>
      <c r="U51" s="60"/>
      <c r="V51" s="29"/>
      <c r="W51" s="29"/>
      <c r="X51" s="29"/>
      <c r="Y51" s="29"/>
      <c r="Z51" s="29"/>
    </row>
    <row r="52" spans="1:26" ht="13.5" customHeight="1">
      <c r="A52" s="37">
        <v>45826</v>
      </c>
      <c r="B52" s="7" t="s">
        <v>20</v>
      </c>
      <c r="C52" s="38" t="s">
        <v>57</v>
      </c>
      <c r="D52" s="3"/>
      <c r="E52" s="39">
        <v>3</v>
      </c>
      <c r="F52" s="40" t="s">
        <v>6</v>
      </c>
      <c r="G52" s="9">
        <v>0</v>
      </c>
      <c r="H52" s="39"/>
      <c r="I52" s="41" t="s">
        <v>58</v>
      </c>
      <c r="J52" s="1"/>
      <c r="K52" s="42"/>
      <c r="L52" s="123" t="s">
        <v>59</v>
      </c>
      <c r="M52" s="124"/>
      <c r="N52" s="124"/>
      <c r="O52" s="124"/>
      <c r="P52" s="124"/>
      <c r="Q52" s="124"/>
      <c r="R52" s="124"/>
      <c r="S52" s="124"/>
      <c r="T52" s="125"/>
      <c r="U52" s="60"/>
      <c r="V52" s="29"/>
      <c r="W52" s="29"/>
      <c r="X52" s="29"/>
      <c r="Y52" s="29"/>
      <c r="Z52" s="29"/>
    </row>
    <row r="53" spans="1:26" ht="13.5" customHeight="1">
      <c r="A53" s="37">
        <v>45826</v>
      </c>
      <c r="B53" s="7" t="s">
        <v>22</v>
      </c>
      <c r="C53" s="38" t="s">
        <v>60</v>
      </c>
      <c r="D53" s="4"/>
      <c r="E53" s="39">
        <v>0</v>
      </c>
      <c r="F53" s="40" t="s">
        <v>6</v>
      </c>
      <c r="G53" s="9">
        <v>2</v>
      </c>
      <c r="H53" s="39"/>
      <c r="I53" s="41" t="s">
        <v>61</v>
      </c>
      <c r="J53" s="1"/>
      <c r="K53" s="78"/>
      <c r="L53" s="43"/>
      <c r="M53" s="44" t="s">
        <v>12</v>
      </c>
      <c r="N53" s="44" t="s">
        <v>13</v>
      </c>
      <c r="O53" s="44" t="s">
        <v>14</v>
      </c>
      <c r="P53" s="44" t="s">
        <v>15</v>
      </c>
      <c r="Q53" s="44" t="s">
        <v>16</v>
      </c>
      <c r="R53" s="44" t="s">
        <v>17</v>
      </c>
      <c r="S53" s="44" t="s">
        <v>18</v>
      </c>
      <c r="T53" s="5" t="s">
        <v>19</v>
      </c>
      <c r="U53" s="60"/>
      <c r="V53" s="29"/>
      <c r="W53" s="29"/>
      <c r="X53" s="29"/>
      <c r="Y53" s="29"/>
      <c r="Z53" s="29"/>
    </row>
    <row r="54" spans="1:26" ht="13.5" customHeight="1">
      <c r="A54" s="37">
        <v>45830</v>
      </c>
      <c r="B54" s="7" t="s">
        <v>20</v>
      </c>
      <c r="C54" s="41" t="s">
        <v>61</v>
      </c>
      <c r="D54" s="3"/>
      <c r="E54" s="39">
        <v>3</v>
      </c>
      <c r="F54" s="40" t="s">
        <v>6</v>
      </c>
      <c r="G54" s="9">
        <v>0</v>
      </c>
      <c r="H54" s="45"/>
      <c r="I54" s="41" t="s">
        <v>58</v>
      </c>
      <c r="J54" s="1"/>
      <c r="K54" s="78"/>
      <c r="L54" s="46" t="str">
        <f>Jogos!AN53</f>
        <v>Manchester City</v>
      </c>
      <c r="M54" s="47">
        <f>VLOOKUP($L54,Jogos!$A$53:$I$56,2,FALSE)</f>
        <v>9</v>
      </c>
      <c r="N54" s="47">
        <f>VLOOKUP($L54,Jogos!$A$53:$I$56,3,FALSE)</f>
        <v>3</v>
      </c>
      <c r="O54" s="47">
        <f>VLOOKUP($L54,Jogos!$A$53:$I$56,4,FALSE)</f>
        <v>3</v>
      </c>
      <c r="P54" s="47">
        <f>VLOOKUP($L54,Jogos!$A$53:$I$56,5,FALSE)</f>
        <v>0</v>
      </c>
      <c r="Q54" s="47">
        <f>VLOOKUP($L54,Jogos!$A$53:$I$56,6,FALSE)</f>
        <v>0</v>
      </c>
      <c r="R54" s="47">
        <f>VLOOKUP($L54,Jogos!$A$53:$I$56,7,FALSE)</f>
        <v>10</v>
      </c>
      <c r="S54" s="47">
        <f>VLOOKUP($L54,Jogos!$A$53:$I$56,8,FALSE)</f>
        <v>2</v>
      </c>
      <c r="T54" s="47">
        <f>VLOOKUP($L54,Jogos!$A$53:$I$56,9,FALSE)</f>
        <v>8</v>
      </c>
      <c r="U54" s="60"/>
      <c r="V54" s="29"/>
      <c r="W54" s="29"/>
      <c r="X54" s="29"/>
      <c r="Y54" s="29"/>
      <c r="Z54" s="29"/>
    </row>
    <row r="55" spans="1:26" ht="13.5" customHeight="1">
      <c r="A55" s="37">
        <v>45830</v>
      </c>
      <c r="B55" s="7" t="s">
        <v>22</v>
      </c>
      <c r="C55" s="38" t="s">
        <v>57</v>
      </c>
      <c r="D55" s="4"/>
      <c r="E55" s="39">
        <v>4</v>
      </c>
      <c r="F55" s="40" t="s">
        <v>6</v>
      </c>
      <c r="G55" s="9">
        <v>0</v>
      </c>
      <c r="H55" s="39"/>
      <c r="I55" s="41" t="s">
        <v>60</v>
      </c>
      <c r="J55" s="1"/>
      <c r="K55" s="78"/>
      <c r="L55" s="46" t="str">
        <f>Jogos!AN54</f>
        <v>Juventus</v>
      </c>
      <c r="M55" s="47">
        <f>VLOOKUP($L55,Jogos!$A$53:$I$56,2,FALSE)</f>
        <v>6</v>
      </c>
      <c r="N55" s="47">
        <f>VLOOKUP($L55,Jogos!$A$53:$I$56,3,FALSE)</f>
        <v>3</v>
      </c>
      <c r="O55" s="47">
        <f>VLOOKUP($L55,Jogos!$A$53:$I$56,4,FALSE)</f>
        <v>2</v>
      </c>
      <c r="P55" s="47">
        <f>VLOOKUP($L55,Jogos!$A$53:$I$56,5,FALSE)</f>
        <v>0</v>
      </c>
      <c r="Q55" s="47">
        <f>VLOOKUP($L55,Jogos!$A$53:$I$56,6,FALSE)</f>
        <v>1</v>
      </c>
      <c r="R55" s="47">
        <f>VLOOKUP($L55,Jogos!$A$53:$I$56,7,FALSE)</f>
        <v>7</v>
      </c>
      <c r="S55" s="47">
        <f>VLOOKUP($L55,Jogos!$A$53:$I$56,8,FALSE)</f>
        <v>3</v>
      </c>
      <c r="T55" s="47">
        <f>VLOOKUP($L55,Jogos!$A$53:$I$56,9,FALSE)</f>
        <v>4</v>
      </c>
      <c r="U55" s="60"/>
      <c r="V55" s="29"/>
      <c r="W55" s="29"/>
      <c r="X55" s="29"/>
      <c r="Y55" s="29"/>
      <c r="Z55" s="29"/>
    </row>
    <row r="56" spans="1:26" ht="13.5" customHeight="1">
      <c r="A56" s="37">
        <v>45834</v>
      </c>
      <c r="B56" s="7" t="s">
        <v>21</v>
      </c>
      <c r="C56" s="38" t="s">
        <v>61</v>
      </c>
      <c r="D56" s="4"/>
      <c r="E56" s="39">
        <v>2</v>
      </c>
      <c r="F56" s="40" t="s">
        <v>6</v>
      </c>
      <c r="G56" s="9">
        <v>3</v>
      </c>
      <c r="H56" s="39"/>
      <c r="I56" s="41" t="s">
        <v>57</v>
      </c>
      <c r="J56" s="1"/>
      <c r="K56" s="78"/>
      <c r="L56" s="46" t="str">
        <f>Jogos!AN55</f>
        <v>Al-Ain</v>
      </c>
      <c r="M56" s="47">
        <f>VLOOKUP($L56,Jogos!$A$53:$I$56,2,FALSE)</f>
        <v>1</v>
      </c>
      <c r="N56" s="47">
        <f>VLOOKUP($L56,Jogos!$A$53:$I$56,3,FALSE)</f>
        <v>3</v>
      </c>
      <c r="O56" s="47">
        <f>VLOOKUP($L56,Jogos!$A$53:$I$56,4,FALSE)</f>
        <v>0</v>
      </c>
      <c r="P56" s="47">
        <f>VLOOKUP($L56,Jogos!$A$53:$I$56,5,FALSE)</f>
        <v>1</v>
      </c>
      <c r="Q56" s="47">
        <f>VLOOKUP($L56,Jogos!$A$53:$I$56,6,FALSE)</f>
        <v>2</v>
      </c>
      <c r="R56" s="47">
        <f>VLOOKUP($L56,Jogos!$A$53:$I$56,7,FALSE)</f>
        <v>1</v>
      </c>
      <c r="S56" s="47">
        <f>VLOOKUP($L56,Jogos!$A$53:$I$56,8,FALSE)</f>
        <v>7</v>
      </c>
      <c r="T56" s="47">
        <f>VLOOKUP($L56,Jogos!$A$53:$I$56,9,FALSE)</f>
        <v>-6</v>
      </c>
      <c r="U56" s="60"/>
      <c r="V56" s="29"/>
      <c r="W56" s="29"/>
      <c r="X56" s="29"/>
      <c r="Y56" s="29"/>
      <c r="Z56" s="29"/>
    </row>
    <row r="57" spans="1:26" ht="13.5" customHeight="1">
      <c r="A57" s="37">
        <v>45834</v>
      </c>
      <c r="B57" s="7" t="s">
        <v>21</v>
      </c>
      <c r="C57" s="41" t="s">
        <v>58</v>
      </c>
      <c r="D57" s="4"/>
      <c r="E57" s="39">
        <v>1</v>
      </c>
      <c r="F57" s="40" t="s">
        <v>6</v>
      </c>
      <c r="G57" s="9">
        <v>1</v>
      </c>
      <c r="H57" s="39"/>
      <c r="I57" s="41" t="s">
        <v>60</v>
      </c>
      <c r="J57" s="1"/>
      <c r="K57" s="32"/>
      <c r="L57" s="46" t="str">
        <f>Jogos!AN56</f>
        <v>Wydad Casablanca</v>
      </c>
      <c r="M57" s="47">
        <f>VLOOKUP($L57,Jogos!$A$53:$I$56,2,FALSE)</f>
        <v>1</v>
      </c>
      <c r="N57" s="47">
        <f>VLOOKUP($L57,Jogos!$A$53:$I$56,3,FALSE)</f>
        <v>3</v>
      </c>
      <c r="O57" s="47">
        <f>VLOOKUP($L57,Jogos!$A$53:$I$56,4,FALSE)</f>
        <v>0</v>
      </c>
      <c r="P57" s="47">
        <f>VLOOKUP($L57,Jogos!$A$53:$I$56,5,FALSE)</f>
        <v>1</v>
      </c>
      <c r="Q57" s="47">
        <f>VLOOKUP($L57,Jogos!$A$53:$I$56,6,FALSE)</f>
        <v>2</v>
      </c>
      <c r="R57" s="47">
        <f>VLOOKUP($L57,Jogos!$A$53:$I$56,7,FALSE)</f>
        <v>1</v>
      </c>
      <c r="S57" s="47">
        <f>VLOOKUP($L57,Jogos!$A$53:$I$56,8,FALSE)</f>
        <v>7</v>
      </c>
      <c r="T57" s="47">
        <f>VLOOKUP($L57,Jogos!$A$53:$I$56,9,FALSE)</f>
        <v>-6</v>
      </c>
      <c r="U57" s="60"/>
      <c r="V57" s="29"/>
      <c r="W57" s="29"/>
      <c r="X57" s="29"/>
      <c r="Y57" s="29"/>
      <c r="Z57" s="29"/>
    </row>
    <row r="58" spans="1:26" ht="13.5" customHeight="1">
      <c r="A58" s="49"/>
      <c r="B58" s="50"/>
      <c r="C58" s="41"/>
      <c r="D58" s="63"/>
      <c r="E58" s="64"/>
      <c r="F58" s="65"/>
      <c r="G58" s="64"/>
      <c r="H58" s="64"/>
      <c r="I58" s="41"/>
      <c r="J58" s="1"/>
      <c r="K58" s="52"/>
      <c r="L58" s="53"/>
      <c r="M58" s="48"/>
      <c r="N58" s="48"/>
      <c r="O58" s="48"/>
      <c r="P58" s="48"/>
      <c r="Q58" s="48"/>
      <c r="R58" s="48"/>
      <c r="S58" s="48"/>
      <c r="T58" s="48"/>
      <c r="U58" s="29"/>
      <c r="V58" s="29"/>
      <c r="W58" s="29"/>
      <c r="X58" s="29"/>
      <c r="Y58" s="29"/>
      <c r="Z58" s="29"/>
    </row>
    <row r="59" spans="1:26" ht="13.5" customHeight="1">
      <c r="A59" s="114" t="s">
        <v>62</v>
      </c>
      <c r="B59" s="111"/>
      <c r="C59" s="111"/>
      <c r="D59" s="54"/>
      <c r="E59" s="110"/>
      <c r="F59" s="111"/>
      <c r="G59" s="111"/>
      <c r="H59" s="54"/>
      <c r="I59" s="55"/>
      <c r="J59" s="1"/>
      <c r="K59" s="56"/>
      <c r="L59" s="57"/>
      <c r="M59" s="58"/>
      <c r="N59" s="58"/>
      <c r="O59" s="58"/>
      <c r="P59" s="58"/>
      <c r="Q59" s="54"/>
      <c r="R59" s="59"/>
      <c r="S59" s="59"/>
      <c r="T59" s="6"/>
      <c r="U59" s="60"/>
      <c r="V59" s="29"/>
      <c r="W59" s="29"/>
      <c r="X59" s="29"/>
      <c r="Y59" s="29"/>
      <c r="Z59" s="29"/>
    </row>
    <row r="60" spans="1:26" ht="13.5" customHeight="1">
      <c r="A60" s="37">
        <v>45826</v>
      </c>
      <c r="B60" s="7" t="s">
        <v>21</v>
      </c>
      <c r="C60" s="38" t="s">
        <v>63</v>
      </c>
      <c r="D60" s="3"/>
      <c r="E60" s="39">
        <v>2</v>
      </c>
      <c r="F60" s="40" t="s">
        <v>6</v>
      </c>
      <c r="G60" s="9">
        <v>0</v>
      </c>
      <c r="H60" s="39"/>
      <c r="I60" s="41" t="s">
        <v>64</v>
      </c>
      <c r="J60" s="1"/>
      <c r="K60" s="42"/>
      <c r="L60" s="123" t="s">
        <v>65</v>
      </c>
      <c r="M60" s="124"/>
      <c r="N60" s="124"/>
      <c r="O60" s="124"/>
      <c r="P60" s="124"/>
      <c r="Q60" s="124"/>
      <c r="R60" s="124"/>
      <c r="S60" s="124"/>
      <c r="T60" s="125"/>
      <c r="U60" s="60"/>
      <c r="V60" s="29"/>
      <c r="W60" s="29"/>
      <c r="X60" s="29"/>
      <c r="Y60" s="29"/>
      <c r="Z60" s="29"/>
    </row>
    <row r="61" spans="1:26" ht="13.5" customHeight="1">
      <c r="A61" s="37">
        <v>45826</v>
      </c>
      <c r="B61" s="7" t="s">
        <v>9</v>
      </c>
      <c r="C61" s="38" t="s">
        <v>66</v>
      </c>
      <c r="D61" s="4"/>
      <c r="E61" s="39">
        <v>1</v>
      </c>
      <c r="F61" s="40" t="s">
        <v>6</v>
      </c>
      <c r="G61" s="9">
        <v>2</v>
      </c>
      <c r="H61" s="39"/>
      <c r="I61" s="41" t="s">
        <v>67</v>
      </c>
      <c r="J61" s="1"/>
      <c r="K61" s="78"/>
      <c r="L61" s="43"/>
      <c r="M61" s="44" t="s">
        <v>12</v>
      </c>
      <c r="N61" s="44" t="s">
        <v>13</v>
      </c>
      <c r="O61" s="44" t="s">
        <v>14</v>
      </c>
      <c r="P61" s="44" t="s">
        <v>15</v>
      </c>
      <c r="Q61" s="44" t="s">
        <v>16</v>
      </c>
      <c r="R61" s="44" t="s">
        <v>17</v>
      </c>
      <c r="S61" s="44" t="s">
        <v>18</v>
      </c>
      <c r="T61" s="5" t="s">
        <v>19</v>
      </c>
      <c r="U61" s="60"/>
      <c r="V61" s="29"/>
      <c r="W61" s="29"/>
      <c r="X61" s="29"/>
      <c r="Y61" s="29"/>
      <c r="Z61" s="29"/>
    </row>
    <row r="62" spans="1:26" ht="13.5" customHeight="1">
      <c r="A62" s="37">
        <v>45830</v>
      </c>
      <c r="B62" s="7" t="s">
        <v>21</v>
      </c>
      <c r="C62" s="38" t="s">
        <v>63</v>
      </c>
      <c r="D62" s="3"/>
      <c r="E62" s="39">
        <v>3</v>
      </c>
      <c r="F62" s="40" t="s">
        <v>6</v>
      </c>
      <c r="G62" s="9">
        <v>0</v>
      </c>
      <c r="H62" s="45"/>
      <c r="I62" s="41" t="s">
        <v>66</v>
      </c>
      <c r="J62" s="1"/>
      <c r="K62" s="78"/>
      <c r="L62" s="46" t="str">
        <f>Jogos!AN61</f>
        <v>Real Madrid</v>
      </c>
      <c r="M62" s="47">
        <f>VLOOKUP($L62,Jogos!$A$61:$I$64,2,FALSE)</f>
        <v>9</v>
      </c>
      <c r="N62" s="47">
        <f>VLOOKUP($L62,Jogos!$A$61:$I$64,3,FALSE)</f>
        <v>3</v>
      </c>
      <c r="O62" s="47">
        <f>VLOOKUP($L62,Jogos!$A$61:$I$64,4,FALSE)</f>
        <v>3</v>
      </c>
      <c r="P62" s="47">
        <f>VLOOKUP($L62,Jogos!$A$61:$I$64,5,FALSE)</f>
        <v>0</v>
      </c>
      <c r="Q62" s="47">
        <f>VLOOKUP($L62,Jogos!$A$61:$I$64,6,FALSE)</f>
        <v>0</v>
      </c>
      <c r="R62" s="47">
        <f>VLOOKUP($L62,Jogos!$A$61:$I$64,7,FALSE)</f>
        <v>8</v>
      </c>
      <c r="S62" s="47">
        <f>VLOOKUP($L62,Jogos!$A$61:$I$64,8,FALSE)</f>
        <v>1</v>
      </c>
      <c r="T62" s="47">
        <f>VLOOKUP($L62,Jogos!$A$61:$I$64,9,FALSE)</f>
        <v>7</v>
      </c>
      <c r="U62" s="60"/>
      <c r="V62" s="29"/>
      <c r="W62" s="29"/>
      <c r="X62" s="29"/>
      <c r="Y62" s="29"/>
      <c r="Z62" s="29"/>
    </row>
    <row r="63" spans="1:26" ht="13.5" customHeight="1">
      <c r="A63" s="37">
        <v>45830</v>
      </c>
      <c r="B63" s="7" t="s">
        <v>9</v>
      </c>
      <c r="C63" s="38" t="s">
        <v>67</v>
      </c>
      <c r="D63" s="4"/>
      <c r="E63" s="39">
        <v>1</v>
      </c>
      <c r="F63" s="40" t="s">
        <v>6</v>
      </c>
      <c r="G63" s="9">
        <v>2</v>
      </c>
      <c r="H63" s="39"/>
      <c r="I63" s="41" t="s">
        <v>64</v>
      </c>
      <c r="J63" s="1"/>
      <c r="K63" s="78"/>
      <c r="L63" s="46" t="str">
        <f>Jogos!AN62</f>
        <v>Al-Hilal</v>
      </c>
      <c r="M63" s="47">
        <f>VLOOKUP($L63,Jogos!$A$61:$I$64,2,FALSE)</f>
        <v>4</v>
      </c>
      <c r="N63" s="47">
        <f>VLOOKUP($L63,Jogos!$A$61:$I$64,3,FALSE)</f>
        <v>3</v>
      </c>
      <c r="O63" s="47">
        <f>VLOOKUP($L63,Jogos!$A$61:$I$64,4,FALSE)</f>
        <v>1</v>
      </c>
      <c r="P63" s="47">
        <f>VLOOKUP($L63,Jogos!$A$61:$I$64,5,FALSE)</f>
        <v>1</v>
      </c>
      <c r="Q63" s="47">
        <f>VLOOKUP($L63,Jogos!$A$61:$I$64,6,FALSE)</f>
        <v>1</v>
      </c>
      <c r="R63" s="47">
        <f>VLOOKUP($L63,Jogos!$A$61:$I$64,7,FALSE)</f>
        <v>4</v>
      </c>
      <c r="S63" s="47">
        <f>VLOOKUP($L63,Jogos!$A$61:$I$64,8,FALSE)</f>
        <v>5</v>
      </c>
      <c r="T63" s="47">
        <f>VLOOKUP($L63,Jogos!$A$61:$I$64,9,FALSE)</f>
        <v>-1</v>
      </c>
      <c r="U63" s="60"/>
      <c r="V63" s="29"/>
      <c r="W63" s="29"/>
      <c r="X63" s="29"/>
      <c r="Y63" s="29"/>
      <c r="Z63" s="29"/>
    </row>
    <row r="64" spans="1:26" ht="13.5" customHeight="1">
      <c r="A64" s="37">
        <v>45834</v>
      </c>
      <c r="B64" s="7" t="s">
        <v>22</v>
      </c>
      <c r="C64" s="38" t="s">
        <v>67</v>
      </c>
      <c r="D64" s="4"/>
      <c r="E64" s="39">
        <v>1</v>
      </c>
      <c r="F64" s="40" t="s">
        <v>6</v>
      </c>
      <c r="G64" s="9">
        <v>3</v>
      </c>
      <c r="H64" s="39"/>
      <c r="I64" s="41" t="s">
        <v>63</v>
      </c>
      <c r="J64" s="1"/>
      <c r="K64" s="78"/>
      <c r="L64" s="46" t="str">
        <f>Jogos!AN63</f>
        <v>RB Salzburg</v>
      </c>
      <c r="M64" s="47">
        <f>VLOOKUP($L64,Jogos!$A$61:$I$64,2,FALSE)</f>
        <v>3</v>
      </c>
      <c r="N64" s="47">
        <f>VLOOKUP($L64,Jogos!$A$61:$I$64,3,FALSE)</f>
        <v>3</v>
      </c>
      <c r="O64" s="47">
        <f>VLOOKUP($L64,Jogos!$A$61:$I$64,4,FALSE)</f>
        <v>1</v>
      </c>
      <c r="P64" s="47">
        <f>VLOOKUP($L64,Jogos!$A$61:$I$64,5,FALSE)</f>
        <v>0</v>
      </c>
      <c r="Q64" s="47">
        <f>VLOOKUP($L64,Jogos!$A$61:$I$64,6,FALSE)</f>
        <v>2</v>
      </c>
      <c r="R64" s="47">
        <f>VLOOKUP($L64,Jogos!$A$61:$I$64,7,FALSE)</f>
        <v>4</v>
      </c>
      <c r="S64" s="47">
        <f>VLOOKUP($L64,Jogos!$A$61:$I$64,8,FALSE)</f>
        <v>6</v>
      </c>
      <c r="T64" s="47">
        <f>VLOOKUP($L64,Jogos!$A$61:$I$64,9,FALSE)</f>
        <v>-2</v>
      </c>
      <c r="U64" s="60"/>
      <c r="V64" s="29"/>
      <c r="W64" s="29"/>
      <c r="X64" s="29"/>
      <c r="Y64" s="29"/>
      <c r="Z64" s="29"/>
    </row>
    <row r="65" spans="1:26" ht="13.5" customHeight="1">
      <c r="A65" s="37">
        <v>45834</v>
      </c>
      <c r="B65" s="7" t="s">
        <v>22</v>
      </c>
      <c r="C65" s="38" t="s">
        <v>64</v>
      </c>
      <c r="D65" s="4"/>
      <c r="E65" s="39">
        <v>2</v>
      </c>
      <c r="F65" s="40" t="s">
        <v>6</v>
      </c>
      <c r="G65" s="9">
        <v>2</v>
      </c>
      <c r="H65" s="39"/>
      <c r="I65" s="41" t="s">
        <v>66</v>
      </c>
      <c r="J65" s="1"/>
      <c r="K65" s="32"/>
      <c r="L65" s="46" t="str">
        <f>Jogos!AN64</f>
        <v>Pachuca</v>
      </c>
      <c r="M65" s="47">
        <f>VLOOKUP($L65,Jogos!$A$61:$I$64,2,FALSE)</f>
        <v>1</v>
      </c>
      <c r="N65" s="47">
        <f>VLOOKUP($L65,Jogos!$A$61:$I$64,3,FALSE)</f>
        <v>3</v>
      </c>
      <c r="O65" s="47">
        <f>VLOOKUP($L65,Jogos!$A$61:$I$64,4,FALSE)</f>
        <v>0</v>
      </c>
      <c r="P65" s="47">
        <f>VLOOKUP($L65,Jogos!$A$61:$I$64,5,FALSE)</f>
        <v>1</v>
      </c>
      <c r="Q65" s="47">
        <f>VLOOKUP($L65,Jogos!$A$61:$I$64,6,FALSE)</f>
        <v>2</v>
      </c>
      <c r="R65" s="47">
        <f>VLOOKUP($L65,Jogos!$A$61:$I$64,7,FALSE)</f>
        <v>3</v>
      </c>
      <c r="S65" s="47">
        <f>VLOOKUP($L65,Jogos!$A$61:$I$64,8,FALSE)</f>
        <v>7</v>
      </c>
      <c r="T65" s="47">
        <f>VLOOKUP($L65,Jogos!$A$61:$I$64,9,FALSE)</f>
        <v>-4</v>
      </c>
      <c r="U65" s="60"/>
      <c r="V65" s="29"/>
      <c r="W65" s="29"/>
      <c r="X65" s="29"/>
      <c r="Y65" s="29"/>
      <c r="Z65" s="29"/>
    </row>
    <row r="66" spans="1:26" ht="13.5" customHeight="1">
      <c r="A66" s="68"/>
      <c r="B66" s="69"/>
      <c r="C66" s="70"/>
      <c r="D66" s="71"/>
      <c r="E66" s="71"/>
      <c r="F66" s="69"/>
      <c r="G66" s="71"/>
      <c r="H66" s="71"/>
      <c r="I66" s="70"/>
      <c r="J66" s="1"/>
      <c r="K66" s="69"/>
      <c r="L66" s="72"/>
      <c r="M66" s="69"/>
      <c r="N66" s="69"/>
      <c r="O66" s="69"/>
      <c r="P66" s="69"/>
      <c r="Q66" s="69"/>
      <c r="R66" s="69"/>
      <c r="S66" s="69"/>
      <c r="T66" s="69"/>
      <c r="U66" s="29"/>
      <c r="V66" s="29"/>
      <c r="W66" s="29"/>
      <c r="X66" s="29"/>
      <c r="Y66" s="29"/>
      <c r="Z66" s="29"/>
    </row>
    <row r="67" spans="1:26" ht="13.5" customHeight="1">
      <c r="A67" s="73"/>
      <c r="B67" s="74"/>
      <c r="C67" s="75"/>
      <c r="D67" s="74"/>
      <c r="E67" s="74"/>
      <c r="F67" s="74"/>
      <c r="G67" s="74"/>
      <c r="H67" s="74"/>
      <c r="I67" s="75"/>
      <c r="J67" s="1"/>
      <c r="K67" s="29"/>
      <c r="L67" s="76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3.5" customHeight="1">
      <c r="A68" s="128" t="s">
        <v>68</v>
      </c>
      <c r="B68" s="111"/>
      <c r="C68" s="41"/>
      <c r="D68" s="25" t="s">
        <v>69</v>
      </c>
      <c r="E68" s="135" t="s">
        <v>70</v>
      </c>
      <c r="F68" s="111"/>
      <c r="G68" s="111"/>
      <c r="H68" s="25" t="s">
        <v>69</v>
      </c>
      <c r="I68" s="41"/>
      <c r="J68" s="1"/>
      <c r="K68" s="29"/>
      <c r="L68" s="77"/>
      <c r="M68" s="115"/>
      <c r="N68" s="116"/>
      <c r="O68" s="116"/>
      <c r="P68" s="116"/>
      <c r="Q68" s="116"/>
      <c r="R68" s="116"/>
      <c r="S68" s="116"/>
      <c r="T68" s="116"/>
      <c r="U68" s="29"/>
      <c r="V68" s="29"/>
      <c r="W68" s="29"/>
      <c r="X68" s="29"/>
      <c r="Y68" s="29"/>
      <c r="Z68" s="29"/>
    </row>
    <row r="69" spans="1:26" ht="13.5" customHeight="1">
      <c r="A69" s="37">
        <v>45836</v>
      </c>
      <c r="B69" s="7" t="s">
        <v>20</v>
      </c>
      <c r="C69" s="61" t="str">
        <f>IF((N6=3),L6,"1º do grupo A")</f>
        <v>Palmeiras</v>
      </c>
      <c r="D69" s="79"/>
      <c r="E69" s="39">
        <v>1</v>
      </c>
      <c r="F69" s="40" t="s">
        <v>6</v>
      </c>
      <c r="G69" s="9">
        <v>0</v>
      </c>
      <c r="H69" s="80"/>
      <c r="I69" s="70" t="str">
        <f>IF((N15=3),L15,"2º do grupo B")</f>
        <v>Atlético de Madrid</v>
      </c>
      <c r="J69" s="1"/>
      <c r="K69" s="81">
        <v>1</v>
      </c>
      <c r="L69" s="77"/>
      <c r="M69" s="115"/>
      <c r="N69" s="116"/>
      <c r="O69" s="116"/>
      <c r="P69" s="116"/>
      <c r="Q69" s="116"/>
      <c r="R69" s="116"/>
      <c r="S69" s="116"/>
      <c r="T69" s="116"/>
      <c r="U69" s="29"/>
      <c r="V69" s="29"/>
      <c r="W69" s="29"/>
      <c r="X69" s="29"/>
      <c r="Y69" s="29"/>
      <c r="Z69" s="29"/>
    </row>
    <row r="70" spans="1:26" ht="13.5" customHeight="1">
      <c r="A70" s="37">
        <v>45836</v>
      </c>
      <c r="B70" s="7" t="s">
        <v>71</v>
      </c>
      <c r="C70" s="10" t="str">
        <f>IF((N22=3),L22,"1º do grupo C")</f>
        <v>Bayern de Munique</v>
      </c>
      <c r="D70" s="11"/>
      <c r="E70" s="39">
        <v>2</v>
      </c>
      <c r="F70" s="40" t="s">
        <v>6</v>
      </c>
      <c r="G70" s="9">
        <v>0</v>
      </c>
      <c r="H70" s="82"/>
      <c r="I70" s="61" t="str">
        <f>IF((N31=3),L31,"2º do grupo D")</f>
        <v>Flamengo</v>
      </c>
      <c r="J70" s="1"/>
      <c r="K70" s="81">
        <v>3</v>
      </c>
      <c r="L70" s="76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3.5" customHeight="1">
      <c r="A71" s="37">
        <v>45837</v>
      </c>
      <c r="B71" s="7" t="s">
        <v>20</v>
      </c>
      <c r="C71" s="61" t="str">
        <f>IF((N14=3),L14,"1º do grupo B")</f>
        <v>Paris Saint-Germain</v>
      </c>
      <c r="D71" s="11"/>
      <c r="E71" s="39">
        <v>3</v>
      </c>
      <c r="F71" s="40" t="s">
        <v>6</v>
      </c>
      <c r="G71" s="9">
        <v>0</v>
      </c>
      <c r="H71" s="82"/>
      <c r="I71" s="61" t="str">
        <f>IF((N7=3),L7,"2º do grupo A")</f>
        <v>Porto</v>
      </c>
      <c r="J71" s="1"/>
      <c r="K71" s="81">
        <v>5</v>
      </c>
      <c r="L71" s="76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3.5" customHeight="1">
      <c r="A72" s="37">
        <v>45837</v>
      </c>
      <c r="B72" s="7" t="s">
        <v>71</v>
      </c>
      <c r="C72" s="61" t="str">
        <f>IF((N30=3),L30,"1º do grupo D")</f>
        <v>Chelsea</v>
      </c>
      <c r="D72" s="11">
        <v>3</v>
      </c>
      <c r="E72" s="39">
        <v>1</v>
      </c>
      <c r="F72" s="40" t="s">
        <v>6</v>
      </c>
      <c r="G72" s="9">
        <v>1</v>
      </c>
      <c r="H72" s="82">
        <v>4</v>
      </c>
      <c r="I72" s="61" t="str">
        <f>IF((N23=3),L23,"2º do grupo C")</f>
        <v>Benfica</v>
      </c>
      <c r="J72" s="1"/>
      <c r="K72" s="81">
        <v>7</v>
      </c>
      <c r="L72" s="76"/>
      <c r="M72" s="133"/>
      <c r="N72" s="116"/>
      <c r="O72" s="116"/>
      <c r="P72" s="116"/>
      <c r="Q72" s="116"/>
      <c r="R72" s="116"/>
      <c r="S72" s="116"/>
      <c r="T72" s="116"/>
      <c r="U72" s="29"/>
      <c r="V72" s="29"/>
      <c r="W72" s="29"/>
      <c r="X72" s="29"/>
      <c r="Y72" s="29"/>
      <c r="Z72" s="29"/>
    </row>
    <row r="73" spans="1:26" ht="13.5" customHeight="1">
      <c r="A73" s="37">
        <v>45838</v>
      </c>
      <c r="B73" s="7" t="s">
        <v>21</v>
      </c>
      <c r="C73" s="61" t="str">
        <f>IF((N38=3),L38,"1º do grupo E")</f>
        <v>Internazionale</v>
      </c>
      <c r="D73" s="11"/>
      <c r="E73" s="39">
        <v>3</v>
      </c>
      <c r="F73" s="40" t="s">
        <v>6</v>
      </c>
      <c r="G73" s="9">
        <v>0</v>
      </c>
      <c r="H73" s="82"/>
      <c r="I73" s="61" t="str">
        <f>IF((N47=3),L47,"2º do grupo F")</f>
        <v>Fluminense</v>
      </c>
      <c r="J73" s="1"/>
      <c r="K73" s="81">
        <v>2</v>
      </c>
      <c r="L73" s="77"/>
      <c r="M73" s="133"/>
      <c r="N73" s="116"/>
      <c r="O73" s="116"/>
      <c r="P73" s="116"/>
      <c r="Q73" s="116"/>
      <c r="R73" s="116"/>
      <c r="S73" s="116"/>
      <c r="T73" s="116"/>
      <c r="U73" s="29"/>
      <c r="V73" s="29"/>
      <c r="W73" s="29"/>
      <c r="X73" s="29"/>
      <c r="Y73" s="29"/>
      <c r="Z73" s="29"/>
    </row>
    <row r="74" spans="1:26" ht="13.5" customHeight="1">
      <c r="A74" s="37">
        <v>45838</v>
      </c>
      <c r="B74" s="7" t="s">
        <v>22</v>
      </c>
      <c r="C74" s="61" t="str">
        <f>IF((N54=3),L54,"1º do grupo G")</f>
        <v>Manchester City</v>
      </c>
      <c r="D74" s="11"/>
      <c r="E74" s="39">
        <v>2</v>
      </c>
      <c r="F74" s="40" t="s">
        <v>6</v>
      </c>
      <c r="G74" s="9">
        <v>0</v>
      </c>
      <c r="H74" s="82"/>
      <c r="I74" s="61" t="str">
        <f>IF((N63=3),L63,"2º do grupo H")</f>
        <v>Al-Hilal</v>
      </c>
      <c r="J74" s="1"/>
      <c r="K74" s="81">
        <v>4</v>
      </c>
      <c r="L74" s="76"/>
      <c r="M74" s="133"/>
      <c r="N74" s="116"/>
      <c r="O74" s="116"/>
      <c r="P74" s="116"/>
      <c r="Q74" s="116"/>
      <c r="R74" s="116"/>
      <c r="S74" s="116"/>
      <c r="T74" s="116"/>
      <c r="U74" s="29"/>
      <c r="V74" s="29"/>
      <c r="W74" s="29"/>
      <c r="X74" s="29"/>
      <c r="Y74" s="29"/>
      <c r="Z74" s="29"/>
    </row>
    <row r="75" spans="1:26" ht="13.5" customHeight="1">
      <c r="A75" s="37">
        <v>45839</v>
      </c>
      <c r="B75" s="7" t="s">
        <v>21</v>
      </c>
      <c r="C75" s="61" t="str">
        <f>IF((N62=3),L62,"1º do grupo H")</f>
        <v>Real Madrid</v>
      </c>
      <c r="D75" s="11"/>
      <c r="E75" s="83">
        <v>2</v>
      </c>
      <c r="F75" s="40" t="s">
        <v>6</v>
      </c>
      <c r="G75" s="12">
        <v>1</v>
      </c>
      <c r="H75" s="82"/>
      <c r="I75" s="61" t="str">
        <f>IF((N55=3),L55,"2º do grupo G")</f>
        <v>Juventus</v>
      </c>
      <c r="J75" s="1"/>
      <c r="K75" s="81">
        <v>6</v>
      </c>
      <c r="L75" s="77"/>
      <c r="M75" s="133"/>
      <c r="N75" s="116"/>
      <c r="O75" s="116"/>
      <c r="P75" s="116"/>
      <c r="Q75" s="116"/>
      <c r="R75" s="116"/>
      <c r="S75" s="116"/>
      <c r="T75" s="116"/>
      <c r="U75" s="29"/>
      <c r="V75" s="29"/>
      <c r="W75" s="29"/>
      <c r="X75" s="29"/>
      <c r="Y75" s="29"/>
      <c r="Z75" s="29"/>
    </row>
    <row r="76" spans="1:26" ht="13.5" customHeight="1">
      <c r="A76" s="37">
        <v>45839</v>
      </c>
      <c r="B76" s="7" t="s">
        <v>22</v>
      </c>
      <c r="C76" s="61" t="str">
        <f>IF((N46=3),L46,"1º do grupo F")</f>
        <v>Borussia Dortmund</v>
      </c>
      <c r="D76" s="84"/>
      <c r="E76" s="83">
        <v>2</v>
      </c>
      <c r="F76" s="40" t="s">
        <v>6</v>
      </c>
      <c r="G76" s="12">
        <v>0</v>
      </c>
      <c r="H76" s="85"/>
      <c r="I76" s="61" t="str">
        <f>IF((N39=3),L39,"2º do grupo E")</f>
        <v>River Plate</v>
      </c>
      <c r="J76" s="1"/>
      <c r="K76" s="81">
        <v>8</v>
      </c>
      <c r="L76" s="77"/>
      <c r="M76" s="134" t="str">
        <f>IF(OR(($E$89=""),($G$89=""),AND(($E$89=$G$89),OR(($D$89=""),($H$89="")))),"",IF(($E$89=$G$89),IF(($D$89&gt;$H$89),$C$89,$I$89),IF(($E$89&gt;$G$89),$C$89,$I$89)))</f>
        <v>Palmeiras</v>
      </c>
      <c r="N76" s="127"/>
      <c r="O76" s="127"/>
      <c r="P76" s="127"/>
      <c r="Q76" s="127"/>
      <c r="R76" s="127"/>
      <c r="S76" s="127"/>
      <c r="T76" s="127"/>
      <c r="U76" s="127"/>
      <c r="V76" s="29"/>
      <c r="W76" s="29"/>
      <c r="X76" s="29"/>
      <c r="Y76" s="29"/>
      <c r="Z76" s="29"/>
    </row>
    <row r="77" spans="1:26" ht="13.5" customHeight="1">
      <c r="A77" s="86"/>
      <c r="B77" s="87"/>
      <c r="C77" s="88"/>
      <c r="D77" s="89"/>
      <c r="E77" s="90"/>
      <c r="F77" s="40"/>
      <c r="G77" s="90"/>
      <c r="H77" s="89"/>
      <c r="I77" s="88"/>
      <c r="J77" s="1"/>
      <c r="K77" s="81"/>
      <c r="L77" s="76"/>
      <c r="M77" s="127"/>
      <c r="N77" s="127"/>
      <c r="O77" s="127"/>
      <c r="P77" s="127"/>
      <c r="Q77" s="127"/>
      <c r="R77" s="127"/>
      <c r="S77" s="127"/>
      <c r="T77" s="127"/>
      <c r="U77" s="127"/>
      <c r="V77" s="29"/>
      <c r="W77" s="29"/>
      <c r="X77" s="29"/>
      <c r="Y77" s="29"/>
      <c r="Z77" s="29"/>
    </row>
    <row r="78" spans="1:26" ht="13.5" customHeight="1">
      <c r="A78" s="128" t="s">
        <v>72</v>
      </c>
      <c r="B78" s="111"/>
      <c r="C78" s="51"/>
      <c r="D78" s="90"/>
      <c r="E78" s="90"/>
      <c r="F78" s="40"/>
      <c r="G78" s="90"/>
      <c r="H78" s="90"/>
      <c r="I78" s="51"/>
      <c r="J78" s="1"/>
      <c r="K78" s="81"/>
      <c r="L78" s="76"/>
      <c r="M78" s="127"/>
      <c r="N78" s="127"/>
      <c r="O78" s="127"/>
      <c r="P78" s="127"/>
      <c r="Q78" s="127"/>
      <c r="R78" s="127"/>
      <c r="S78" s="127"/>
      <c r="T78" s="127"/>
      <c r="U78" s="127"/>
      <c r="V78" s="29"/>
      <c r="W78" s="29"/>
      <c r="X78" s="29"/>
      <c r="Y78" s="29"/>
      <c r="Z78" s="29"/>
    </row>
    <row r="79" spans="1:26" ht="13.5" customHeight="1">
      <c r="A79" s="37">
        <v>45842</v>
      </c>
      <c r="B79" s="7" t="s">
        <v>21</v>
      </c>
      <c r="C79" s="70" t="str">
        <f>IF(OR((E73=""),(G73=""),AND((E73=G73),OR((D73=""),(H73="")))),"Vencedor OF5",IF((E73=G73),IF((D73&gt;H73),C73,I73),IF((E73&gt;G73),C73,I73)))</f>
        <v>Internazionale</v>
      </c>
      <c r="D79" s="79">
        <v>5</v>
      </c>
      <c r="E79" s="83">
        <v>2</v>
      </c>
      <c r="F79" s="40" t="s">
        <v>6</v>
      </c>
      <c r="G79" s="12">
        <v>2</v>
      </c>
      <c r="H79" s="91">
        <v>3</v>
      </c>
      <c r="I79" s="70" t="str">
        <f>IF(OR((G74=""),(E74=""),AND((G74=E74),OR((H74=""),(D74="")))),"Vencedor OF6",IF((G74=E74),IF((H74&gt;D74),I74,C74),IF((G74&gt;E74),I74,C74)))</f>
        <v>Manchester City</v>
      </c>
      <c r="J79" s="1"/>
      <c r="K79" s="81"/>
      <c r="L79" s="81"/>
      <c r="M79" s="127"/>
      <c r="N79" s="127"/>
      <c r="O79" s="127"/>
      <c r="P79" s="127"/>
      <c r="Q79" s="127"/>
      <c r="R79" s="127"/>
      <c r="S79" s="127"/>
      <c r="T79" s="127"/>
      <c r="U79" s="127"/>
      <c r="V79" s="29"/>
      <c r="W79" s="29"/>
      <c r="X79" s="29"/>
      <c r="Y79" s="29"/>
      <c r="Z79" s="29"/>
    </row>
    <row r="80" spans="1:26" ht="13.5" customHeight="1">
      <c r="A80" s="37">
        <v>45842</v>
      </c>
      <c r="B80" s="7" t="s">
        <v>22</v>
      </c>
      <c r="C80" s="61" t="str">
        <f>IF(OR((E69=""),(G69=""),AND((E69=G69),OR((D69=""),(H69="")))),"Vencedor OF1",IF((E69=G69),IF((D69&gt;H69),C69,I69),IF((E69&gt;G69),C69,I69)))</f>
        <v>Palmeiras</v>
      </c>
      <c r="D80" s="11"/>
      <c r="E80" s="83">
        <v>2</v>
      </c>
      <c r="F80" s="40" t="s">
        <v>6</v>
      </c>
      <c r="G80" s="12">
        <v>1</v>
      </c>
      <c r="H80" s="13"/>
      <c r="I80" s="61" t="str">
        <f>IF(OR((G70=""),(E70=""),AND((G70=E70),OR((H70=""),(D70="")))),"Vencedor OF2",IF((G70=E70),IF((H70&gt;D70),I70,C70),IF((G70&gt;E70),I70,C70)))</f>
        <v>Bayern de Munique</v>
      </c>
      <c r="J80" s="1"/>
      <c r="K80" s="81"/>
      <c r="L80" s="81"/>
      <c r="M80" s="127"/>
      <c r="N80" s="127"/>
      <c r="O80" s="127"/>
      <c r="P80" s="127"/>
      <c r="Q80" s="127"/>
      <c r="R80" s="127"/>
      <c r="S80" s="127"/>
      <c r="T80" s="127"/>
      <c r="U80" s="127"/>
      <c r="V80" s="29"/>
      <c r="W80" s="29"/>
      <c r="X80" s="29"/>
      <c r="Y80" s="29"/>
      <c r="Z80" s="29"/>
    </row>
    <row r="81" spans="1:26" ht="13.5" customHeight="1">
      <c r="A81" s="37">
        <v>45843</v>
      </c>
      <c r="B81" s="7" t="s">
        <v>20</v>
      </c>
      <c r="C81" s="61" t="str">
        <f>IF(OR((E71=""),(G71=""),AND((E71=G71),OR((D71=""),(H71="")))),"Vencedor OF3",IF((E71=G71),IF((D71&gt;H71),C71,I71),IF((E71&gt;G71),C71,I71)))</f>
        <v>Paris Saint-Germain</v>
      </c>
      <c r="D81" s="11"/>
      <c r="E81" s="83">
        <v>3</v>
      </c>
      <c r="F81" s="40" t="s">
        <v>6</v>
      </c>
      <c r="G81" s="12">
        <v>0</v>
      </c>
      <c r="H81" s="13"/>
      <c r="I81" s="61" t="str">
        <f>IF(OR((G72=""),(E72=""),AND((G72=E72),OR((H72=""),(D72="")))),"Vencedor OF4",IF((G72=E72),IF((H72&gt;D72),I72,C72),IF((G72&gt;E72),I72,C72)))</f>
        <v>Benfica</v>
      </c>
      <c r="J81" s="1"/>
      <c r="K81" s="81"/>
      <c r="L81" s="92"/>
      <c r="M81" s="126" t="str">
        <f>IF((M76=""),"  ","O Clube Campeão da Copa do Mundo de Clubes, de 2025")</f>
        <v>O Clube Campeão da Copa do Mundo de Clubes, de 2025</v>
      </c>
      <c r="N81" s="116"/>
      <c r="O81" s="116"/>
      <c r="P81" s="116"/>
      <c r="Q81" s="116"/>
      <c r="R81" s="116"/>
      <c r="S81" s="116"/>
      <c r="T81" s="116"/>
      <c r="U81" s="116"/>
      <c r="V81" s="29"/>
      <c r="W81" s="29"/>
      <c r="X81" s="29"/>
      <c r="Y81" s="29"/>
      <c r="Z81" s="29"/>
    </row>
    <row r="82" spans="1:26" ht="13.5" customHeight="1">
      <c r="A82" s="37">
        <v>45843</v>
      </c>
      <c r="B82" s="7" t="s">
        <v>71</v>
      </c>
      <c r="C82" s="61" t="str">
        <f>IF(OR((E76=""),(G76=""),AND((E76=G76),OR((D76=""),(H76="")))),"Vencedor OF8",IF((E76=G76),IF((D76&gt;H76),C76,I76),IF((E76&gt;G76),C76,I76)))</f>
        <v>Borussia Dortmund</v>
      </c>
      <c r="D82" s="84"/>
      <c r="E82" s="83">
        <v>1</v>
      </c>
      <c r="F82" s="40" t="s">
        <v>6</v>
      </c>
      <c r="G82" s="12">
        <v>2</v>
      </c>
      <c r="H82" s="93"/>
      <c r="I82" s="61" t="str">
        <f>IF(OR((G75=""),(E75=""),AND((G75=E75),OR((H75=""),(D75="")))),"Vencedor OF7",IF((G75=E75),IF((H75&gt;D75),I75,C75),IF((G75&gt;E75),I75,C75)))</f>
        <v>Real Madrid</v>
      </c>
      <c r="J82" s="1"/>
      <c r="K82" s="81"/>
      <c r="L82" s="76"/>
      <c r="M82" s="116"/>
      <c r="N82" s="127"/>
      <c r="O82" s="127"/>
      <c r="P82" s="127"/>
      <c r="Q82" s="127"/>
      <c r="R82" s="127"/>
      <c r="S82" s="127"/>
      <c r="T82" s="127"/>
      <c r="U82" s="116"/>
      <c r="V82" s="29"/>
      <c r="W82" s="29"/>
      <c r="X82" s="29"/>
      <c r="Y82" s="29"/>
      <c r="Z82" s="29"/>
    </row>
    <row r="83" spans="1:26" ht="13.5" customHeight="1">
      <c r="A83" s="86"/>
      <c r="B83" s="87"/>
      <c r="C83" s="66"/>
      <c r="D83" s="94"/>
      <c r="E83" s="48"/>
      <c r="F83" s="40"/>
      <c r="G83" s="48"/>
      <c r="H83" s="95"/>
      <c r="I83" s="66"/>
      <c r="J83" s="1"/>
      <c r="K83" s="81"/>
      <c r="L83" s="76"/>
      <c r="M83" s="116"/>
      <c r="N83" s="127"/>
      <c r="O83" s="127"/>
      <c r="P83" s="127"/>
      <c r="Q83" s="127"/>
      <c r="R83" s="127"/>
      <c r="S83" s="127"/>
      <c r="T83" s="127"/>
      <c r="U83" s="116"/>
      <c r="V83" s="29"/>
      <c r="W83" s="29"/>
      <c r="X83" s="29"/>
      <c r="Y83" s="29"/>
      <c r="Z83" s="29"/>
    </row>
    <row r="84" spans="1:26" ht="13.5" customHeight="1">
      <c r="A84" s="122" t="s">
        <v>73</v>
      </c>
      <c r="B84" s="111"/>
      <c r="C84" s="41"/>
      <c r="D84" s="96"/>
      <c r="E84" s="48"/>
      <c r="F84" s="40"/>
      <c r="G84" s="48"/>
      <c r="H84" s="48"/>
      <c r="I84" s="41"/>
      <c r="J84" s="1"/>
      <c r="K84" s="81"/>
      <c r="L84" s="76"/>
      <c r="M84" s="116"/>
      <c r="N84" s="127"/>
      <c r="O84" s="127"/>
      <c r="P84" s="127"/>
      <c r="Q84" s="127"/>
      <c r="R84" s="127"/>
      <c r="S84" s="127"/>
      <c r="T84" s="127"/>
      <c r="U84" s="116"/>
      <c r="V84" s="29"/>
      <c r="W84" s="29"/>
      <c r="X84" s="29"/>
      <c r="Y84" s="29"/>
      <c r="Z84" s="29"/>
    </row>
    <row r="85" spans="1:26" ht="13.5" customHeight="1">
      <c r="A85" s="37">
        <v>45846</v>
      </c>
      <c r="B85" s="7" t="s">
        <v>21</v>
      </c>
      <c r="C85" s="70" t="str">
        <f>IF(OR((E80=""),(G80=""),AND((E80=G80),OR((D80=""),(H80="")))),"Vencedor QF1",IF((E80=G80),IF((D80&gt;H80),C80,I80),IF((E80&gt;G80),C80,I80)))</f>
        <v>Palmeiras</v>
      </c>
      <c r="D85" s="79"/>
      <c r="E85" s="83">
        <v>1</v>
      </c>
      <c r="F85" s="40" t="s">
        <v>6</v>
      </c>
      <c r="G85" s="12">
        <v>0</v>
      </c>
      <c r="H85" s="91"/>
      <c r="I85" s="70" t="str">
        <f>IF(OR((G79=""),(E79=""),AND((G79=E79),OR((H79=""),(D79="")))),"Vencedor QF2",IF((G79=E79),IF((H79&gt;D79),I79,C79),IF((G79&gt;E79),I79,C79)))</f>
        <v>Internazionale</v>
      </c>
      <c r="J85" s="1"/>
      <c r="K85" s="81"/>
      <c r="L85" s="76"/>
      <c r="M85" s="116"/>
      <c r="N85" s="127"/>
      <c r="O85" s="127"/>
      <c r="P85" s="127"/>
      <c r="Q85" s="127"/>
      <c r="R85" s="127"/>
      <c r="S85" s="127"/>
      <c r="T85" s="127"/>
      <c r="U85" s="116"/>
      <c r="V85" s="29"/>
      <c r="W85" s="29"/>
      <c r="X85" s="29"/>
      <c r="Y85" s="29"/>
      <c r="Z85" s="29"/>
    </row>
    <row r="86" spans="1:26" ht="13.5" customHeight="1">
      <c r="A86" s="37">
        <v>45847</v>
      </c>
      <c r="B86" s="7" t="s">
        <v>21</v>
      </c>
      <c r="C86" s="61" t="str">
        <f>IF(OR((E81=""),(G81=""),AND((E81=G81),OR((D81=""),(H81="")))),"Vencedor QF3",IF((E81=G81),IF((D81&gt;H81),C81,I81),IF((E81&gt;G81),C81,I81)))</f>
        <v>Paris Saint-Germain</v>
      </c>
      <c r="D86" s="84"/>
      <c r="E86" s="83">
        <v>1</v>
      </c>
      <c r="F86" s="40" t="s">
        <v>6</v>
      </c>
      <c r="G86" s="12">
        <v>2</v>
      </c>
      <c r="H86" s="93"/>
      <c r="I86" s="61" t="str">
        <f>IF(OR((G82=""),(E82=""),AND((G82=E82),OR((H82=""),(D82="")))),"Vencedor QF4",IF((G82=E82),IF((H82&gt;D82),I82,C82),IF((G82&gt;E82),I82,C82)))</f>
        <v>Real Madrid</v>
      </c>
      <c r="J86" s="1"/>
      <c r="K86" s="81" t="s">
        <v>74</v>
      </c>
      <c r="L86" s="76"/>
      <c r="M86" s="116"/>
      <c r="N86" s="127"/>
      <c r="O86" s="127"/>
      <c r="P86" s="127"/>
      <c r="Q86" s="127"/>
      <c r="R86" s="127"/>
      <c r="S86" s="127"/>
      <c r="T86" s="127"/>
      <c r="U86" s="116"/>
      <c r="V86" s="29"/>
      <c r="W86" s="29"/>
      <c r="X86" s="29"/>
      <c r="Y86" s="29"/>
      <c r="Z86" s="29"/>
    </row>
    <row r="87" spans="1:26" ht="13.5" customHeight="1">
      <c r="A87" s="97"/>
      <c r="B87" s="98"/>
      <c r="C87" s="61"/>
      <c r="D87" s="99"/>
      <c r="E87" s="100"/>
      <c r="F87" s="101"/>
      <c r="G87" s="100"/>
      <c r="H87" s="102"/>
      <c r="I87" s="61"/>
      <c r="J87" s="1"/>
      <c r="K87" s="81"/>
      <c r="L87" s="76"/>
      <c r="M87" s="116"/>
      <c r="N87" s="116"/>
      <c r="O87" s="116"/>
      <c r="P87" s="116"/>
      <c r="Q87" s="116"/>
      <c r="R87" s="116"/>
      <c r="S87" s="116"/>
      <c r="T87" s="116"/>
      <c r="U87" s="116"/>
      <c r="V87" s="29"/>
      <c r="W87" s="29"/>
      <c r="X87" s="29"/>
      <c r="Y87" s="29"/>
      <c r="Z87" s="29"/>
    </row>
    <row r="88" spans="1:26" ht="13.5" customHeight="1">
      <c r="A88" s="14" t="s">
        <v>75</v>
      </c>
      <c r="B88" s="103"/>
      <c r="C88" s="66"/>
      <c r="D88" s="103"/>
      <c r="E88" s="104"/>
      <c r="F88" s="74"/>
      <c r="G88" s="104"/>
      <c r="H88" s="104"/>
      <c r="I88" s="66"/>
      <c r="J88" s="1"/>
      <c r="K88" s="81"/>
      <c r="L88" s="76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3.5" customHeight="1">
      <c r="A89" s="37">
        <v>45851</v>
      </c>
      <c r="B89" s="7" t="s">
        <v>21</v>
      </c>
      <c r="C89" s="24" t="str">
        <f>IF(OR((E85=""),(G85=""),AND((E85=G85),OR((D85=""),(H85=""))))," Vencedor SF 1  ",IF((E85=G85),IF((D85&gt;H85),C85,I85),IF((E85&gt;G85),C85,I85)))</f>
        <v>Palmeiras</v>
      </c>
      <c r="D89" s="15"/>
      <c r="E89" s="83">
        <v>1</v>
      </c>
      <c r="F89" s="40" t="s">
        <v>6</v>
      </c>
      <c r="G89" s="12">
        <v>0</v>
      </c>
      <c r="H89" s="105"/>
      <c r="I89" s="77" t="str">
        <f>IF(OR((G86=""),(E86=""),AND((G86=E86),OR((H86=""),(D86="")))),"Vencedor SF2",IF((G86=E86),IF((H86&gt;D86),I86,C86),IF((G86&gt;E86),I86,C86)))</f>
        <v>Real Madrid</v>
      </c>
      <c r="J89" s="1"/>
      <c r="K89" s="81" t="s">
        <v>76</v>
      </c>
      <c r="L89" s="76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3.5" customHeight="1">
      <c r="A90" s="106"/>
      <c r="B90" s="107"/>
      <c r="C90" s="72"/>
      <c r="D90" s="29"/>
      <c r="E90" s="69"/>
      <c r="F90" s="69"/>
      <c r="G90" s="69"/>
      <c r="H90" s="29"/>
      <c r="I90" s="72"/>
      <c r="J90" s="1"/>
      <c r="K90" s="29"/>
      <c r="L90" s="77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3.5" customHeight="1">
      <c r="A91" s="129" t="s">
        <v>77</v>
      </c>
      <c r="B91" s="124"/>
      <c r="C91" s="131" t="s">
        <v>78</v>
      </c>
      <c r="D91" s="124"/>
      <c r="E91" s="125"/>
      <c r="F91" s="29"/>
      <c r="G91" s="29"/>
      <c r="H91" s="29"/>
      <c r="I91" s="76"/>
      <c r="J91" s="1"/>
      <c r="K91" s="29"/>
      <c r="L91" s="76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3.5" customHeight="1">
      <c r="A92" s="130"/>
      <c r="B92" s="113"/>
      <c r="C92" s="130"/>
      <c r="D92" s="113"/>
      <c r="E92" s="132"/>
      <c r="F92" s="29"/>
      <c r="G92" s="29"/>
      <c r="H92" s="29"/>
      <c r="I92" s="76"/>
      <c r="J92" s="1"/>
      <c r="K92" s="29"/>
      <c r="L92" s="76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2" customHeight="1">
      <c r="A93" s="108"/>
      <c r="B93" s="29"/>
      <c r="C93" s="76"/>
      <c r="D93" s="29"/>
      <c r="E93" s="29"/>
      <c r="F93" s="29"/>
      <c r="G93" s="29"/>
      <c r="H93" s="29"/>
      <c r="I93" s="76"/>
      <c r="J93" s="1"/>
      <c r="K93" s="29"/>
      <c r="L93" s="76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" customHeight="1">
      <c r="A94" s="109"/>
      <c r="B94" s="29"/>
      <c r="C94" s="76"/>
      <c r="D94" s="29"/>
      <c r="E94" s="29"/>
      <c r="F94" s="29"/>
      <c r="G94" s="29"/>
      <c r="H94" s="29"/>
      <c r="I94" s="76"/>
      <c r="J94" s="1"/>
      <c r="K94" s="29"/>
      <c r="L94" s="76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" customHeight="1">
      <c r="A95" s="109"/>
      <c r="B95" s="29"/>
      <c r="C95" s="76"/>
      <c r="D95" s="29"/>
      <c r="E95" s="29"/>
      <c r="F95" s="29"/>
      <c r="G95" s="29"/>
      <c r="H95" s="29"/>
      <c r="I95" s="76"/>
      <c r="J95" s="1"/>
      <c r="K95" s="29"/>
      <c r="L95" s="76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" customHeight="1">
      <c r="A96" s="109"/>
      <c r="B96" s="29"/>
      <c r="C96" s="76"/>
      <c r="D96" s="29"/>
      <c r="E96" s="29"/>
      <c r="F96" s="29"/>
      <c r="G96" s="29"/>
      <c r="H96" s="29"/>
      <c r="I96" s="76"/>
      <c r="J96" s="1"/>
      <c r="K96" s="29"/>
      <c r="L96" s="76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2" customHeight="1">
      <c r="A97" s="109"/>
      <c r="B97" s="29"/>
      <c r="C97" s="76"/>
      <c r="D97" s="29"/>
      <c r="E97" s="29"/>
      <c r="F97" s="29"/>
      <c r="G97" s="29"/>
      <c r="H97" s="29"/>
      <c r="I97" s="76"/>
      <c r="J97" s="1"/>
      <c r="K97" s="29"/>
      <c r="L97" s="76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2" customHeight="1">
      <c r="A98" s="109"/>
      <c r="B98" s="29"/>
      <c r="C98" s="76"/>
      <c r="D98" s="29"/>
      <c r="E98" s="29"/>
      <c r="F98" s="29"/>
      <c r="G98" s="29"/>
      <c r="H98" s="29"/>
      <c r="I98" s="76"/>
      <c r="J98" s="1"/>
      <c r="K98" s="29"/>
      <c r="L98" s="76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" customHeight="1">
      <c r="A99" s="109"/>
      <c r="B99" s="29"/>
      <c r="C99" s="76"/>
      <c r="D99" s="29"/>
      <c r="E99" s="29"/>
      <c r="F99" s="29"/>
      <c r="G99" s="29"/>
      <c r="H99" s="29"/>
      <c r="I99" s="76"/>
      <c r="J99" s="1"/>
      <c r="K99" s="29"/>
      <c r="L99" s="76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" customHeight="1">
      <c r="A100" s="109"/>
      <c r="B100" s="29"/>
      <c r="C100" s="76"/>
      <c r="D100" s="29"/>
      <c r="E100" s="29"/>
      <c r="F100" s="29"/>
      <c r="G100" s="29"/>
      <c r="H100" s="29"/>
      <c r="I100" s="76"/>
      <c r="J100" s="1"/>
      <c r="K100" s="29"/>
      <c r="L100" s="76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</sheetData>
  <mergeCells count="41">
    <mergeCell ref="M81:U87"/>
    <mergeCell ref="A78:B78"/>
    <mergeCell ref="A68:B68"/>
    <mergeCell ref="A91:B92"/>
    <mergeCell ref="C91:E92"/>
    <mergeCell ref="M73:T73"/>
    <mergeCell ref="M72:T72"/>
    <mergeCell ref="M74:T74"/>
    <mergeCell ref="M75:T75"/>
    <mergeCell ref="M76:U80"/>
    <mergeCell ref="E68:G68"/>
    <mergeCell ref="C1:T1"/>
    <mergeCell ref="A2:B2"/>
    <mergeCell ref="C2:T2"/>
    <mergeCell ref="E3:G3"/>
    <mergeCell ref="A84:B84"/>
    <mergeCell ref="L4:T4"/>
    <mergeCell ref="L12:T12"/>
    <mergeCell ref="L60:T60"/>
    <mergeCell ref="A59:C59"/>
    <mergeCell ref="E59:G59"/>
    <mergeCell ref="A35:C35"/>
    <mergeCell ref="A19:C19"/>
    <mergeCell ref="A27:C27"/>
    <mergeCell ref="E19:G19"/>
    <mergeCell ref="E27:G27"/>
    <mergeCell ref="A11:C11"/>
    <mergeCell ref="E11:G11"/>
    <mergeCell ref="A3:C3"/>
    <mergeCell ref="A43:C43"/>
    <mergeCell ref="M69:T69"/>
    <mergeCell ref="M68:T68"/>
    <mergeCell ref="E35:G35"/>
    <mergeCell ref="A51:C51"/>
    <mergeCell ref="E51:G51"/>
    <mergeCell ref="E43:G43"/>
    <mergeCell ref="L20:T20"/>
    <mergeCell ref="L52:T52"/>
    <mergeCell ref="L28:T28"/>
    <mergeCell ref="L44:T44"/>
    <mergeCell ref="L36:T36"/>
  </mergeCells>
  <conditionalFormatting sqref="D69">
    <cfRule type="expression" dxfId="29" priority="1">
      <formula>$E$69=$G$69</formula>
    </cfRule>
  </conditionalFormatting>
  <conditionalFormatting sqref="D70">
    <cfRule type="expression" dxfId="28" priority="2">
      <formula>$E$70=$G$70</formula>
    </cfRule>
  </conditionalFormatting>
  <conditionalFormatting sqref="D71">
    <cfRule type="expression" dxfId="27" priority="3">
      <formula>$E$71=$G$71</formula>
    </cfRule>
  </conditionalFormatting>
  <conditionalFormatting sqref="D72">
    <cfRule type="expression" dxfId="26" priority="4">
      <formula>$E$72=$G$72</formula>
    </cfRule>
  </conditionalFormatting>
  <conditionalFormatting sqref="D73">
    <cfRule type="expression" dxfId="25" priority="5">
      <formula>$E$73=$G$73</formula>
    </cfRule>
  </conditionalFormatting>
  <conditionalFormatting sqref="D74">
    <cfRule type="expression" dxfId="24" priority="6">
      <formula>$E$74=$G$74</formula>
    </cfRule>
  </conditionalFormatting>
  <conditionalFormatting sqref="D75">
    <cfRule type="expression" dxfId="23" priority="7">
      <formula>$E$75=$G$75</formula>
    </cfRule>
  </conditionalFormatting>
  <conditionalFormatting sqref="D76">
    <cfRule type="expression" dxfId="22" priority="8">
      <formula>$E$76=$G$76</formula>
    </cfRule>
  </conditionalFormatting>
  <conditionalFormatting sqref="H69">
    <cfRule type="expression" dxfId="21" priority="9">
      <formula>$E$69=$G$69</formula>
    </cfRule>
  </conditionalFormatting>
  <conditionalFormatting sqref="H70">
    <cfRule type="expression" dxfId="20" priority="10">
      <formula>$E$70=$G$70</formula>
    </cfRule>
  </conditionalFormatting>
  <conditionalFormatting sqref="H71">
    <cfRule type="expression" dxfId="19" priority="11">
      <formula>$E$71=$G$71</formula>
    </cfRule>
  </conditionalFormatting>
  <conditionalFormatting sqref="H72">
    <cfRule type="expression" dxfId="18" priority="12">
      <formula>$E$72=$G$72</formula>
    </cfRule>
  </conditionalFormatting>
  <conditionalFormatting sqref="H73">
    <cfRule type="expression" dxfId="17" priority="13">
      <formula>$E$73=$G$73</formula>
    </cfRule>
  </conditionalFormatting>
  <conditionalFormatting sqref="H74">
    <cfRule type="expression" dxfId="16" priority="14">
      <formula>$E$74=$G$74</formula>
    </cfRule>
  </conditionalFormatting>
  <conditionalFormatting sqref="H75">
    <cfRule type="expression" dxfId="15" priority="15">
      <formula>$E$75=$G$75</formula>
    </cfRule>
  </conditionalFormatting>
  <conditionalFormatting sqref="H76">
    <cfRule type="expression" dxfId="14" priority="16">
      <formula>$E$76=$G$76</formula>
    </cfRule>
  </conditionalFormatting>
  <conditionalFormatting sqref="D79">
    <cfRule type="expression" dxfId="13" priority="17">
      <formula>$E$79=$G$79</formula>
    </cfRule>
  </conditionalFormatting>
  <conditionalFormatting sqref="D80">
    <cfRule type="expression" dxfId="12" priority="18">
      <formula>$E$80=$G$80</formula>
    </cfRule>
  </conditionalFormatting>
  <conditionalFormatting sqref="D81">
    <cfRule type="expression" dxfId="11" priority="19">
      <formula>$E$81=$G$81</formula>
    </cfRule>
  </conditionalFormatting>
  <conditionalFormatting sqref="D82">
    <cfRule type="expression" dxfId="10" priority="20">
      <formula>$E$82=$G$82</formula>
    </cfRule>
  </conditionalFormatting>
  <conditionalFormatting sqref="H79">
    <cfRule type="expression" dxfId="9" priority="21">
      <formula>$E$79=$G$79</formula>
    </cfRule>
  </conditionalFormatting>
  <conditionalFormatting sqref="H80">
    <cfRule type="expression" dxfId="8" priority="22">
      <formula>$E$80=$G$80</formula>
    </cfRule>
  </conditionalFormatting>
  <conditionalFormatting sqref="H81">
    <cfRule type="expression" dxfId="7" priority="23">
      <formula>$E$81=$G$81</formula>
    </cfRule>
  </conditionalFormatting>
  <conditionalFormatting sqref="H82">
    <cfRule type="expression" dxfId="6" priority="24">
      <formula>$E$82=$G$82</formula>
    </cfRule>
  </conditionalFormatting>
  <conditionalFormatting sqref="D85">
    <cfRule type="expression" dxfId="5" priority="25">
      <formula>$E$85=$G$85</formula>
    </cfRule>
  </conditionalFormatting>
  <conditionalFormatting sqref="D86">
    <cfRule type="expression" dxfId="4" priority="26">
      <formula>$E$86=$G$86</formula>
    </cfRule>
  </conditionalFormatting>
  <conditionalFormatting sqref="H85">
    <cfRule type="expression" dxfId="3" priority="27">
      <formula>$E$85=$G$85</formula>
    </cfRule>
  </conditionalFormatting>
  <conditionalFormatting sqref="H86">
    <cfRule type="expression" dxfId="2" priority="28">
      <formula>$E$86=$G$86</formula>
    </cfRule>
  </conditionalFormatting>
  <conditionalFormatting sqref="D89">
    <cfRule type="expression" dxfId="1" priority="29">
      <formula>$E$92=$G$92</formula>
    </cfRule>
  </conditionalFormatting>
  <conditionalFormatting sqref="H89">
    <cfRule type="expression" dxfId="0" priority="30">
      <formula>$E$92=$G$92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0"/>
  <sheetViews>
    <sheetView workbookViewId="0"/>
  </sheetViews>
  <sheetFormatPr defaultColWidth="14.42578125" defaultRowHeight="15" customHeight="1"/>
  <cols>
    <col min="1" max="1" width="17.42578125" customWidth="1"/>
    <col min="2" max="2" width="3" customWidth="1"/>
    <col min="3" max="3" width="1.85546875" customWidth="1"/>
    <col min="4" max="4" width="2.140625" customWidth="1"/>
    <col min="5" max="5" width="1.85546875" customWidth="1"/>
    <col min="6" max="6" width="2" customWidth="1"/>
    <col min="7" max="7" width="3" customWidth="1"/>
    <col min="8" max="10" width="3.140625" customWidth="1"/>
    <col min="11" max="11" width="11.42578125" customWidth="1"/>
    <col min="12" max="12" width="2.5703125" customWidth="1"/>
    <col min="13" max="13" width="2" customWidth="1"/>
    <col min="14" max="14" width="11.42578125" customWidth="1"/>
    <col min="15" max="16" width="2.42578125" customWidth="1"/>
    <col min="17" max="17" width="10.42578125" customWidth="1"/>
    <col min="18" max="18" width="2.5703125" customWidth="1"/>
    <col min="19" max="19" width="3.140625" customWidth="1"/>
    <col min="20" max="20" width="2.42578125" customWidth="1"/>
    <col min="21" max="21" width="10.42578125" customWidth="1"/>
    <col min="22" max="22" width="2.5703125" customWidth="1"/>
    <col min="23" max="23" width="3.140625" customWidth="1"/>
    <col min="24" max="24" width="10.140625" customWidth="1"/>
    <col min="25" max="25" width="2.5703125" customWidth="1"/>
    <col min="26" max="26" width="3.140625" customWidth="1"/>
    <col min="27" max="27" width="2.85546875" customWidth="1"/>
    <col min="28" max="28" width="10.140625" customWidth="1"/>
    <col min="29" max="29" width="2.5703125" customWidth="1"/>
    <col min="30" max="30" width="3.140625" customWidth="1"/>
    <col min="31" max="31" width="3" customWidth="1"/>
    <col min="32" max="32" width="10.140625" customWidth="1"/>
    <col min="33" max="33" width="2.5703125" customWidth="1"/>
    <col min="34" max="34" width="3.140625" customWidth="1"/>
    <col min="35" max="35" width="3" customWidth="1"/>
    <col min="36" max="36" width="10.140625" customWidth="1"/>
    <col min="37" max="37" width="2.5703125" customWidth="1"/>
    <col min="38" max="38" width="3.140625" customWidth="1"/>
    <col min="39" max="39" width="3" customWidth="1"/>
    <col min="40" max="40" width="10.140625" customWidth="1"/>
    <col min="41" max="41" width="2.5703125" customWidth="1"/>
    <col min="42" max="42" width="3.140625" customWidth="1"/>
    <col min="43" max="43" width="3" customWidth="1"/>
  </cols>
  <sheetData>
    <row r="1" spans="1:43" ht="12" customHeigh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</row>
    <row r="2" spans="1:43" ht="12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</row>
    <row r="3" spans="1:43" ht="12" customHeight="1">
      <c r="A3" s="16"/>
      <c r="B3" s="138" t="s">
        <v>79</v>
      </c>
      <c r="C3" s="116"/>
      <c r="D3" s="116"/>
      <c r="E3" s="116"/>
      <c r="F3" s="116"/>
      <c r="G3" s="116"/>
      <c r="H3" s="116"/>
      <c r="I3" s="116"/>
      <c r="J3" s="17"/>
      <c r="K3" s="17" t="s">
        <v>80</v>
      </c>
      <c r="L3" s="17"/>
      <c r="M3" s="17"/>
      <c r="N3" s="17" t="s">
        <v>81</v>
      </c>
      <c r="O3" s="17"/>
      <c r="P3" s="17"/>
      <c r="Q3" s="17" t="s">
        <v>82</v>
      </c>
      <c r="R3" s="17"/>
      <c r="S3" s="17"/>
      <c r="T3" s="17"/>
      <c r="U3" s="17" t="s">
        <v>82</v>
      </c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</row>
    <row r="4" spans="1:43" ht="12" customHeight="1">
      <c r="A4" s="18" t="s">
        <v>83</v>
      </c>
      <c r="B4" s="19" t="s">
        <v>12</v>
      </c>
      <c r="C4" s="20" t="s">
        <v>13</v>
      </c>
      <c r="D4" s="20" t="s">
        <v>14</v>
      </c>
      <c r="E4" s="20" t="s">
        <v>15</v>
      </c>
      <c r="F4" s="20" t="s">
        <v>16</v>
      </c>
      <c r="G4" s="20" t="s">
        <v>17</v>
      </c>
      <c r="H4" s="20" t="s">
        <v>18</v>
      </c>
      <c r="I4" s="20" t="s">
        <v>19</v>
      </c>
      <c r="J4" s="21"/>
      <c r="K4" s="17"/>
      <c r="L4" s="17" t="s">
        <v>12</v>
      </c>
      <c r="M4" s="17"/>
      <c r="N4" s="17"/>
      <c r="O4" s="17" t="s">
        <v>84</v>
      </c>
      <c r="P4" s="17"/>
      <c r="Q4" s="17"/>
      <c r="R4" s="17" t="s">
        <v>12</v>
      </c>
      <c r="S4" s="17" t="s">
        <v>19</v>
      </c>
      <c r="T4" s="17"/>
      <c r="U4" s="17"/>
      <c r="V4" s="17" t="s">
        <v>12</v>
      </c>
      <c r="W4" s="17" t="s">
        <v>19</v>
      </c>
      <c r="X4" s="17"/>
      <c r="Y4" s="17" t="s">
        <v>12</v>
      </c>
      <c r="Z4" s="17" t="s">
        <v>19</v>
      </c>
      <c r="AA4" s="17"/>
      <c r="AB4" s="17"/>
      <c r="AC4" s="17" t="s">
        <v>12</v>
      </c>
      <c r="AD4" s="17" t="s">
        <v>19</v>
      </c>
      <c r="AE4" s="17" t="s">
        <v>17</v>
      </c>
      <c r="AF4" s="17"/>
      <c r="AG4" s="17" t="s">
        <v>12</v>
      </c>
      <c r="AH4" s="17" t="s">
        <v>19</v>
      </c>
      <c r="AI4" s="17" t="s">
        <v>17</v>
      </c>
      <c r="AJ4" s="17"/>
      <c r="AK4" s="17" t="s">
        <v>12</v>
      </c>
      <c r="AL4" s="17" t="s">
        <v>19</v>
      </c>
      <c r="AM4" s="17" t="s">
        <v>17</v>
      </c>
      <c r="AN4" s="17"/>
      <c r="AO4" s="17" t="s">
        <v>12</v>
      </c>
      <c r="AP4" s="17" t="s">
        <v>19</v>
      </c>
      <c r="AQ4" s="17" t="s">
        <v>17</v>
      </c>
    </row>
    <row r="5" spans="1:43" ht="12" customHeight="1">
      <c r="A5" s="16" t="s">
        <v>5</v>
      </c>
      <c r="B5" s="19">
        <f t="shared" ref="B5:B8" si="0">SUM((D5*3))+E5</f>
        <v>1</v>
      </c>
      <c r="C5" s="20">
        <f>COUNT('Tabela Jogos'!E4,'Tabela Jogos'!G6,'Tabela Jogos'!G9)</f>
        <v>3</v>
      </c>
      <c r="D5" s="20">
        <f>SUM(IF(('Tabela Jogos'!$E$4&gt;'Tabela Jogos'!$G$4),COUNT('Tabela Jogos'!$E$4)),IF(('Tabela Jogos'!$G$6&gt;'Tabela Jogos'!$E$6),COUNT('Tabela Jogos'!$G$6)),IF(('Tabela Jogos'!$G$9&gt;'Tabela Jogos'!$E$9),COUNT('Tabela Jogos'!$G$9)))</f>
        <v>0</v>
      </c>
      <c r="E5" s="20">
        <f>SUM(IF(('Tabela Jogos'!$E$4='Tabela Jogos'!$G$4),COUNT('Tabela Jogos'!$E$4)),IF(('Tabela Jogos'!$G$6='Tabela Jogos'!$E$6),COUNT('Tabela Jogos'!$G$6)),IF(('Tabela Jogos'!$G$9='Tabela Jogos'!$E$9),COUNT('Tabela Jogos'!$G$9)))</f>
        <v>1</v>
      </c>
      <c r="F5" s="20">
        <f>SUM(IF(('Tabela Jogos'!$E$4&lt;'Tabela Jogos'!$G$4),COUNT('Tabela Jogos'!$E$4)),IF(('Tabela Jogos'!$G$6&lt;'Tabela Jogos'!$E$6),COUNT('Tabela Jogos'!$G$6)),IF(('Tabela Jogos'!$G$9&lt;'Tabela Jogos'!$E$9),COUNT('Tabela Jogos'!$G$9)))</f>
        <v>2</v>
      </c>
      <c r="G5" s="20">
        <f>SUM((('Tabela Jogos'!E4+'Tabela Jogos'!G6)+'Tabela Jogos'!G9))</f>
        <v>1</v>
      </c>
      <c r="H5" s="20">
        <f>SUM((('Tabela Jogos'!G4+'Tabela Jogos'!E6)+'Tabela Jogos'!E9))</f>
        <v>4</v>
      </c>
      <c r="I5" s="20">
        <f t="shared" ref="I5:I8" si="1">SUM((G5-H5))</f>
        <v>-3</v>
      </c>
      <c r="J5" s="19"/>
      <c r="K5" s="17" t="str">
        <f>IF(($B5&gt;=$B6),$A5,$A6)</f>
        <v>Al Ahly</v>
      </c>
      <c r="L5" s="22">
        <f t="shared" ref="L5:L8" si="2">VLOOKUP(K5,$A$5:$I$8,2,FALSE)</f>
        <v>1</v>
      </c>
      <c r="M5" s="17"/>
      <c r="N5" s="17" t="str">
        <f t="shared" ref="N5:N6" si="3">IF((L5&gt;=L7),K5,K7)</f>
        <v>Palmeiras</v>
      </c>
      <c r="O5" s="22">
        <f t="shared" ref="O5:O8" si="4">VLOOKUP(N5,$A$5:$I$8,2,FALSE)</f>
        <v>9</v>
      </c>
      <c r="P5" s="17"/>
      <c r="Q5" s="17" t="str">
        <f>IF((O5&gt;=O8),N5,N8)</f>
        <v>Palmeiras</v>
      </c>
      <c r="R5" s="22">
        <f t="shared" ref="R5:R8" si="5">VLOOKUP(Q5,$A$5:$I$8,2,FALSE)</f>
        <v>9</v>
      </c>
      <c r="S5" s="22">
        <f t="shared" ref="S5:S8" si="6">VLOOKUP(Q5,$A$5:$I$8,9,FALSE)</f>
        <v>5</v>
      </c>
      <c r="T5" s="17"/>
      <c r="U5" s="17" t="str">
        <f>IF(AND((R5=R6),(S6&gt;S5)),Q6,Q5)</f>
        <v>Palmeiras</v>
      </c>
      <c r="V5" s="22">
        <f t="shared" ref="V5:V8" si="7">VLOOKUP(U5,$A$5:$I$8,2,FALSE)</f>
        <v>9</v>
      </c>
      <c r="W5" s="22">
        <f t="shared" ref="W5:W8" si="8">VLOOKUP(U5,$A$5:$I$8,9,FALSE)</f>
        <v>5</v>
      </c>
      <c r="X5" s="17" t="str">
        <f t="shared" ref="X5:X6" si="9">IF(AND((V5=V7),(W7&gt;W5)),U7,U5)</f>
        <v>Palmeiras</v>
      </c>
      <c r="Y5" s="22">
        <f t="shared" ref="Y5:Y8" si="10">VLOOKUP(X5,$A$5:$I$8,2,FALSE)</f>
        <v>9</v>
      </c>
      <c r="Z5" s="22">
        <f t="shared" ref="Z5:Z8" si="11">VLOOKUP(X5,$A$5:$I$8,9,FALSE)</f>
        <v>5</v>
      </c>
      <c r="AA5" s="17"/>
      <c r="AB5" s="17" t="str">
        <f>IF(AND((Y5=Y8),(Z8&gt;Z5)),X8,X5)</f>
        <v>Palmeiras</v>
      </c>
      <c r="AC5" s="22">
        <f t="shared" ref="AC5:AC8" si="12">VLOOKUP(AB5,$A$5:$I$8,2,FALSE)</f>
        <v>9</v>
      </c>
      <c r="AD5" s="22">
        <f t="shared" ref="AD5:AD8" si="13">VLOOKUP(AB5,$A$5:$I$8,9,FALSE)</f>
        <v>5</v>
      </c>
      <c r="AE5" s="22">
        <f t="shared" ref="AE5:AE8" si="14">VLOOKUP(AB5,$A$5:$I$8,7,FALSE)</f>
        <v>7</v>
      </c>
      <c r="AF5" s="17" t="str">
        <f>IF(AND((AC5=AC6),(AD5=AD6),(AE6&gt;AE5)),AB6,AB5)</f>
        <v>Palmeiras</v>
      </c>
      <c r="AG5" s="22">
        <f t="shared" ref="AG5:AG8" si="15">VLOOKUP(AF5,$A$5:$I$8,2,FALSE)</f>
        <v>9</v>
      </c>
      <c r="AH5" s="22">
        <f t="shared" ref="AH5:AH8" si="16">VLOOKUP(AF5,$A$5:$I$8,9,FALSE)</f>
        <v>5</v>
      </c>
      <c r="AI5" s="22">
        <f t="shared" ref="AI5:AI8" si="17">VLOOKUP(AF5,$A$5:$I$8,7,FALSE)</f>
        <v>7</v>
      </c>
      <c r="AJ5" s="17" t="str">
        <f t="shared" ref="AJ5:AJ6" si="18">IF(AND((AG5=AG7),(AH5=AH7),(AI7&gt;AI5)),AF7,AF5)</f>
        <v>Palmeiras</v>
      </c>
      <c r="AK5" s="22">
        <f t="shared" ref="AK5:AK8" si="19">VLOOKUP(AJ5,$A$5:$I$8,2,FALSE)</f>
        <v>9</v>
      </c>
      <c r="AL5" s="22">
        <f t="shared" ref="AL5:AL8" si="20">VLOOKUP(AJ5,$A$5:$I$8,9,FALSE)</f>
        <v>5</v>
      </c>
      <c r="AM5" s="22">
        <f t="shared" ref="AM5:AM8" si="21">VLOOKUP(AJ5,$A$5:$I$8,7,FALSE)</f>
        <v>7</v>
      </c>
      <c r="AN5" s="17" t="str">
        <f>IF(AND((AK5=AK8),(AL5=AL8),(AM8&gt;AM5)),AJ8,AJ5)</f>
        <v>Palmeiras</v>
      </c>
      <c r="AO5" s="22">
        <f t="shared" ref="AO5:AO8" si="22">VLOOKUP(AN5,$A$5:$I$8,2,FALSE)</f>
        <v>9</v>
      </c>
      <c r="AP5" s="22">
        <f t="shared" ref="AP5:AP8" si="23">VLOOKUP(AN5,$A$5:$I$8,9,FALSE)</f>
        <v>5</v>
      </c>
      <c r="AQ5" s="22">
        <f t="shared" ref="AQ5:AQ8" si="24">VLOOKUP(AN5,$A$5:$I$8,7,FALSE)</f>
        <v>7</v>
      </c>
    </row>
    <row r="6" spans="1:43" ht="12" customHeight="1">
      <c r="A6" s="16" t="s">
        <v>7</v>
      </c>
      <c r="B6" s="19">
        <f t="shared" si="0"/>
        <v>1</v>
      </c>
      <c r="C6" s="20">
        <f>COUNT('Tabela Jogos'!G4,'Tabela Jogos'!E7,'Tabela Jogos'!E8)</f>
        <v>3</v>
      </c>
      <c r="D6" s="20">
        <f>SUM(IF(('Tabela Jogos'!$G$4&gt;'Tabela Jogos'!$E$4),COUNT('Tabela Jogos'!$G$4)),IF(('Tabela Jogos'!$E$7&gt;'Tabela Jogos'!$G$7),COUNT('Tabela Jogos'!$E$7)),IF(('Tabela Jogos'!$E$8&gt;'Tabela Jogos'!$G$8),COUNT('Tabela Jogos'!$E$8)))</f>
        <v>0</v>
      </c>
      <c r="E6" s="20">
        <f>SUM(IF(('Tabela Jogos'!$G$4='Tabela Jogos'!$E$4),COUNT('Tabela Jogos'!$G$4)),IF(('Tabela Jogos'!$E$7='Tabela Jogos'!$G$7),COUNT('Tabela Jogos'!$E$7)),IF(('Tabela Jogos'!$E$8='Tabela Jogos'!$G$8),COUNT('Tabela Jogos'!$E$8)))</f>
        <v>1</v>
      </c>
      <c r="F6" s="20">
        <f>SUM(IF(('Tabela Jogos'!$G$4&lt;'Tabela Jogos'!$E$4),COUNT('Tabela Jogos'!$G$4)),IF(('Tabela Jogos'!$E$7&lt;'Tabela Jogos'!$G$7),COUNT('Tabela Jogos'!$E$7)),IF(('Tabela Jogos'!$E$8&lt;'Tabela Jogos'!$G$8),COUNT('Tabela Jogos'!$E$8)))</f>
        <v>2</v>
      </c>
      <c r="G6" s="20">
        <f>SUM((('Tabela Jogos'!G4+'Tabela Jogos'!E7)+'Tabela Jogos'!E8))</f>
        <v>3</v>
      </c>
      <c r="H6" s="20">
        <f>SUM((('Tabela Jogos'!E4+'Tabela Jogos'!G7)+'Tabela Jogos'!G8))</f>
        <v>7</v>
      </c>
      <c r="I6" s="20">
        <f t="shared" si="1"/>
        <v>-4</v>
      </c>
      <c r="J6" s="19"/>
      <c r="K6" s="17" t="str">
        <f>IF((B6&lt;=B5),A6,A5)</f>
        <v>Inter Miami</v>
      </c>
      <c r="L6" s="22">
        <f t="shared" si="2"/>
        <v>1</v>
      </c>
      <c r="M6" s="17"/>
      <c r="N6" s="17" t="str">
        <f t="shared" si="3"/>
        <v>Porto</v>
      </c>
      <c r="O6" s="22">
        <f t="shared" si="4"/>
        <v>6</v>
      </c>
      <c r="P6" s="17"/>
      <c r="Q6" s="17" t="str">
        <f>IF((O6&gt;=O7),N6,N7)</f>
        <v>Porto</v>
      </c>
      <c r="R6" s="22">
        <f t="shared" si="5"/>
        <v>6</v>
      </c>
      <c r="S6" s="22">
        <f t="shared" si="6"/>
        <v>2</v>
      </c>
      <c r="T6" s="17"/>
      <c r="U6" s="17" t="str">
        <f>IF(AND((R5=R6),(S6&gt;S5)),Q5,Q6)</f>
        <v>Porto</v>
      </c>
      <c r="V6" s="22">
        <f t="shared" si="7"/>
        <v>6</v>
      </c>
      <c r="W6" s="22">
        <f t="shared" si="8"/>
        <v>2</v>
      </c>
      <c r="X6" s="17" t="str">
        <f t="shared" si="9"/>
        <v>Porto</v>
      </c>
      <c r="Y6" s="22">
        <f t="shared" si="10"/>
        <v>6</v>
      </c>
      <c r="Z6" s="22">
        <f t="shared" si="11"/>
        <v>2</v>
      </c>
      <c r="AA6" s="17"/>
      <c r="AB6" s="17" t="str">
        <f>IF(AND((Y6=Y7),(Z7&gt;Z6)),X7,X6)</f>
        <v>Porto</v>
      </c>
      <c r="AC6" s="22">
        <f t="shared" si="12"/>
        <v>6</v>
      </c>
      <c r="AD6" s="22">
        <f t="shared" si="13"/>
        <v>2</v>
      </c>
      <c r="AE6" s="22">
        <f t="shared" si="14"/>
        <v>5</v>
      </c>
      <c r="AF6" s="17" t="str">
        <f>IF(AND((AC6=AC5),(AD6=AD5),(AE6&gt;AE5)),AB5,AB6)</f>
        <v>Porto</v>
      </c>
      <c r="AG6" s="22">
        <f t="shared" si="15"/>
        <v>6</v>
      </c>
      <c r="AH6" s="22">
        <f t="shared" si="16"/>
        <v>2</v>
      </c>
      <c r="AI6" s="22">
        <f t="shared" si="17"/>
        <v>5</v>
      </c>
      <c r="AJ6" s="17" t="str">
        <f t="shared" si="18"/>
        <v>Porto</v>
      </c>
      <c r="AK6" s="22">
        <f t="shared" si="19"/>
        <v>6</v>
      </c>
      <c r="AL6" s="22">
        <f t="shared" si="20"/>
        <v>2</v>
      </c>
      <c r="AM6" s="22">
        <f t="shared" si="21"/>
        <v>5</v>
      </c>
      <c r="AN6" s="17" t="str">
        <f>IF(AND((AK6=AK7),(AL6=AL7),(AM7&gt;AM6)),AJ7,AJ6)</f>
        <v>Porto</v>
      </c>
      <c r="AO6" s="22">
        <f t="shared" si="22"/>
        <v>6</v>
      </c>
      <c r="AP6" s="22">
        <f t="shared" si="23"/>
        <v>2</v>
      </c>
      <c r="AQ6" s="22">
        <f t="shared" si="24"/>
        <v>5</v>
      </c>
    </row>
    <row r="7" spans="1:43" ht="12" customHeight="1">
      <c r="A7" s="16" t="s">
        <v>10</v>
      </c>
      <c r="B7" s="19">
        <f t="shared" si="0"/>
        <v>9</v>
      </c>
      <c r="C7" s="20">
        <f>COUNT('Tabela Jogos'!E5,'Tabela Jogos'!E6,'Tabela Jogos'!G8)</f>
        <v>3</v>
      </c>
      <c r="D7" s="20">
        <f>SUM(IF(('Tabela Jogos'!$E$5&gt;'Tabela Jogos'!$G$5),COUNT('Tabela Jogos'!$E$5)),IF(('Tabela Jogos'!$E$6&gt;'Tabela Jogos'!$G$6),COUNT('Tabela Jogos'!$E$6)),IF(('Tabela Jogos'!$G$8&gt;'Tabela Jogos'!$E$8),COUNT('Tabela Jogos'!$G$8)))</f>
        <v>3</v>
      </c>
      <c r="E7" s="20">
        <f>SUM(IF(('Tabela Jogos'!$E$5='Tabela Jogos'!$G$5),COUNT('Tabela Jogos'!$E$5)),IF(('Tabela Jogos'!$E$6='Tabela Jogos'!$G$6),COUNT('Tabela Jogos'!$E$6)),IF(('Tabela Jogos'!$G$8='Tabela Jogos'!$E$8),COUNT('Tabela Jogos'!$G$8)))</f>
        <v>0</v>
      </c>
      <c r="F7" s="20">
        <f>SUM(IF(('Tabela Jogos'!$E$5&lt;'Tabela Jogos'!$G$5),COUNT('Tabela Jogos'!$E$5)),IF(('Tabela Jogos'!$E$6&lt;'Tabela Jogos'!$G$6),COUNT('Tabela Jogos'!$E$6)),IF(('Tabela Jogos'!$G$8&lt;'Tabela Jogos'!$E$8),COUNT('Tabela Jogos'!$G$8)))</f>
        <v>0</v>
      </c>
      <c r="G7" s="20">
        <f>SUM((('Tabela Jogos'!E5+'Tabela Jogos'!E6)+'Tabela Jogos'!G8))</f>
        <v>7</v>
      </c>
      <c r="H7" s="20">
        <f>SUM((('Tabela Jogos'!G5+'Tabela Jogos'!G6)+'Tabela Jogos'!E8))</f>
        <v>2</v>
      </c>
      <c r="I7" s="20">
        <f t="shared" si="1"/>
        <v>5</v>
      </c>
      <c r="J7" s="19"/>
      <c r="K7" s="17" t="str">
        <f>IF((B7&gt;=B8),A7,A8)</f>
        <v>Palmeiras</v>
      </c>
      <c r="L7" s="22">
        <f t="shared" si="2"/>
        <v>9</v>
      </c>
      <c r="M7" s="17"/>
      <c r="N7" s="17" t="str">
        <f t="shared" ref="N7:N8" si="25">IF((L7&lt;=L5),K7,K5)</f>
        <v>Al Ahly</v>
      </c>
      <c r="O7" s="22">
        <f t="shared" si="4"/>
        <v>1</v>
      </c>
      <c r="P7" s="17"/>
      <c r="Q7" s="17" t="str">
        <f>IF((O7&lt;=O6),N7,N6)</f>
        <v>Al Ahly</v>
      </c>
      <c r="R7" s="22">
        <f t="shared" si="5"/>
        <v>1</v>
      </c>
      <c r="S7" s="22">
        <f t="shared" si="6"/>
        <v>-3</v>
      </c>
      <c r="T7" s="17"/>
      <c r="U7" s="17" t="str">
        <f>IF(AND((R7=R8),(S8&gt;S7)),Q8,Q7)</f>
        <v>Al Ahly</v>
      </c>
      <c r="V7" s="22">
        <f t="shared" si="7"/>
        <v>1</v>
      </c>
      <c r="W7" s="22">
        <f t="shared" si="8"/>
        <v>-3</v>
      </c>
      <c r="X7" s="17" t="str">
        <f t="shared" ref="X7:X8" si="26">IF(AND((V5=V7),(W7&gt;W5)),U5,U7)</f>
        <v>Al Ahly</v>
      </c>
      <c r="Y7" s="22">
        <f t="shared" si="10"/>
        <v>1</v>
      </c>
      <c r="Z7" s="22">
        <f t="shared" si="11"/>
        <v>-3</v>
      </c>
      <c r="AA7" s="17"/>
      <c r="AB7" s="17" t="str">
        <f>IF(AND((Y7=Y6),(Z7&gt;Z6)),X6,X7)</f>
        <v>Al Ahly</v>
      </c>
      <c r="AC7" s="22">
        <f t="shared" si="12"/>
        <v>1</v>
      </c>
      <c r="AD7" s="22">
        <f t="shared" si="13"/>
        <v>-3</v>
      </c>
      <c r="AE7" s="22">
        <f t="shared" si="14"/>
        <v>1</v>
      </c>
      <c r="AF7" s="17" t="str">
        <f>IF(AND((AC7=AC8),(AD7=AD8),(AE8&gt;AE7)),AB8,AB7)</f>
        <v>Al Ahly</v>
      </c>
      <c r="AG7" s="22">
        <f t="shared" si="15"/>
        <v>1</v>
      </c>
      <c r="AH7" s="22">
        <f t="shared" si="16"/>
        <v>-3</v>
      </c>
      <c r="AI7" s="22">
        <f t="shared" si="17"/>
        <v>1</v>
      </c>
      <c r="AJ7" s="17" t="str">
        <f>IF(AND((AG7=AG5),(AH7=AH5),(AI7&gt;AI5)),AF5,AF7)</f>
        <v>Al Ahly</v>
      </c>
      <c r="AK7" s="22">
        <f t="shared" si="19"/>
        <v>1</v>
      </c>
      <c r="AL7" s="22">
        <f t="shared" si="20"/>
        <v>-3</v>
      </c>
      <c r="AM7" s="22">
        <f t="shared" si="21"/>
        <v>1</v>
      </c>
      <c r="AN7" s="17" t="str">
        <f>IF(AND((AK7=AK6),(AL7=AL6),(AM7&gt;AM6)),AJ6,AJ7)</f>
        <v>Al Ahly</v>
      </c>
      <c r="AO7" s="22">
        <f t="shared" si="22"/>
        <v>1</v>
      </c>
      <c r="AP7" s="22">
        <f t="shared" si="23"/>
        <v>-3</v>
      </c>
      <c r="AQ7" s="22">
        <f t="shared" si="24"/>
        <v>1</v>
      </c>
    </row>
    <row r="8" spans="1:43" ht="12" customHeight="1">
      <c r="A8" s="16" t="s">
        <v>23</v>
      </c>
      <c r="B8" s="19">
        <f t="shared" si="0"/>
        <v>6</v>
      </c>
      <c r="C8" s="20">
        <f>COUNT('Tabela Jogos'!G5,'Tabela Jogos'!G7,'Tabela Jogos'!E9)</f>
        <v>3</v>
      </c>
      <c r="D8" s="20">
        <f>SUM(IF(('Tabela Jogos'!$G$5&gt;'Tabela Jogos'!$E$5),COUNT('Tabela Jogos'!$G$5)),IF(('Tabela Jogos'!$G$7&gt;'Tabela Jogos'!$E$7),COUNT('Tabela Jogos'!$G$7)),IF(('Tabela Jogos'!$E$9&gt;'Tabela Jogos'!$G$9),COUNT('Tabela Jogos'!$E$9)))</f>
        <v>2</v>
      </c>
      <c r="E8" s="20">
        <f>SUM(IF(('Tabela Jogos'!$G$5='Tabela Jogos'!$E$5),COUNT('Tabela Jogos'!$G$5)),IF(('Tabela Jogos'!$G$7='Tabela Jogos'!$E$7),COUNT('Tabela Jogos'!$G$7)),IF(('Tabela Jogos'!$E$9='Tabela Jogos'!$G$9),COUNT('Tabela Jogos'!$E$9)))</f>
        <v>0</v>
      </c>
      <c r="F8" s="20">
        <f>SUM(IF(('Tabela Jogos'!$G$5&lt;'Tabela Jogos'!$E$5),COUNT('Tabela Jogos'!$G$5)),IF(('Tabela Jogos'!$G$7&lt;'Tabela Jogos'!$E$7),COUNT('Tabela Jogos'!$G$7)),IF(('Tabela Jogos'!$E$9&lt;'Tabela Jogos'!$G$9),COUNT('Tabela Jogos'!$E$9)))</f>
        <v>1</v>
      </c>
      <c r="G8" s="20">
        <f>SUM((('Tabela Jogos'!G5+'Tabela Jogos'!G7)+'Tabela Jogos'!E9))</f>
        <v>5</v>
      </c>
      <c r="H8" s="20">
        <f>SUM((('Tabela Jogos'!E5+'Tabela Jogos'!E7)+'Tabela Jogos'!G9))</f>
        <v>3</v>
      </c>
      <c r="I8" s="20">
        <f t="shared" si="1"/>
        <v>2</v>
      </c>
      <c r="J8" s="19"/>
      <c r="K8" s="17" t="str">
        <f>IF((B8&lt;=B7),A8,A7)</f>
        <v>Porto</v>
      </c>
      <c r="L8" s="22">
        <f t="shared" si="2"/>
        <v>6</v>
      </c>
      <c r="M8" s="17"/>
      <c r="N8" s="17" t="str">
        <f t="shared" si="25"/>
        <v>Inter Miami</v>
      </c>
      <c r="O8" s="22">
        <f t="shared" si="4"/>
        <v>1</v>
      </c>
      <c r="P8" s="17"/>
      <c r="Q8" s="17" t="str">
        <f>IF((O8&lt;=O5),N8,N5)</f>
        <v>Inter Miami</v>
      </c>
      <c r="R8" s="22">
        <f t="shared" si="5"/>
        <v>1</v>
      </c>
      <c r="S8" s="22">
        <f t="shared" si="6"/>
        <v>-4</v>
      </c>
      <c r="T8" s="17"/>
      <c r="U8" s="17" t="str">
        <f>IF(AND((R7=R8),(S8&gt;S7)),Q7,Q8)</f>
        <v>Inter Miami</v>
      </c>
      <c r="V8" s="22">
        <f t="shared" si="7"/>
        <v>1</v>
      </c>
      <c r="W8" s="22">
        <f t="shared" si="8"/>
        <v>-4</v>
      </c>
      <c r="X8" s="17" t="str">
        <f t="shared" si="26"/>
        <v>Inter Miami</v>
      </c>
      <c r="Y8" s="22">
        <f t="shared" si="10"/>
        <v>1</v>
      </c>
      <c r="Z8" s="22">
        <f t="shared" si="11"/>
        <v>-4</v>
      </c>
      <c r="AA8" s="17"/>
      <c r="AB8" s="17" t="str">
        <f>IF(AND((Y8=Y5),(Z8&gt;Z5)),X5,X8)</f>
        <v>Inter Miami</v>
      </c>
      <c r="AC8" s="22">
        <f t="shared" si="12"/>
        <v>1</v>
      </c>
      <c r="AD8" s="22">
        <f t="shared" si="13"/>
        <v>-4</v>
      </c>
      <c r="AE8" s="22">
        <f t="shared" si="14"/>
        <v>3</v>
      </c>
      <c r="AF8" s="17" t="str">
        <f>IF(AND((AC8=AC7),(AD8=AD7),(AE8&gt;AE7)),X7,X8)</f>
        <v>Inter Miami</v>
      </c>
      <c r="AG8" s="22">
        <f t="shared" si="15"/>
        <v>1</v>
      </c>
      <c r="AH8" s="22">
        <f t="shared" si="16"/>
        <v>-4</v>
      </c>
      <c r="AI8" s="22">
        <f t="shared" si="17"/>
        <v>3</v>
      </c>
      <c r="AJ8" s="17" t="str">
        <f>IF(AND((AG6=AG8),(AH6=AH8),(AI8&gt;AI6)),AF6,AF8)</f>
        <v>Inter Miami</v>
      </c>
      <c r="AK8" s="22">
        <f t="shared" si="19"/>
        <v>1</v>
      </c>
      <c r="AL8" s="22">
        <f t="shared" si="20"/>
        <v>-4</v>
      </c>
      <c r="AM8" s="22">
        <f t="shared" si="21"/>
        <v>3</v>
      </c>
      <c r="AN8" s="17" t="str">
        <f>IF(AND((AK8=AK5),(AL8=AL5),(AM8&gt;AM5)),AJ5,AJ8)</f>
        <v>Inter Miami</v>
      </c>
      <c r="AO8" s="22">
        <f t="shared" si="22"/>
        <v>1</v>
      </c>
      <c r="AP8" s="22">
        <f t="shared" si="23"/>
        <v>-4</v>
      </c>
      <c r="AQ8" s="22">
        <f t="shared" si="24"/>
        <v>3</v>
      </c>
    </row>
    <row r="9" spans="1:43" ht="12" customHeight="1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</row>
    <row r="10" spans="1:43" ht="12" customHeight="1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</row>
    <row r="11" spans="1:43" ht="12" customHeight="1">
      <c r="A11" s="16"/>
      <c r="B11" s="138" t="s">
        <v>85</v>
      </c>
      <c r="C11" s="116"/>
      <c r="D11" s="116"/>
      <c r="E11" s="116"/>
      <c r="F11" s="116"/>
      <c r="G11" s="116"/>
      <c r="H11" s="116"/>
      <c r="I11" s="116"/>
      <c r="J11" s="17"/>
      <c r="K11" s="17" t="s">
        <v>80</v>
      </c>
      <c r="L11" s="17"/>
      <c r="M11" s="17"/>
      <c r="N11" s="17" t="s">
        <v>81</v>
      </c>
      <c r="O11" s="17"/>
      <c r="P11" s="17"/>
      <c r="Q11" s="17" t="s">
        <v>82</v>
      </c>
      <c r="R11" s="17"/>
      <c r="S11" s="17"/>
      <c r="T11" s="17"/>
      <c r="U11" s="17" t="s">
        <v>82</v>
      </c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</row>
    <row r="12" spans="1:43" ht="12" customHeight="1">
      <c r="A12" s="18" t="s">
        <v>83</v>
      </c>
      <c r="B12" s="19" t="s">
        <v>12</v>
      </c>
      <c r="C12" s="20" t="s">
        <v>13</v>
      </c>
      <c r="D12" s="20" t="s">
        <v>14</v>
      </c>
      <c r="E12" s="20" t="s">
        <v>15</v>
      </c>
      <c r="F12" s="20" t="s">
        <v>16</v>
      </c>
      <c r="G12" s="20" t="s">
        <v>17</v>
      </c>
      <c r="H12" s="20" t="s">
        <v>18</v>
      </c>
      <c r="I12" s="20" t="s">
        <v>19</v>
      </c>
      <c r="J12" s="21"/>
      <c r="K12" s="17"/>
      <c r="L12" s="17" t="s">
        <v>12</v>
      </c>
      <c r="M12" s="17"/>
      <c r="N12" s="17"/>
      <c r="O12" s="17" t="s">
        <v>84</v>
      </c>
      <c r="P12" s="17"/>
      <c r="Q12" s="17"/>
      <c r="R12" s="17" t="s">
        <v>12</v>
      </c>
      <c r="S12" s="17" t="s">
        <v>19</v>
      </c>
      <c r="T12" s="17"/>
      <c r="U12" s="17"/>
      <c r="V12" s="17" t="s">
        <v>12</v>
      </c>
      <c r="W12" s="17" t="s">
        <v>19</v>
      </c>
      <c r="X12" s="17"/>
      <c r="Y12" s="17" t="s">
        <v>12</v>
      </c>
      <c r="Z12" s="17" t="s">
        <v>19</v>
      </c>
      <c r="AA12" s="17"/>
      <c r="AB12" s="17"/>
      <c r="AC12" s="17" t="s">
        <v>12</v>
      </c>
      <c r="AD12" s="17" t="s">
        <v>19</v>
      </c>
      <c r="AE12" s="17" t="s">
        <v>17</v>
      </c>
      <c r="AF12" s="17"/>
      <c r="AG12" s="17" t="s">
        <v>12</v>
      </c>
      <c r="AH12" s="17" t="s">
        <v>19</v>
      </c>
      <c r="AI12" s="17" t="s">
        <v>17</v>
      </c>
      <c r="AJ12" s="17"/>
      <c r="AK12" s="17" t="s">
        <v>12</v>
      </c>
      <c r="AL12" s="17" t="s">
        <v>19</v>
      </c>
      <c r="AM12" s="17" t="s">
        <v>17</v>
      </c>
      <c r="AN12" s="17"/>
      <c r="AO12" s="17" t="s">
        <v>12</v>
      </c>
      <c r="AP12" s="17" t="s">
        <v>19</v>
      </c>
      <c r="AQ12" s="17" t="s">
        <v>17</v>
      </c>
    </row>
    <row r="13" spans="1:43" ht="12" customHeight="1">
      <c r="A13" s="16" t="s">
        <v>26</v>
      </c>
      <c r="B13" s="19">
        <f t="shared" ref="B13:B16" si="27">SUM((D13*3))+E13</f>
        <v>6</v>
      </c>
      <c r="C13" s="20">
        <f>COUNT('Tabela Jogos'!G12,'Tabela Jogos'!G14,'Tabela Jogos'!E17)</f>
        <v>3</v>
      </c>
      <c r="D13" s="20">
        <f>SUM(IF(('Tabela Jogos'!$G$12&gt;'Tabela Jogos'!$E$12),COUNT('Tabela Jogos'!$G$12)),IF(('Tabela Jogos'!$G$14&gt;'Tabela Jogos'!$E$14),COUNT('Tabela Jogos'!$G$14)),IF(('Tabela Jogos'!$E$17&gt;'Tabela Jogos'!$G$17),COUNT('Tabela Jogos'!$E$17)))</f>
        <v>2</v>
      </c>
      <c r="E13" s="20">
        <f>SUM(IF(('Tabela Jogos'!$G$12='Tabela Jogos'!$E$12),COUNT('Tabela Jogos'!$G$12)),IF(('Tabela Jogos'!$G$14='Tabela Jogos'!$E$14),COUNT('Tabela Jogos'!$G$14)),IF(('Tabela Jogos'!$E$17='Tabela Jogos'!$G$17),COUNT('Tabela Jogos'!$E$17)))</f>
        <v>0</v>
      </c>
      <c r="F13" s="20">
        <f>SUM(IF(('Tabela Jogos'!$G$12&lt;'Tabela Jogos'!$E$12),COUNT('Tabela Jogos'!$G$12)),IF(('Tabela Jogos'!$G$14&lt;'Tabela Jogos'!$E$14),COUNT('Tabela Jogos'!$G$14)),IF(('Tabela Jogos'!$E$17&lt;'Tabela Jogos'!$G$17),COUNT('Tabela Jogos'!$E$17)))</f>
        <v>1</v>
      </c>
      <c r="G13" s="20">
        <f>SUM((('Tabela Jogos'!G12+'Tabela Jogos'!G14)+'Tabela Jogos'!E17))</f>
        <v>7</v>
      </c>
      <c r="H13" s="20">
        <f>SUM((('Tabela Jogos'!E12+'Tabela Jogos'!E14)+'Tabela Jogos'!G17))</f>
        <v>3</v>
      </c>
      <c r="I13" s="20">
        <f t="shared" ref="I13:I16" si="28">SUM((G13-H13))</f>
        <v>4</v>
      </c>
      <c r="J13" s="19"/>
      <c r="K13" s="17" t="str">
        <f>IF((B13&gt;=B14),A13,A14)</f>
        <v>Atlético de Madrid</v>
      </c>
      <c r="L13" s="22">
        <f t="shared" ref="L13:L16" si="29">VLOOKUP(K13,$A$13:$I$16,2,FALSE)</f>
        <v>6</v>
      </c>
      <c r="M13" s="17"/>
      <c r="N13" s="17" t="str">
        <f t="shared" ref="N13:N14" si="30">IF((L13&gt;=L15),K13,K15)</f>
        <v>Paris Saint-Germain</v>
      </c>
      <c r="O13" s="22">
        <f t="shared" ref="O13:O16" si="31">VLOOKUP(N13,$A$13:$I$16,2,FALSE)</f>
        <v>9</v>
      </c>
      <c r="P13" s="17"/>
      <c r="Q13" s="17" t="str">
        <f>IF((O13&gt;=O16),N13,N16)</f>
        <v>Paris Saint-Germain</v>
      </c>
      <c r="R13" s="22">
        <f t="shared" ref="R13:R16" si="32">VLOOKUP(Q13,$A$13:$I$16,2,FALSE)</f>
        <v>9</v>
      </c>
      <c r="S13" s="22">
        <f t="shared" ref="S13:S16" si="33">VLOOKUP(Q13,$A$13:$I$16,9,FALSE)</f>
        <v>8</v>
      </c>
      <c r="T13" s="17"/>
      <c r="U13" s="17" t="str">
        <f>IF(AND((R13=R14),(S14&gt;S13)),Q14,Q13)</f>
        <v>Paris Saint-Germain</v>
      </c>
      <c r="V13" s="22">
        <f t="shared" ref="V13:V16" si="34">VLOOKUP(U13,$A$13:$I$16,2,FALSE)</f>
        <v>9</v>
      </c>
      <c r="W13" s="22">
        <f t="shared" ref="W13:W16" si="35">VLOOKUP(U13,$A$13:$I$16,9,FALSE)</f>
        <v>8</v>
      </c>
      <c r="X13" s="17" t="str">
        <f t="shared" ref="X13:X14" si="36">IF(AND((V13=V15),(W15&gt;W13)),U15,U13)</f>
        <v>Paris Saint-Germain</v>
      </c>
      <c r="Y13" s="22">
        <f t="shared" ref="Y13:Y16" si="37">VLOOKUP(X13,$A$13:$I$16,2,FALSE)</f>
        <v>9</v>
      </c>
      <c r="Z13" s="22">
        <f t="shared" ref="Z13:Z16" si="38">VLOOKUP(X13,$A$13:$I$16,9,FALSE)</f>
        <v>8</v>
      </c>
      <c r="AA13" s="17"/>
      <c r="AB13" s="17" t="str">
        <f>IF(AND((Y13=Y16),(Z16&gt;Z13)),X16,X13)</f>
        <v>Paris Saint-Germain</v>
      </c>
      <c r="AC13" s="22">
        <f t="shared" ref="AC13:AC16" si="39">VLOOKUP(AB13,$A$13:$I$16,2,FALSE)</f>
        <v>9</v>
      </c>
      <c r="AD13" s="22">
        <f t="shared" ref="AD13:AD16" si="40">VLOOKUP(AB13,$A$13:$I$16,9,FALSE)</f>
        <v>8</v>
      </c>
      <c r="AE13" s="22">
        <f t="shared" ref="AE13:AE16" si="41">VLOOKUP(AB13,$A$13:$I$16,7,FALSE)</f>
        <v>10</v>
      </c>
      <c r="AF13" s="17" t="str">
        <f>IF(AND((AC13=AC14),(AD13=AD14),(AE14&gt;AE13)),AB14,AB13)</f>
        <v>Paris Saint-Germain</v>
      </c>
      <c r="AG13" s="22">
        <f t="shared" ref="AG13:AG16" si="42">VLOOKUP(AF13,$A$13:$I$16,2,FALSE)</f>
        <v>9</v>
      </c>
      <c r="AH13" s="22">
        <f t="shared" ref="AH13:AH16" si="43">VLOOKUP(AF13,$A$13:$I$16,9,FALSE)</f>
        <v>8</v>
      </c>
      <c r="AI13" s="22">
        <f t="shared" ref="AI13:AI16" si="44">VLOOKUP(AF13,$A$13:$I$16,7,FALSE)</f>
        <v>10</v>
      </c>
      <c r="AJ13" s="17" t="str">
        <f t="shared" ref="AJ13:AJ14" si="45">IF(AND((AG13=AG15),(AH13=AH15),(AI15&gt;AI13)),AF15,AF13)</f>
        <v>Paris Saint-Germain</v>
      </c>
      <c r="AK13" s="22">
        <f t="shared" ref="AK13:AK16" si="46">VLOOKUP(AJ13,$A$13:$I$16,2,FALSE)</f>
        <v>9</v>
      </c>
      <c r="AL13" s="22">
        <f t="shared" ref="AL13:AL16" si="47">VLOOKUP(AJ13,$A$13:$I$16,9,FALSE)</f>
        <v>8</v>
      </c>
      <c r="AM13" s="22">
        <f t="shared" ref="AM13:AM16" si="48">VLOOKUP(AJ13,$A$13:$I$16,7,FALSE)</f>
        <v>10</v>
      </c>
      <c r="AN13" s="17" t="str">
        <f>IF(AND((AK13=AK16),(AL13=AL16),(AM16&gt;AM13)),AJ16,AJ13)</f>
        <v>Paris Saint-Germain</v>
      </c>
      <c r="AO13" s="22">
        <f t="shared" ref="AO13:AO16" si="49">VLOOKUP(AN13,$A$13:$I$16,2,FALSE)</f>
        <v>9</v>
      </c>
      <c r="AP13" s="22">
        <f t="shared" ref="AP13:AP16" si="50">VLOOKUP(AN13,$A$13:$I$16,9,FALSE)</f>
        <v>8</v>
      </c>
      <c r="AQ13" s="22">
        <f t="shared" ref="AQ13:AQ16" si="51">VLOOKUP(AN13,$A$13:$I$16,7,FALSE)</f>
        <v>10</v>
      </c>
    </row>
    <row r="14" spans="1:43" ht="12" customHeight="1">
      <c r="A14" s="16" t="s">
        <v>29</v>
      </c>
      <c r="B14" s="19">
        <f t="shared" si="27"/>
        <v>3</v>
      </c>
      <c r="C14" s="20">
        <f>COUNT('Tabela Jogos'!E13,'Tabela Jogos'!G15,'Tabela Jogos'!G17)</f>
        <v>3</v>
      </c>
      <c r="D14" s="20">
        <f>SUM(IF(('Tabela Jogos'!$E$13&gt;'Tabela Jogos'!$G$13),COUNT('Tabela Jogos'!$E$13)),IF(('Tabela Jogos'!$G$15&gt;'Tabela Jogos'!$E$15),COUNT('Tabela Jogos'!$G$15)),IF(('Tabela Jogos'!$G$17&gt;'Tabela Jogos'!$E$17),COUNT('Tabela Jogos'!$G$17)))</f>
        <v>1</v>
      </c>
      <c r="E14" s="20">
        <f>SUM(IF(('Tabela Jogos'!$E$13='Tabela Jogos'!$G$13),COUNT('Tabela Jogos'!$E$13)),IF(('Tabela Jogos'!$G$15='Tabela Jogos'!$E$15),COUNT('Tabela Jogos'!$G$15)),IF(('Tabela Jogos'!$G$17='Tabela Jogos'!$E$17),COUNT('Tabela Jogos'!$G$17)))</f>
        <v>0</v>
      </c>
      <c r="F14" s="20">
        <f>SUM(IF(('Tabela Jogos'!$E$13&lt;'Tabela Jogos'!$G$12),COUNT('Tabela Jogos'!$E$12)),IF(('Tabela Jogos'!$G$15&lt;'Tabela Jogos'!$E$15),COUNT('Tabela Jogos'!$G$15)),IF(('Tabela Jogos'!$G$17&lt;'Tabela Jogos'!$E$17),COUNT('Tabela Jogos'!$G$17)))</f>
        <v>2</v>
      </c>
      <c r="G14" s="20">
        <f>SUM((('Tabela Jogos'!E13+'Tabela Jogos'!G15)+'Tabela Jogos'!G17))</f>
        <v>2</v>
      </c>
      <c r="H14" s="20">
        <f>SUM((('Tabela Jogos'!G13+'Tabela Jogos'!E15)+'Tabela Jogos'!E17))</f>
        <v>5</v>
      </c>
      <c r="I14" s="20">
        <f t="shared" si="28"/>
        <v>-3</v>
      </c>
      <c r="J14" s="19"/>
      <c r="K14" s="17" t="str">
        <f>IF((B14&lt;=B13),A14,A13)</f>
        <v>Botafogo</v>
      </c>
      <c r="L14" s="22">
        <f t="shared" si="29"/>
        <v>3</v>
      </c>
      <c r="M14" s="17"/>
      <c r="N14" s="17" t="str">
        <f t="shared" si="30"/>
        <v>Botafogo</v>
      </c>
      <c r="O14" s="22">
        <f t="shared" si="31"/>
        <v>3</v>
      </c>
      <c r="P14" s="17"/>
      <c r="Q14" s="17" t="str">
        <f>IF((O14&gt;=O15),N14,N15)</f>
        <v>Atlético de Madrid</v>
      </c>
      <c r="R14" s="22">
        <f t="shared" si="32"/>
        <v>6</v>
      </c>
      <c r="S14" s="22">
        <f t="shared" si="33"/>
        <v>4</v>
      </c>
      <c r="T14" s="17"/>
      <c r="U14" s="17" t="str">
        <f>IF(AND((R13=R14),(S14&gt;S13)),Q13,Q14)</f>
        <v>Atlético de Madrid</v>
      </c>
      <c r="V14" s="22">
        <f t="shared" si="34"/>
        <v>6</v>
      </c>
      <c r="W14" s="22">
        <f t="shared" si="35"/>
        <v>4</v>
      </c>
      <c r="X14" s="17" t="str">
        <f t="shared" si="36"/>
        <v>Atlético de Madrid</v>
      </c>
      <c r="Y14" s="22">
        <f t="shared" si="37"/>
        <v>6</v>
      </c>
      <c r="Z14" s="22">
        <f t="shared" si="38"/>
        <v>4</v>
      </c>
      <c r="AA14" s="17"/>
      <c r="AB14" s="17" t="str">
        <f>IF(AND((Y14=Y15),(Z15&gt;Z14)),X15,X14)</f>
        <v>Atlético de Madrid</v>
      </c>
      <c r="AC14" s="22">
        <f t="shared" si="39"/>
        <v>6</v>
      </c>
      <c r="AD14" s="22">
        <f t="shared" si="40"/>
        <v>4</v>
      </c>
      <c r="AE14" s="22">
        <f t="shared" si="41"/>
        <v>7</v>
      </c>
      <c r="AF14" s="17" t="str">
        <f>IF(AND((AC14=AC13),(AD14=AD13),(AE14&gt;AE13)),AB13,AB14)</f>
        <v>Atlético de Madrid</v>
      </c>
      <c r="AG14" s="22">
        <f t="shared" si="42"/>
        <v>6</v>
      </c>
      <c r="AH14" s="22">
        <f t="shared" si="43"/>
        <v>4</v>
      </c>
      <c r="AI14" s="22">
        <f t="shared" si="44"/>
        <v>7</v>
      </c>
      <c r="AJ14" s="17" t="str">
        <f t="shared" si="45"/>
        <v>Atlético de Madrid</v>
      </c>
      <c r="AK14" s="22">
        <f t="shared" si="46"/>
        <v>6</v>
      </c>
      <c r="AL14" s="22">
        <f t="shared" si="47"/>
        <v>4</v>
      </c>
      <c r="AM14" s="22">
        <f t="shared" si="48"/>
        <v>7</v>
      </c>
      <c r="AN14" s="17" t="str">
        <f>IF(AND((AK14=AK15),(AL14=AL15),(AM15&gt;AM14)),AJ15,AJ14)</f>
        <v>Atlético de Madrid</v>
      </c>
      <c r="AO14" s="22">
        <f t="shared" si="49"/>
        <v>6</v>
      </c>
      <c r="AP14" s="22">
        <f t="shared" si="50"/>
        <v>4</v>
      </c>
      <c r="AQ14" s="22">
        <f t="shared" si="51"/>
        <v>7</v>
      </c>
    </row>
    <row r="15" spans="1:43" ht="12" customHeight="1">
      <c r="A15" s="16" t="s">
        <v>25</v>
      </c>
      <c r="B15" s="19">
        <f t="shared" si="27"/>
        <v>9</v>
      </c>
      <c r="C15" s="20">
        <f>COUNT('Tabela Jogos'!E12,'Tabela Jogos'!E15,'Tabela Jogos'!G16)</f>
        <v>3</v>
      </c>
      <c r="D15" s="20">
        <f>SUM(IF(('Tabela Jogos'!$E$12&gt;'Tabela Jogos'!$G$12),COUNT('Tabela Jogos'!$E$12)),IF(('Tabela Jogos'!$E$15&gt;'Tabela Jogos'!$G$15),COUNT('Tabela Jogos'!$E$15)),IF(('Tabela Jogos'!$G$16&gt;'Tabela Jogos'!$E$16),COUNT('Tabela Jogos'!$G$16)))</f>
        <v>3</v>
      </c>
      <c r="E15" s="20">
        <f>SUM(IF(('Tabela Jogos'!$E$12='Tabela Jogos'!$G$12),COUNT('Tabela Jogos'!$E$12)),IF(('Tabela Jogos'!$E$15='Tabela Jogos'!$G$15),COUNT('Tabela Jogos'!$E$15)),IF(('Tabela Jogos'!$G$16='Tabela Jogos'!$E$16),COUNT('Tabela Jogos'!$G$16)))</f>
        <v>0</v>
      </c>
      <c r="F15" s="20">
        <f>SUM(IF(('Tabela Jogos'!$E$12&lt;'Tabela Jogos'!$G$12),COUNT('Tabela Jogos'!$E$12)),IF(('Tabela Jogos'!$E$15&lt;'Tabela Jogos'!$G$15),COUNT('Tabela Jogos'!$E$15)),IF(('Tabela Jogos'!$G$16&lt;'Tabela Jogos'!$E$16),COUNT('Tabela Jogos'!$G$16)))</f>
        <v>0</v>
      </c>
      <c r="G15" s="20">
        <f>SUM((('Tabela Jogos'!E12+'Tabela Jogos'!E15)+'Tabela Jogos'!G16))</f>
        <v>10</v>
      </c>
      <c r="H15" s="20">
        <f>SUM((('Tabela Jogos'!G12+'Tabela Jogos'!G15)+'Tabela Jogos'!E16))</f>
        <v>2</v>
      </c>
      <c r="I15" s="20">
        <f t="shared" si="28"/>
        <v>8</v>
      </c>
      <c r="J15" s="19"/>
      <c r="K15" s="17" t="str">
        <f>IF((B15&gt;=B16),A15,A16)</f>
        <v>Paris Saint-Germain</v>
      </c>
      <c r="L15" s="22">
        <f t="shared" si="29"/>
        <v>9</v>
      </c>
      <c r="M15" s="17"/>
      <c r="N15" s="17" t="str">
        <f t="shared" ref="N15:N16" si="52">IF((L15&lt;=L13),K15,K13)</f>
        <v>Atlético de Madrid</v>
      </c>
      <c r="O15" s="22">
        <f t="shared" si="31"/>
        <v>6</v>
      </c>
      <c r="P15" s="17"/>
      <c r="Q15" s="17" t="str">
        <f>IF((O15&lt;=O14),N15,N14)</f>
        <v>Botafogo</v>
      </c>
      <c r="R15" s="22">
        <f t="shared" si="32"/>
        <v>3</v>
      </c>
      <c r="S15" s="22">
        <f t="shared" si="33"/>
        <v>-3</v>
      </c>
      <c r="T15" s="17"/>
      <c r="U15" s="17" t="str">
        <f>IF(AND((R15=R16),(S16&gt;S15)),Q16,Q15)</f>
        <v>Botafogo</v>
      </c>
      <c r="V15" s="22">
        <f t="shared" si="34"/>
        <v>3</v>
      </c>
      <c r="W15" s="22">
        <f t="shared" si="35"/>
        <v>-3</v>
      </c>
      <c r="X15" s="17" t="str">
        <f t="shared" ref="X15:X16" si="53">IF(AND((V13=V15),(W15&gt;W13)),U13,U15)</f>
        <v>Botafogo</v>
      </c>
      <c r="Y15" s="22">
        <f t="shared" si="37"/>
        <v>3</v>
      </c>
      <c r="Z15" s="22">
        <f t="shared" si="38"/>
        <v>-3</v>
      </c>
      <c r="AA15" s="17"/>
      <c r="AB15" s="17" t="str">
        <f>IF(AND((Y15=Y14),(Z15&gt;Z14)),X14,X15)</f>
        <v>Botafogo</v>
      </c>
      <c r="AC15" s="22">
        <f t="shared" si="39"/>
        <v>3</v>
      </c>
      <c r="AD15" s="22">
        <f t="shared" si="40"/>
        <v>-3</v>
      </c>
      <c r="AE15" s="22">
        <f t="shared" si="41"/>
        <v>2</v>
      </c>
      <c r="AF15" s="17" t="str">
        <f>IF(AND((AC15=AC16),(AD15=AD16),(AE16&gt;AE15)),AB16,AB15)</f>
        <v>Botafogo</v>
      </c>
      <c r="AG15" s="22">
        <f t="shared" si="42"/>
        <v>3</v>
      </c>
      <c r="AH15" s="22">
        <f t="shared" si="43"/>
        <v>-3</v>
      </c>
      <c r="AI15" s="22">
        <f t="shared" si="44"/>
        <v>2</v>
      </c>
      <c r="AJ15" s="17" t="str">
        <f>IF(AND((AG15=AG13),(AH15=AH13),(AI15&gt;AI13)),AF13,AF15)</f>
        <v>Botafogo</v>
      </c>
      <c r="AK15" s="22">
        <f t="shared" si="46"/>
        <v>3</v>
      </c>
      <c r="AL15" s="22">
        <f t="shared" si="47"/>
        <v>-3</v>
      </c>
      <c r="AM15" s="22">
        <f t="shared" si="48"/>
        <v>2</v>
      </c>
      <c r="AN15" s="17" t="str">
        <f>IF(AND((AK15=AK14),(AL15=AL14),(AM15&gt;AM14)),AJ14,AJ15)</f>
        <v>Botafogo</v>
      </c>
      <c r="AO15" s="22">
        <f t="shared" si="49"/>
        <v>3</v>
      </c>
      <c r="AP15" s="22">
        <f t="shared" si="50"/>
        <v>-3</v>
      </c>
      <c r="AQ15" s="22">
        <f t="shared" si="51"/>
        <v>2</v>
      </c>
    </row>
    <row r="16" spans="1:43" ht="12" customHeight="1">
      <c r="A16" s="16" t="s">
        <v>30</v>
      </c>
      <c r="B16" s="19">
        <f t="shared" si="27"/>
        <v>0</v>
      </c>
      <c r="C16" s="20">
        <f>COUNT('Tabela Jogos'!G13,'Tabela Jogos'!E14,'Tabela Jogos'!E16)</f>
        <v>3</v>
      </c>
      <c r="D16" s="20">
        <f>SUM(IF(('Tabela Jogos'!$G$13&gt;'Tabela Jogos'!$E$13),COUNT('Tabela Jogos'!$G$13)),IF(('Tabela Jogos'!$E$14&gt;'Tabela Jogos'!$G$14),COUNT('Tabela Jogos'!$E$14)),IF(('Tabela Jogos'!$E$16&gt;'Tabela Jogos'!$G$16),COUNT('Tabela Jogos'!$E$16)))</f>
        <v>0</v>
      </c>
      <c r="E16" s="20">
        <f>SUM(IF(('Tabela Jogos'!$G$13='Tabela Jogos'!$E$13),COUNT('Tabela Jogos'!$G$13)),IF(('Tabela Jogos'!$E$14='Tabela Jogos'!$G$14),COUNT('Tabela Jogos'!$E$14)),IF(('Tabela Jogos'!$E$16='Tabela Jogos'!$G$16),COUNT('Tabela Jogos'!$E$16)))</f>
        <v>0</v>
      </c>
      <c r="F16" s="20">
        <f>SUM(IF(('Tabela Jogos'!$G$13&lt;'Tabela Jogos'!$E$13),COUNT('Tabela Jogos'!$G$13)),IF(('Tabela Jogos'!$E$14&lt;'Tabela Jogos'!$G$14),COUNT('Tabela Jogos'!$E$14)),IF(('Tabela Jogos'!$E$16&lt;'Tabela Jogos'!$G$16),COUNT('Tabela Jogos'!$E$16)))</f>
        <v>3</v>
      </c>
      <c r="G16" s="20">
        <f>SUM((('Tabela Jogos'!G13+'Tabela Jogos'!E14)+'Tabela Jogos'!E16))</f>
        <v>0</v>
      </c>
      <c r="H16" s="20">
        <f>SUM((('Tabela Jogos'!E13+'Tabela Jogos'!G14)+'Tabela Jogos'!G16))</f>
        <v>9</v>
      </c>
      <c r="I16" s="20">
        <f t="shared" si="28"/>
        <v>-9</v>
      </c>
      <c r="J16" s="19"/>
      <c r="K16" s="17" t="str">
        <f>IF((B16&lt;=B15),A16,A15)</f>
        <v>Seattle Sounders</v>
      </c>
      <c r="L16" s="22">
        <f t="shared" si="29"/>
        <v>0</v>
      </c>
      <c r="M16" s="17"/>
      <c r="N16" s="17" t="str">
        <f t="shared" si="52"/>
        <v>Seattle Sounders</v>
      </c>
      <c r="O16" s="22">
        <f t="shared" si="31"/>
        <v>0</v>
      </c>
      <c r="P16" s="17"/>
      <c r="Q16" s="17" t="str">
        <f>IF((O16&lt;=O13),N16,N13)</f>
        <v>Seattle Sounders</v>
      </c>
      <c r="R16" s="22">
        <f t="shared" si="32"/>
        <v>0</v>
      </c>
      <c r="S16" s="22">
        <f t="shared" si="33"/>
        <v>-9</v>
      </c>
      <c r="T16" s="17"/>
      <c r="U16" s="17" t="str">
        <f>IF(AND((R15=R16),(S16&gt;S15)),Q15,Q16)</f>
        <v>Seattle Sounders</v>
      </c>
      <c r="V16" s="22">
        <f t="shared" si="34"/>
        <v>0</v>
      </c>
      <c r="W16" s="22">
        <f t="shared" si="35"/>
        <v>-9</v>
      </c>
      <c r="X16" s="17" t="str">
        <f t="shared" si="53"/>
        <v>Seattle Sounders</v>
      </c>
      <c r="Y16" s="22">
        <f t="shared" si="37"/>
        <v>0</v>
      </c>
      <c r="Z16" s="22">
        <f t="shared" si="38"/>
        <v>-9</v>
      </c>
      <c r="AA16" s="17"/>
      <c r="AB16" s="17" t="str">
        <f>IF(AND((Y16=Y13),(Z16&gt;Z13)),X13,X16)</f>
        <v>Seattle Sounders</v>
      </c>
      <c r="AC16" s="22">
        <f t="shared" si="39"/>
        <v>0</v>
      </c>
      <c r="AD16" s="22">
        <f t="shared" si="40"/>
        <v>-9</v>
      </c>
      <c r="AE16" s="22">
        <f t="shared" si="41"/>
        <v>0</v>
      </c>
      <c r="AF16" s="17" t="str">
        <f>IF(AND((AC16=AC15),(AD16=AD15),(AE16&gt;AE15)),X15,X16)</f>
        <v>Seattle Sounders</v>
      </c>
      <c r="AG16" s="22">
        <f t="shared" si="42"/>
        <v>0</v>
      </c>
      <c r="AH16" s="22">
        <f t="shared" si="43"/>
        <v>-9</v>
      </c>
      <c r="AI16" s="22">
        <f t="shared" si="44"/>
        <v>0</v>
      </c>
      <c r="AJ16" s="17" t="str">
        <f>IF(AND((AG14=AG16),(AH14=AH16),(AI16&gt;AI14)),AF14,AF16)</f>
        <v>Seattle Sounders</v>
      </c>
      <c r="AK16" s="22">
        <f t="shared" si="46"/>
        <v>0</v>
      </c>
      <c r="AL16" s="22">
        <f t="shared" si="47"/>
        <v>-9</v>
      </c>
      <c r="AM16" s="22">
        <f t="shared" si="48"/>
        <v>0</v>
      </c>
      <c r="AN16" s="17" t="str">
        <f>IF(AND((AK16=AK13),(AL16=AL13),(AM16&gt;AM13)),AJ13,AJ16)</f>
        <v>Seattle Sounders</v>
      </c>
      <c r="AO16" s="22">
        <f t="shared" si="49"/>
        <v>0</v>
      </c>
      <c r="AP16" s="22">
        <f t="shared" si="50"/>
        <v>-9</v>
      </c>
      <c r="AQ16" s="22">
        <f t="shared" si="51"/>
        <v>0</v>
      </c>
    </row>
    <row r="17" spans="1:43" ht="12" customHeight="1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</row>
    <row r="18" spans="1:43" ht="12" customHeight="1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</row>
    <row r="19" spans="1:43" ht="12" customHeight="1">
      <c r="A19" s="16"/>
      <c r="B19" s="138" t="s">
        <v>86</v>
      </c>
      <c r="C19" s="116"/>
      <c r="D19" s="116"/>
      <c r="E19" s="116"/>
      <c r="F19" s="116"/>
      <c r="G19" s="116"/>
      <c r="H19" s="116"/>
      <c r="I19" s="116"/>
      <c r="J19" s="17"/>
      <c r="K19" s="17" t="s">
        <v>80</v>
      </c>
      <c r="L19" s="17"/>
      <c r="M19" s="17"/>
      <c r="N19" s="17" t="s">
        <v>81</v>
      </c>
      <c r="O19" s="17"/>
      <c r="P19" s="17"/>
      <c r="Q19" s="17" t="s">
        <v>82</v>
      </c>
      <c r="R19" s="17"/>
      <c r="S19" s="17"/>
      <c r="T19" s="17"/>
      <c r="U19" s="17" t="s">
        <v>82</v>
      </c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1:43" ht="12" customHeight="1">
      <c r="A20" s="18" t="s">
        <v>83</v>
      </c>
      <c r="B20" s="19" t="s">
        <v>12</v>
      </c>
      <c r="C20" s="20" t="s">
        <v>13</v>
      </c>
      <c r="D20" s="20" t="s">
        <v>14</v>
      </c>
      <c r="E20" s="20" t="s">
        <v>15</v>
      </c>
      <c r="F20" s="20" t="s">
        <v>16</v>
      </c>
      <c r="G20" s="20" t="s">
        <v>17</v>
      </c>
      <c r="H20" s="20" t="s">
        <v>18</v>
      </c>
      <c r="I20" s="20" t="s">
        <v>19</v>
      </c>
      <c r="J20" s="21"/>
      <c r="K20" s="17"/>
      <c r="L20" s="17" t="s">
        <v>12</v>
      </c>
      <c r="M20" s="17"/>
      <c r="N20" s="17"/>
      <c r="O20" s="17" t="s">
        <v>84</v>
      </c>
      <c r="P20" s="17"/>
      <c r="Q20" s="17"/>
      <c r="R20" s="17" t="s">
        <v>12</v>
      </c>
      <c r="S20" s="17" t="s">
        <v>19</v>
      </c>
      <c r="T20" s="17"/>
      <c r="U20" s="17"/>
      <c r="V20" s="17" t="s">
        <v>12</v>
      </c>
      <c r="W20" s="17" t="s">
        <v>19</v>
      </c>
      <c r="X20" s="17"/>
      <c r="Y20" s="17" t="s">
        <v>12</v>
      </c>
      <c r="Z20" s="17" t="s">
        <v>19</v>
      </c>
      <c r="AA20" s="17"/>
      <c r="AB20" s="17"/>
      <c r="AC20" s="17" t="s">
        <v>12</v>
      </c>
      <c r="AD20" s="17" t="s">
        <v>19</v>
      </c>
      <c r="AE20" s="17" t="s">
        <v>17</v>
      </c>
      <c r="AF20" s="17"/>
      <c r="AG20" s="17" t="s">
        <v>12</v>
      </c>
      <c r="AH20" s="17" t="s">
        <v>19</v>
      </c>
      <c r="AI20" s="17" t="s">
        <v>17</v>
      </c>
      <c r="AJ20" s="17"/>
      <c r="AK20" s="17" t="s">
        <v>12</v>
      </c>
      <c r="AL20" s="17" t="s">
        <v>19</v>
      </c>
      <c r="AM20" s="17" t="s">
        <v>17</v>
      </c>
      <c r="AN20" s="17"/>
      <c r="AO20" s="17" t="s">
        <v>12</v>
      </c>
      <c r="AP20" s="17" t="s">
        <v>19</v>
      </c>
      <c r="AQ20" s="17" t="s">
        <v>17</v>
      </c>
    </row>
    <row r="21" spans="1:43" ht="12" customHeight="1">
      <c r="A21" s="16" t="s">
        <v>32</v>
      </c>
      <c r="B21" s="19">
        <f t="shared" ref="B21:B24" si="54">SUM((D21*3))+E21</f>
        <v>9</v>
      </c>
      <c r="C21" s="20">
        <f>COUNT('Tabela Jogos'!E20,'Tabela Jogos'!E23,'Tabela Jogos'!G24)</f>
        <v>3</v>
      </c>
      <c r="D21" s="20">
        <f>SUM(IF(('Tabela Jogos'!$E$20&gt;'Tabela Jogos'!$G$20),COUNT('Tabela Jogos'!$E$20)),IF(('Tabela Jogos'!$E$23&gt;'Tabela Jogos'!$G$23),COUNT('Tabela Jogos'!$E$23)),IF(('Tabela Jogos'!$G$24&gt;'Tabela Jogos'!$E$24),COUNT('Tabela Jogos'!$G$24)))</f>
        <v>3</v>
      </c>
      <c r="E21" s="20">
        <f>SUM(IF(('Tabela Jogos'!$E$20='Tabela Jogos'!$G$20),COUNT('Tabela Jogos'!$E$20)),IF(('Tabela Jogos'!$E$23='Tabela Jogos'!$G$23),COUNT('Tabela Jogos'!$E$23)),IF(('Tabela Jogos'!$G$24='Tabela Jogos'!$E$24),COUNT('Tabela Jogos'!$G$24)))</f>
        <v>0</v>
      </c>
      <c r="F21" s="20">
        <f>SUM(IF(('Tabela Jogos'!$E$20&lt;'Tabela Jogos'!$G$20),COUNT('Tabela Jogos'!$E$20)),IF(('Tabela Jogos'!$E$23&lt;'Tabela Jogos'!$G$23),COUNT('Tabela Jogos'!$E$23)),IF(('Tabela Jogos'!$G$24&lt;'Tabela Jogos'!$E$24),COUNT('Tabela Jogos'!$G$24)))</f>
        <v>0</v>
      </c>
      <c r="G21" s="20">
        <f>SUM((('Tabela Jogos'!E20+'Tabela Jogos'!E23)+'Tabela Jogos'!G24))</f>
        <v>9</v>
      </c>
      <c r="H21" s="20">
        <f>SUM((('Tabela Jogos'!G20+'Tabela Jogos'!G23)+'Tabela Jogos'!E24))</f>
        <v>1</v>
      </c>
      <c r="I21" s="20">
        <f t="shared" ref="I21:I24" si="55">SUM((G21-H21))</f>
        <v>8</v>
      </c>
      <c r="J21" s="19"/>
      <c r="K21" s="17" t="str">
        <f>IF((B21&gt;=B22),A21,A22)</f>
        <v>Bayern de Munique</v>
      </c>
      <c r="L21" s="22">
        <f t="shared" ref="L21:L24" si="56">VLOOKUP(K21,$A$21:$I$24,2,FALSE)</f>
        <v>9</v>
      </c>
      <c r="M21" s="17"/>
      <c r="N21" s="17" t="str">
        <f t="shared" ref="N21:N22" si="57">IF((L21&gt;=L23),K21,K23)</f>
        <v>Bayern de Munique</v>
      </c>
      <c r="O21" s="22">
        <f t="shared" ref="O21:O24" si="58">VLOOKUP(N21,$A$21:$I$24,2,FALSE)</f>
        <v>9</v>
      </c>
      <c r="P21" s="17"/>
      <c r="Q21" s="17" t="str">
        <f>IF((O21&gt;=O24),N21,N24)</f>
        <v>Bayern de Munique</v>
      </c>
      <c r="R21" s="22">
        <f t="shared" ref="R21:R24" si="59">VLOOKUP(Q21,$A$21:$I$24,2,FALSE)</f>
        <v>9</v>
      </c>
      <c r="S21" s="22">
        <f t="shared" ref="S21:S24" si="60">VLOOKUP(Q21,$A$21:$I$24,9,FALSE)</f>
        <v>8</v>
      </c>
      <c r="T21" s="17"/>
      <c r="U21" s="17" t="str">
        <f>IF(AND((R21=R22),(S22&gt;S21)),Q22,Q21)</f>
        <v>Bayern de Munique</v>
      </c>
      <c r="V21" s="22">
        <f t="shared" ref="V21:V24" si="61">VLOOKUP(U21,$A$21:$I$24,2,FALSE)</f>
        <v>9</v>
      </c>
      <c r="W21" s="22">
        <f t="shared" ref="W21:W24" si="62">VLOOKUP(U21,$A$21:$I$24,9,FALSE)</f>
        <v>8</v>
      </c>
      <c r="X21" s="17" t="str">
        <f t="shared" ref="X21:X22" si="63">IF(AND((V21=V23),(W23&gt;W21)),U23,U21)</f>
        <v>Bayern de Munique</v>
      </c>
      <c r="Y21" s="22">
        <f t="shared" ref="Y21:Y24" si="64">VLOOKUP(X21,$A$21:$I$24,2,FALSE)</f>
        <v>9</v>
      </c>
      <c r="Z21" s="22">
        <f t="shared" ref="Z21:Z24" si="65">VLOOKUP(X21,$A$21:$I$24,9,FALSE)</f>
        <v>8</v>
      </c>
      <c r="AA21" s="17"/>
      <c r="AB21" s="17" t="str">
        <f>IF(AND((Y21=Y24),(Z24&gt;Z21)),X24,X21)</f>
        <v>Bayern de Munique</v>
      </c>
      <c r="AC21" s="22">
        <f t="shared" ref="AC21:AC24" si="66">VLOOKUP(AB21,$A$21:$I$24,2,FALSE)</f>
        <v>9</v>
      </c>
      <c r="AD21" s="22">
        <f t="shared" ref="AD21:AD24" si="67">VLOOKUP(AB21,$A$21:$I$24,9,FALSE)</f>
        <v>8</v>
      </c>
      <c r="AE21" s="22">
        <f t="shared" ref="AE21:AE24" si="68">VLOOKUP(AB21,$A$21:$I$24,7,FALSE)</f>
        <v>9</v>
      </c>
      <c r="AF21" s="17" t="str">
        <f>IF(AND((AC21=AC22),(AD21=AD22),(AE22&gt;AE21)),AB22,AB21)</f>
        <v>Bayern de Munique</v>
      </c>
      <c r="AG21" s="22">
        <f t="shared" ref="AG21:AG24" si="69">VLOOKUP(AF21,$A$21:$I$24,2,FALSE)</f>
        <v>9</v>
      </c>
      <c r="AH21" s="22">
        <f t="shared" ref="AH21:AH24" si="70">VLOOKUP(AF21,$A$21:$I$24,9,FALSE)</f>
        <v>8</v>
      </c>
      <c r="AI21" s="22">
        <f t="shared" ref="AI21:AI24" si="71">VLOOKUP(AF21,$A$21:$I$24,7,FALSE)</f>
        <v>9</v>
      </c>
      <c r="AJ21" s="17" t="str">
        <f t="shared" ref="AJ21:AJ22" si="72">IF(AND((AG21=AG23),(AH21=AH23),(AI23&gt;AI21)),AF23,AF21)</f>
        <v>Bayern de Munique</v>
      </c>
      <c r="AK21" s="22">
        <f t="shared" ref="AK21:AK24" si="73">VLOOKUP(AJ21,$A$21:$I$24,2,FALSE)</f>
        <v>9</v>
      </c>
      <c r="AL21" s="22">
        <f t="shared" ref="AL21:AL24" si="74">VLOOKUP(AJ21,$A$21:$I$24,9,FALSE)</f>
        <v>8</v>
      </c>
      <c r="AM21" s="22">
        <f t="shared" ref="AM21:AM24" si="75">VLOOKUP(AJ21,$A$21:$I$24,7,FALSE)</f>
        <v>9</v>
      </c>
      <c r="AN21" s="17" t="str">
        <f>IF(AND((AK21=AK24),(AL21=AL24),(AM24&gt;AM21)),AJ24,AJ21)</f>
        <v>Bayern de Munique</v>
      </c>
      <c r="AO21" s="22">
        <f t="shared" ref="AO21:AO24" si="76">VLOOKUP(AN21,$A$21:$I$24,2,FALSE)</f>
        <v>9</v>
      </c>
      <c r="AP21" s="22">
        <f t="shared" ref="AP21:AP24" si="77">VLOOKUP(AN21,$A$21:$I$24,9,FALSE)</f>
        <v>8</v>
      </c>
      <c r="AQ21" s="22">
        <f t="shared" ref="AQ21:AQ24" si="78">VLOOKUP(AN21,$A$21:$I$24,7,FALSE)</f>
        <v>9</v>
      </c>
    </row>
    <row r="22" spans="1:43" ht="12" customHeight="1">
      <c r="A22" s="16" t="s">
        <v>33</v>
      </c>
      <c r="B22" s="19">
        <f t="shared" si="54"/>
        <v>0</v>
      </c>
      <c r="C22" s="20">
        <f>COUNT('Tabela Jogos'!G20,'Tabela Jogos'!G22,'Tabela Jogos'!E25)</f>
        <v>3</v>
      </c>
      <c r="D22" s="20">
        <f>SUM(IF(('Tabela Jogos'!$G$20&gt;'Tabela Jogos'!$E$20),COUNT('Tabela Jogos'!$G$20)),IF(('Tabela Jogos'!$G$22&gt;'Tabela Jogos'!$E$22),COUNT('Tabela Jogos'!$G$22)),IF(('Tabela Jogos'!$E$25&gt;'Tabela Jogos'!$G$25),COUNT('Tabela Jogos'!$E$25)))</f>
        <v>0</v>
      </c>
      <c r="E22" s="20">
        <f>SUM(IF(('Tabela Jogos'!$G$20='Tabela Jogos'!$E$20),COUNT('Tabela Jogos'!$G$20)),IF(('Tabela Jogos'!$G$22='Tabela Jogos'!$E$22),COUNT('Tabela Jogos'!$G$22)),IF(('Tabela Jogos'!$E$25='Tabela Jogos'!$G$25),COUNT('Tabela Jogos'!$E$25)))</f>
        <v>0</v>
      </c>
      <c r="F22" s="20">
        <f>SUM(IF(('Tabela Jogos'!$G$20&lt;'Tabela Jogos'!$E$20),COUNT('Tabela Jogos'!$G$20)),IF(('Tabela Jogos'!$G$22&lt;'Tabela Jogos'!$E$22),COUNT('Tabela Jogos'!$G$22)),IF(('Tabela Jogos'!$E$25&lt;'Tabela Jogos'!$G$25),COUNT('Tabela Jogos'!$E$25)))</f>
        <v>3</v>
      </c>
      <c r="G22" s="20">
        <f>SUM((('Tabela Jogos'!G20+'Tabela Jogos'!G22)+'Tabela Jogos'!E25))</f>
        <v>1</v>
      </c>
      <c r="H22" s="20">
        <f>SUM((('Tabela Jogos'!E20+'Tabela Jogos'!E22)+'Tabela Jogos'!G25))</f>
        <v>9</v>
      </c>
      <c r="I22" s="20">
        <f t="shared" si="55"/>
        <v>-8</v>
      </c>
      <c r="J22" s="19"/>
      <c r="K22" s="17" t="str">
        <f>IF((B22&lt;=B21),A22,A21)</f>
        <v>Auckland City</v>
      </c>
      <c r="L22" s="22">
        <f t="shared" si="56"/>
        <v>0</v>
      </c>
      <c r="M22" s="17"/>
      <c r="N22" s="17" t="str">
        <f t="shared" si="57"/>
        <v>Boca Juniors</v>
      </c>
      <c r="O22" s="22">
        <f t="shared" si="58"/>
        <v>3</v>
      </c>
      <c r="P22" s="17"/>
      <c r="Q22" s="17" t="str">
        <f>IF((O22&gt;=O23),N22,N23)</f>
        <v>Benfica</v>
      </c>
      <c r="R22" s="22">
        <f t="shared" si="59"/>
        <v>6</v>
      </c>
      <c r="S22" s="22">
        <f t="shared" si="60"/>
        <v>3</v>
      </c>
      <c r="T22" s="17"/>
      <c r="U22" s="17" t="str">
        <f>IF(AND((R21=R22),(S22&gt;S21)),Q21,Q22)</f>
        <v>Benfica</v>
      </c>
      <c r="V22" s="22">
        <f t="shared" si="61"/>
        <v>6</v>
      </c>
      <c r="W22" s="22">
        <f t="shared" si="62"/>
        <v>3</v>
      </c>
      <c r="X22" s="17" t="str">
        <f t="shared" si="63"/>
        <v>Benfica</v>
      </c>
      <c r="Y22" s="22">
        <f t="shared" si="64"/>
        <v>6</v>
      </c>
      <c r="Z22" s="22">
        <f t="shared" si="65"/>
        <v>3</v>
      </c>
      <c r="AA22" s="17"/>
      <c r="AB22" s="17" t="str">
        <f>IF(AND((Y22=Y23),(Z23&gt;Z22)),X23,X22)</f>
        <v>Benfica</v>
      </c>
      <c r="AC22" s="22">
        <f t="shared" si="66"/>
        <v>6</v>
      </c>
      <c r="AD22" s="22">
        <f t="shared" si="67"/>
        <v>3</v>
      </c>
      <c r="AE22" s="22">
        <f t="shared" si="68"/>
        <v>6</v>
      </c>
      <c r="AF22" s="17" t="str">
        <f>IF(AND((AC22=AC21),(AD22=AD21),(AE22&gt;AE21)),AB21,AB22)</f>
        <v>Benfica</v>
      </c>
      <c r="AG22" s="22">
        <f t="shared" si="69"/>
        <v>6</v>
      </c>
      <c r="AH22" s="22">
        <f t="shared" si="70"/>
        <v>3</v>
      </c>
      <c r="AI22" s="22">
        <f t="shared" si="71"/>
        <v>6</v>
      </c>
      <c r="AJ22" s="17" t="str">
        <f t="shared" si="72"/>
        <v>Benfica</v>
      </c>
      <c r="AK22" s="22">
        <f t="shared" si="73"/>
        <v>6</v>
      </c>
      <c r="AL22" s="22">
        <f t="shared" si="74"/>
        <v>3</v>
      </c>
      <c r="AM22" s="22">
        <f t="shared" si="75"/>
        <v>6</v>
      </c>
      <c r="AN22" s="17" t="str">
        <f>IF(AND((AK22=AK23),(AL22=AL23),(AM23&gt;AM22)),AJ23,AJ22)</f>
        <v>Benfica</v>
      </c>
      <c r="AO22" s="22">
        <f t="shared" si="76"/>
        <v>6</v>
      </c>
      <c r="AP22" s="22">
        <f t="shared" si="77"/>
        <v>3</v>
      </c>
      <c r="AQ22" s="22">
        <f t="shared" si="78"/>
        <v>6</v>
      </c>
    </row>
    <row r="23" spans="1:43" ht="12" customHeight="1">
      <c r="A23" s="16" t="s">
        <v>35</v>
      </c>
      <c r="B23" s="19">
        <f t="shared" si="54"/>
        <v>3</v>
      </c>
      <c r="C23" s="20">
        <f>COUNT('Tabela Jogos'!E21,'Tabela Jogos'!G23,'Tabela Jogos'!G25)</f>
        <v>3</v>
      </c>
      <c r="D23" s="20">
        <f>SUM(IF(('Tabela Jogos'!$E$21&gt;'Tabela Jogos'!$G$21),COUNT('Tabela Jogos'!$E$21)),IF(('Tabela Jogos'!$G$23&gt;'Tabela Jogos'!$E$23),COUNT('Tabela Jogos'!$G$23)),IF(('Tabela Jogos'!$G$25&gt;'Tabela Jogos'!$E$25),COUNT('Tabela Jogos'!$G$25)))</f>
        <v>1</v>
      </c>
      <c r="E23" s="20">
        <f>SUM(IF(('Tabela Jogos'!$E$21='Tabela Jogos'!$G$21),COUNT('Tabela Jogos'!$E$21)),IF(('Tabela Jogos'!$G$23='Tabela Jogos'!$E$23),COUNT('Tabela Jogos'!$G$23)),IF(('Tabela Jogos'!$G$25='Tabela Jogos'!$E$25),COUNT('Tabela Jogos'!$G$25)))</f>
        <v>0</v>
      </c>
      <c r="F23" s="20">
        <f>SUM(IF(('Tabela Jogos'!$E$21&lt;'Tabela Jogos'!$G$21),COUNT('Tabela Jogos'!$E$21)),IF(('Tabela Jogos'!$G$23&lt;'Tabela Jogos'!$E$23),COUNT('Tabela Jogos'!$G$23)),IF(('Tabela Jogos'!$G$25&lt;'Tabela Jogos'!$E$25),COUNT('Tabela Jogos'!$G$25)))</f>
        <v>2</v>
      </c>
      <c r="G23" s="20">
        <f>SUM((('Tabela Jogos'!E21+'Tabela Jogos'!G23)+'Tabela Jogos'!G25))</f>
        <v>3</v>
      </c>
      <c r="H23" s="20">
        <f>SUM((('Tabela Jogos'!G21+'Tabela Jogos'!E23)+'Tabela Jogos'!E25))</f>
        <v>6</v>
      </c>
      <c r="I23" s="20">
        <f t="shared" si="55"/>
        <v>-3</v>
      </c>
      <c r="J23" s="19"/>
      <c r="K23" s="17" t="str">
        <f>IF((B23&gt;=B24),A23,A24)</f>
        <v>Benfica</v>
      </c>
      <c r="L23" s="22">
        <f t="shared" si="56"/>
        <v>6</v>
      </c>
      <c r="M23" s="17"/>
      <c r="N23" s="17" t="str">
        <f t="shared" ref="N23:N24" si="79">IF((L23&lt;=L21),K23,K21)</f>
        <v>Benfica</v>
      </c>
      <c r="O23" s="22">
        <f t="shared" si="58"/>
        <v>6</v>
      </c>
      <c r="P23" s="17"/>
      <c r="Q23" s="17" t="str">
        <f>IF((O23&lt;=O22),N23,N22)</f>
        <v>Boca Juniors</v>
      </c>
      <c r="R23" s="22">
        <f t="shared" si="59"/>
        <v>3</v>
      </c>
      <c r="S23" s="22">
        <f t="shared" si="60"/>
        <v>-3</v>
      </c>
      <c r="T23" s="17"/>
      <c r="U23" s="17" t="str">
        <f>IF(AND((R23=R24),(S24&gt;S23)),Q24,Q23)</f>
        <v>Boca Juniors</v>
      </c>
      <c r="V23" s="22">
        <f t="shared" si="61"/>
        <v>3</v>
      </c>
      <c r="W23" s="22">
        <f t="shared" si="62"/>
        <v>-3</v>
      </c>
      <c r="X23" s="17" t="str">
        <f t="shared" ref="X23:X24" si="80">IF(AND((V21=V23),(W23&gt;W21)),U21,U23)</f>
        <v>Boca Juniors</v>
      </c>
      <c r="Y23" s="22">
        <f t="shared" si="64"/>
        <v>3</v>
      </c>
      <c r="Z23" s="22">
        <f t="shared" si="65"/>
        <v>-3</v>
      </c>
      <c r="AA23" s="17"/>
      <c r="AB23" s="17" t="str">
        <f>IF(AND((Y23=Y22),(Z23&gt;Z22)),X22,X23)</f>
        <v>Boca Juniors</v>
      </c>
      <c r="AC23" s="22">
        <f t="shared" si="66"/>
        <v>3</v>
      </c>
      <c r="AD23" s="22">
        <f t="shared" si="67"/>
        <v>-3</v>
      </c>
      <c r="AE23" s="22">
        <f t="shared" si="68"/>
        <v>3</v>
      </c>
      <c r="AF23" s="17" t="str">
        <f>IF(AND((AC23=AC24),(AD23=AD24),(AE24&gt;AE23)),AB24,AB23)</f>
        <v>Boca Juniors</v>
      </c>
      <c r="AG23" s="22">
        <f t="shared" si="69"/>
        <v>3</v>
      </c>
      <c r="AH23" s="22">
        <f t="shared" si="70"/>
        <v>-3</v>
      </c>
      <c r="AI23" s="22">
        <f t="shared" si="71"/>
        <v>3</v>
      </c>
      <c r="AJ23" s="17" t="str">
        <f>IF(AND((AG23=AG21),(AH23=AH21),(AI23&gt;AI21)),AF21,AF23)</f>
        <v>Boca Juniors</v>
      </c>
      <c r="AK23" s="22">
        <f t="shared" si="73"/>
        <v>3</v>
      </c>
      <c r="AL23" s="22">
        <f t="shared" si="74"/>
        <v>-3</v>
      </c>
      <c r="AM23" s="22">
        <f t="shared" si="75"/>
        <v>3</v>
      </c>
      <c r="AN23" s="17" t="str">
        <f>IF(AND((AK23=AK22),(AL23=AL22),(AM23&gt;AM22)),AJ22,AJ23)</f>
        <v>Boca Juniors</v>
      </c>
      <c r="AO23" s="22">
        <f t="shared" si="76"/>
        <v>3</v>
      </c>
      <c r="AP23" s="22">
        <f t="shared" si="77"/>
        <v>-3</v>
      </c>
      <c r="AQ23" s="22">
        <f t="shared" si="78"/>
        <v>3</v>
      </c>
    </row>
    <row r="24" spans="1:43" ht="12" customHeight="1">
      <c r="A24" s="16" t="s">
        <v>36</v>
      </c>
      <c r="B24" s="19">
        <f t="shared" si="54"/>
        <v>6</v>
      </c>
      <c r="C24" s="20">
        <f>COUNT('Tabela Jogos'!G21,'Tabela Jogos'!E22,'Tabela Jogos'!E24)</f>
        <v>3</v>
      </c>
      <c r="D24" s="20">
        <f>SUM(IF(('Tabela Jogos'!$G$21&gt;'Tabela Jogos'!$E$21),COUNT('Tabela Jogos'!$G$21)),IF(('Tabela Jogos'!$E$22&gt;'Tabela Jogos'!$G$22),COUNT('Tabela Jogos'!$E$22)),IF(('Tabela Jogos'!$E$24&gt;'Tabela Jogos'!$G$24),COUNT('Tabela Jogos'!$E$24)))</f>
        <v>2</v>
      </c>
      <c r="E24" s="20">
        <f>SUM(IF(('Tabela Jogos'!$G$21='Tabela Jogos'!$E$21),COUNT('Tabela Jogos'!$G$21)),IF(('Tabela Jogos'!$E$22='Tabela Jogos'!$G$22),COUNT('Tabela Jogos'!$E$22)),IF(('Tabela Jogos'!$E$24='Tabela Jogos'!$G$24),COUNT('Tabela Jogos'!$E$24)))</f>
        <v>0</v>
      </c>
      <c r="F24" s="20">
        <f>SUM(IF(('Tabela Jogos'!$G$21&lt;'Tabela Jogos'!$E$21),COUNT('Tabela Jogos'!$G$21)),IF(('Tabela Jogos'!$E$22&lt;'Tabela Jogos'!$G$22),COUNT('Tabela Jogos'!$E$22)),IF(('Tabela Jogos'!$E$24&lt;'Tabela Jogos'!$G$24),COUNT('Tabela Jogos'!$E$24)))</f>
        <v>1</v>
      </c>
      <c r="G24" s="20">
        <f>SUM((('Tabela Jogos'!G21+'Tabela Jogos'!E22)+'Tabela Jogos'!E24))</f>
        <v>6</v>
      </c>
      <c r="H24" s="20">
        <f>SUM((('Tabela Jogos'!E21+'Tabela Jogos'!G22)+'Tabela Jogos'!G24))</f>
        <v>3</v>
      </c>
      <c r="I24" s="20">
        <f t="shared" si="55"/>
        <v>3</v>
      </c>
      <c r="J24" s="19"/>
      <c r="K24" s="17" t="str">
        <f>IF((B24&lt;=B23),A24,A23)</f>
        <v>Boca Juniors</v>
      </c>
      <c r="L24" s="22">
        <f t="shared" si="56"/>
        <v>3</v>
      </c>
      <c r="M24" s="17"/>
      <c r="N24" s="17" t="str">
        <f t="shared" si="79"/>
        <v>Auckland City</v>
      </c>
      <c r="O24" s="22">
        <f t="shared" si="58"/>
        <v>0</v>
      </c>
      <c r="P24" s="17"/>
      <c r="Q24" s="17" t="str">
        <f>IF((O24&lt;=O21),N24,N21)</f>
        <v>Auckland City</v>
      </c>
      <c r="R24" s="22">
        <f t="shared" si="59"/>
        <v>0</v>
      </c>
      <c r="S24" s="22">
        <f t="shared" si="60"/>
        <v>-8</v>
      </c>
      <c r="T24" s="17"/>
      <c r="U24" s="17" t="str">
        <f>IF(AND((R23=R24),(S24&gt;S23)),Q23,Q24)</f>
        <v>Auckland City</v>
      </c>
      <c r="V24" s="22">
        <f t="shared" si="61"/>
        <v>0</v>
      </c>
      <c r="W24" s="22">
        <f t="shared" si="62"/>
        <v>-8</v>
      </c>
      <c r="X24" s="17" t="str">
        <f t="shared" si="80"/>
        <v>Auckland City</v>
      </c>
      <c r="Y24" s="22">
        <f t="shared" si="64"/>
        <v>0</v>
      </c>
      <c r="Z24" s="22">
        <f t="shared" si="65"/>
        <v>-8</v>
      </c>
      <c r="AA24" s="17"/>
      <c r="AB24" s="17" t="str">
        <f>IF(AND((Y24=Y21),(Z24&gt;Z21)),X21,X24)</f>
        <v>Auckland City</v>
      </c>
      <c r="AC24" s="22">
        <f t="shared" si="66"/>
        <v>0</v>
      </c>
      <c r="AD24" s="22">
        <f t="shared" si="67"/>
        <v>-8</v>
      </c>
      <c r="AE24" s="22">
        <f t="shared" si="68"/>
        <v>1</v>
      </c>
      <c r="AF24" s="17" t="str">
        <f>IF(AND((AC24=AC23),(AD24=AD23),(AE24&gt;AE23)),X23,X24)</f>
        <v>Auckland City</v>
      </c>
      <c r="AG24" s="22">
        <f t="shared" si="69"/>
        <v>0</v>
      </c>
      <c r="AH24" s="22">
        <f t="shared" si="70"/>
        <v>-8</v>
      </c>
      <c r="AI24" s="22">
        <f t="shared" si="71"/>
        <v>1</v>
      </c>
      <c r="AJ24" s="17" t="str">
        <f>IF(AND((AG22=AG24),(AH22=AH24),(AI24&gt;AI22)),AF22,AF24)</f>
        <v>Auckland City</v>
      </c>
      <c r="AK24" s="22">
        <f t="shared" si="73"/>
        <v>0</v>
      </c>
      <c r="AL24" s="22">
        <f t="shared" si="74"/>
        <v>-8</v>
      </c>
      <c r="AM24" s="22">
        <f t="shared" si="75"/>
        <v>1</v>
      </c>
      <c r="AN24" s="17" t="str">
        <f>IF(AND((AK24=AK21),(AL24=AL21),(AM24&gt;AM21)),AJ21,AJ24)</f>
        <v>Auckland City</v>
      </c>
      <c r="AO24" s="22">
        <f t="shared" si="76"/>
        <v>0</v>
      </c>
      <c r="AP24" s="22">
        <f t="shared" si="77"/>
        <v>-8</v>
      </c>
      <c r="AQ24" s="22">
        <f t="shared" si="78"/>
        <v>1</v>
      </c>
    </row>
    <row r="25" spans="1:43" ht="12" customHeight="1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</row>
    <row r="26" spans="1:43" ht="12" customHeight="1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1:43" ht="12" customHeight="1">
      <c r="A27" s="16"/>
      <c r="B27" s="138" t="s">
        <v>87</v>
      </c>
      <c r="C27" s="116"/>
      <c r="D27" s="116"/>
      <c r="E27" s="116"/>
      <c r="F27" s="116"/>
      <c r="G27" s="116"/>
      <c r="H27" s="116"/>
      <c r="I27" s="116"/>
      <c r="J27" s="17"/>
      <c r="K27" s="17" t="s">
        <v>80</v>
      </c>
      <c r="L27" s="17"/>
      <c r="M27" s="17"/>
      <c r="N27" s="17" t="s">
        <v>81</v>
      </c>
      <c r="O27" s="17"/>
      <c r="P27" s="17"/>
      <c r="Q27" s="17" t="s">
        <v>82</v>
      </c>
      <c r="R27" s="17"/>
      <c r="S27" s="17"/>
      <c r="T27" s="17"/>
      <c r="U27" s="17" t="s">
        <v>82</v>
      </c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</row>
    <row r="28" spans="1:43" ht="12" customHeight="1">
      <c r="A28" s="18" t="s">
        <v>83</v>
      </c>
      <c r="B28" s="19" t="s">
        <v>12</v>
      </c>
      <c r="C28" s="20" t="s">
        <v>13</v>
      </c>
      <c r="D28" s="20" t="s">
        <v>14</v>
      </c>
      <c r="E28" s="20" t="s">
        <v>15</v>
      </c>
      <c r="F28" s="20" t="s">
        <v>16</v>
      </c>
      <c r="G28" s="20" t="s">
        <v>17</v>
      </c>
      <c r="H28" s="20" t="s">
        <v>18</v>
      </c>
      <c r="I28" s="20" t="s">
        <v>19</v>
      </c>
      <c r="J28" s="21"/>
      <c r="K28" s="17"/>
      <c r="L28" s="17" t="s">
        <v>12</v>
      </c>
      <c r="M28" s="17"/>
      <c r="N28" s="17"/>
      <c r="O28" s="17" t="s">
        <v>84</v>
      </c>
      <c r="P28" s="17"/>
      <c r="Q28" s="17"/>
      <c r="R28" s="17" t="s">
        <v>12</v>
      </c>
      <c r="S28" s="17" t="s">
        <v>19</v>
      </c>
      <c r="T28" s="17"/>
      <c r="U28" s="17"/>
      <c r="V28" s="17" t="s">
        <v>12</v>
      </c>
      <c r="W28" s="17" t="s">
        <v>19</v>
      </c>
      <c r="X28" s="17"/>
      <c r="Y28" s="17" t="s">
        <v>12</v>
      </c>
      <c r="Z28" s="17" t="s">
        <v>19</v>
      </c>
      <c r="AA28" s="17"/>
      <c r="AB28" s="17"/>
      <c r="AC28" s="17" t="s">
        <v>12</v>
      </c>
      <c r="AD28" s="17" t="s">
        <v>19</v>
      </c>
      <c r="AE28" s="17" t="s">
        <v>17</v>
      </c>
      <c r="AF28" s="17"/>
      <c r="AG28" s="17" t="s">
        <v>12</v>
      </c>
      <c r="AH28" s="17" t="s">
        <v>19</v>
      </c>
      <c r="AI28" s="17" t="s">
        <v>17</v>
      </c>
      <c r="AJ28" s="17"/>
      <c r="AK28" s="17" t="s">
        <v>12</v>
      </c>
      <c r="AL28" s="17" t="s">
        <v>19</v>
      </c>
      <c r="AM28" s="17" t="s">
        <v>17</v>
      </c>
      <c r="AN28" s="17"/>
      <c r="AO28" s="17" t="s">
        <v>12</v>
      </c>
      <c r="AP28" s="17" t="s">
        <v>19</v>
      </c>
      <c r="AQ28" s="17" t="s">
        <v>17</v>
      </c>
    </row>
    <row r="29" spans="1:43" ht="12" customHeight="1">
      <c r="A29" s="16" t="s">
        <v>38</v>
      </c>
      <c r="B29" s="19">
        <f t="shared" ref="B29:B32" si="81">SUM((D29*3))+E29</f>
        <v>9</v>
      </c>
      <c r="C29" s="20">
        <f>COUNT('Tabela Jogos'!E28,'Tabela Jogos'!G30,'Tabela Jogos'!G33)</f>
        <v>3</v>
      </c>
      <c r="D29" s="20">
        <f>SUM(IF(('Tabela Jogos'!$E$28&gt;'Tabela Jogos'!$G$28),COUNT('Tabela Jogos'!$E$28)),IF(('Tabela Jogos'!$G$30&gt;'Tabela Jogos'!$E$30),COUNT('Tabela Jogos'!$G$30)),IF(('Tabela Jogos'!$G$33&gt;'Tabela Jogos'!$E$33),COUNT('Tabela Jogos'!$G$33)))</f>
        <v>3</v>
      </c>
      <c r="E29" s="20">
        <f>SUM(IF(('Tabela Jogos'!$E$28='Tabela Jogos'!$G$28),COUNT('Tabela Jogos'!$E$28)),IF(('Tabela Jogos'!$G$30='Tabela Jogos'!$E$30),COUNT('Tabela Jogos'!$G$30)),IF(('Tabela Jogos'!$G$33='Tabela Jogos'!$E$33),COUNT('Tabela Jogos'!$G$33)))</f>
        <v>0</v>
      </c>
      <c r="F29" s="20">
        <f>SUM(IF(('Tabela Jogos'!$E$28&lt;'Tabela Jogos'!$G$28),COUNT('Tabela Jogos'!$E$28)),IF(('Tabela Jogos'!$G$30&lt;'Tabela Jogos'!$E$30),COUNT('Tabela Jogos'!$G$30)),IF(('Tabela Jogos'!$G$33&lt;'Tabela Jogos'!$E$33),COUNT('Tabela Jogos'!$G$33)))</f>
        <v>0</v>
      </c>
      <c r="G29" s="20">
        <f>SUM((('Tabela Jogos'!E28+'Tabela Jogos'!G30)+'Tabela Jogos'!G33))</f>
        <v>9</v>
      </c>
      <c r="H29" s="20">
        <f>SUM((('Tabela Jogos'!G28+'Tabela Jogos'!E30)+'Tabela Jogos'!E33))</f>
        <v>0</v>
      </c>
      <c r="I29" s="20">
        <f t="shared" ref="I29:I32" si="82">SUM((G29-H29))</f>
        <v>9</v>
      </c>
      <c r="J29" s="19"/>
      <c r="K29" s="17" t="str">
        <f>IF((B29&gt;=B30),A29,A30)</f>
        <v>Chelsea</v>
      </c>
      <c r="L29" s="22">
        <f t="shared" ref="L29:L32" si="83">VLOOKUP(K29,$A$29:$I$32,2,FALSE)</f>
        <v>9</v>
      </c>
      <c r="M29" s="17"/>
      <c r="N29" s="17" t="str">
        <f t="shared" ref="N29:N30" si="84">IF((L29&gt;=L31),K29,K31)</f>
        <v>Chelsea</v>
      </c>
      <c r="O29" s="22">
        <f t="shared" ref="O29:O32" si="85">VLOOKUP(N29,$A$29:$I$32,2,FALSE)</f>
        <v>9</v>
      </c>
      <c r="P29" s="17"/>
      <c r="Q29" s="17" t="str">
        <f>IF((O29&gt;=O32),N29,N32)</f>
        <v>Chelsea</v>
      </c>
      <c r="R29" s="22">
        <f t="shared" ref="R29:R32" si="86">VLOOKUP(Q29,$A$29:$I$32,2,FALSE)</f>
        <v>9</v>
      </c>
      <c r="S29" s="22">
        <f t="shared" ref="S29:S32" si="87">VLOOKUP(Q29,$A$29:$I$32,9,FALSE)</f>
        <v>9</v>
      </c>
      <c r="T29" s="17"/>
      <c r="U29" s="17" t="str">
        <f>IF(AND((R29=R30),(S30&gt;S29)),Q30,Q29)</f>
        <v>Chelsea</v>
      </c>
      <c r="V29" s="22">
        <f t="shared" ref="V29:V32" si="88">VLOOKUP(U29,$A$29:$I$32,2,FALSE)</f>
        <v>9</v>
      </c>
      <c r="W29" s="22">
        <f t="shared" ref="W29:W32" si="89">VLOOKUP(U29,$A$29:$I$32,9,FALSE)</f>
        <v>9</v>
      </c>
      <c r="X29" s="17" t="str">
        <f t="shared" ref="X29:X30" si="90">IF(AND((V29=V31),(W31&gt;W29)),U31,U29)</f>
        <v>Chelsea</v>
      </c>
      <c r="Y29" s="22">
        <f t="shared" ref="Y29:Y32" si="91">VLOOKUP(X29,$A$29:$I$32,2,FALSE)</f>
        <v>9</v>
      </c>
      <c r="Z29" s="22">
        <f t="shared" ref="Z29:Z32" si="92">VLOOKUP(X29,$A$29:$I$32,9,FALSE)</f>
        <v>9</v>
      </c>
      <c r="AA29" s="17"/>
      <c r="AB29" s="17" t="str">
        <f>IF(AND((Y29=Y32),(Z32&gt;Z29)),X32,X29)</f>
        <v>Chelsea</v>
      </c>
      <c r="AC29" s="22">
        <f t="shared" ref="AC29:AC32" si="93">VLOOKUP(AB29,$A$29:$I$32,2,FALSE)</f>
        <v>9</v>
      </c>
      <c r="AD29" s="22">
        <f t="shared" ref="AD29:AD32" si="94">VLOOKUP(AB29,$A$29:$I$32,9,FALSE)</f>
        <v>9</v>
      </c>
      <c r="AE29" s="22">
        <f t="shared" ref="AE29:AE32" si="95">VLOOKUP(AB29,$A$29:$I$32,7,FALSE)</f>
        <v>9</v>
      </c>
      <c r="AF29" s="17" t="str">
        <f>IF(AND((AC29=AC30),(AD29=AD30),(AE30&gt;AE29)),AB30,AB29)</f>
        <v>Chelsea</v>
      </c>
      <c r="AG29" s="22">
        <f t="shared" ref="AG29:AG32" si="96">VLOOKUP(AF29,$A$29:$I$32,2,FALSE)</f>
        <v>9</v>
      </c>
      <c r="AH29" s="22">
        <f t="shared" ref="AH29:AH32" si="97">VLOOKUP(AF29,$A$29:$I$32,9,FALSE)</f>
        <v>9</v>
      </c>
      <c r="AI29" s="22">
        <f t="shared" ref="AI29:AI32" si="98">VLOOKUP(AF29,$A$29:$I$32,7,FALSE)</f>
        <v>9</v>
      </c>
      <c r="AJ29" s="17" t="str">
        <f t="shared" ref="AJ29:AJ30" si="99">IF(AND((AG29=AG31),(AH29=AH31),(AI31&gt;AI29)),AF31,AF29)</f>
        <v>Chelsea</v>
      </c>
      <c r="AK29" s="22">
        <f t="shared" ref="AK29:AK32" si="100">VLOOKUP(AJ29,$A$29:$I$32,2,FALSE)</f>
        <v>9</v>
      </c>
      <c r="AL29" s="22">
        <f t="shared" ref="AL29:AL32" si="101">VLOOKUP(AJ29,$A$29:$I$32,9,FALSE)</f>
        <v>9</v>
      </c>
      <c r="AM29" s="22">
        <f t="shared" ref="AM29:AM32" si="102">VLOOKUP(AJ29,$A$29:$I$32,7,FALSE)</f>
        <v>9</v>
      </c>
      <c r="AN29" s="17" t="str">
        <f>IF(AND((AK29=AK32),(AL29=AL32),(AM32&gt;AM29)),AJ32,AJ29)</f>
        <v>Chelsea</v>
      </c>
      <c r="AO29" s="22">
        <f t="shared" ref="AO29:AO32" si="103">VLOOKUP(AN29,$A$29:$I$32,2,FALSE)</f>
        <v>9</v>
      </c>
      <c r="AP29" s="22">
        <f t="shared" ref="AP29:AP32" si="104">VLOOKUP(AN29,$A$29:$I$32,9,FALSE)</f>
        <v>9</v>
      </c>
      <c r="AQ29" s="22">
        <f t="shared" ref="AQ29:AQ32" si="105">VLOOKUP(AN29,$A$29:$I$32,7,FALSE)</f>
        <v>9</v>
      </c>
    </row>
    <row r="30" spans="1:43" ht="12" customHeight="1">
      <c r="A30" s="16" t="s">
        <v>42</v>
      </c>
      <c r="B30" s="19">
        <f t="shared" si="81"/>
        <v>1</v>
      </c>
      <c r="C30" s="20">
        <f>COUNT('Tabela Jogos'!G29,'Tabela Jogos'!G31,'Tabela Jogos'!E33)</f>
        <v>3</v>
      </c>
      <c r="D30" s="20">
        <f>SUM(IF(('Tabela Jogos'!$G$29&gt;'Tabela Jogos'!$E$29),COUNT('Tabela Jogos'!$G$29)),IF(('Tabela Jogos'!$G$31&gt;'Tabela Jogos'!$E$31),COUNT('Tabela Jogos'!$G$31)),IF(('Tabela Jogos'!$E$33&gt;'Tabela Jogos'!$G$33),COUNT('Tabela Jogos'!$E$33)))</f>
        <v>0</v>
      </c>
      <c r="E30" s="20">
        <f>SUM(IF(('Tabela Jogos'!$G$29='Tabela Jogos'!$E$29),COUNT('Tabela Jogos'!$G$29)),IF(('Tabela Jogos'!$G$31='Tabela Jogos'!$E$31),COUNT('Tabela Jogos'!$G$31)),IF(('Tabela Jogos'!$E$33='Tabela Jogos'!$G$33),COUNT('Tabela Jogos'!$E$33)))</f>
        <v>1</v>
      </c>
      <c r="F30" s="20">
        <f>SUM(IF(('Tabela Jogos'!$G$29&lt;'Tabela Jogos'!$E$29),COUNT('Tabela Jogos'!$G$29)),IF(('Tabela Jogos'!$G$31&lt;'Tabela Jogos'!$E$31),COUNT('Tabela Jogos'!$G$31)),IF(('Tabela Jogos'!$E$33&lt;'Tabela Jogos'!$G$33),COUNT('Tabela Jogos'!$E$33)))</f>
        <v>2</v>
      </c>
      <c r="G30" s="20">
        <f>SUM((('Tabela Jogos'!G29+'Tabela Jogos'!G31)+'Tabela Jogos'!E33))</f>
        <v>1</v>
      </c>
      <c r="H30" s="20">
        <f>SUM((('Tabela Jogos'!E29+'Tabela Jogos'!E31)+'Tabela Jogos'!G33))</f>
        <v>7</v>
      </c>
      <c r="I30" s="20">
        <f t="shared" si="82"/>
        <v>-6</v>
      </c>
      <c r="J30" s="19"/>
      <c r="K30" s="17" t="str">
        <f>IF((B30&lt;=B29),A30,A29)</f>
        <v>Espérance</v>
      </c>
      <c r="L30" s="22">
        <f t="shared" si="83"/>
        <v>1</v>
      </c>
      <c r="M30" s="17"/>
      <c r="N30" s="17" t="str">
        <f t="shared" si="84"/>
        <v>Espérance</v>
      </c>
      <c r="O30" s="22">
        <f t="shared" si="85"/>
        <v>1</v>
      </c>
      <c r="P30" s="17"/>
      <c r="Q30" s="17" t="str">
        <f>IF((O30&gt;=O31),N30,N31)</f>
        <v>Flamengo</v>
      </c>
      <c r="R30" s="22">
        <f t="shared" si="86"/>
        <v>6</v>
      </c>
      <c r="S30" s="22">
        <f t="shared" si="87"/>
        <v>2</v>
      </c>
      <c r="T30" s="17"/>
      <c r="U30" s="17" t="str">
        <f>IF(AND((R29=R30),(S30&gt;S29)),Q29,Q30)</f>
        <v>Flamengo</v>
      </c>
      <c r="V30" s="22">
        <f t="shared" si="88"/>
        <v>6</v>
      </c>
      <c r="W30" s="22">
        <f t="shared" si="89"/>
        <v>2</v>
      </c>
      <c r="X30" s="17" t="str">
        <f t="shared" si="90"/>
        <v>Flamengo</v>
      </c>
      <c r="Y30" s="22">
        <f t="shared" si="91"/>
        <v>6</v>
      </c>
      <c r="Z30" s="22">
        <f t="shared" si="92"/>
        <v>2</v>
      </c>
      <c r="AA30" s="17"/>
      <c r="AB30" s="17" t="str">
        <f>IF(AND((Y30=Y31),(Z31&gt;Z30)),X31,X30)</f>
        <v>Flamengo</v>
      </c>
      <c r="AC30" s="22">
        <f t="shared" si="93"/>
        <v>6</v>
      </c>
      <c r="AD30" s="22">
        <f t="shared" si="94"/>
        <v>2</v>
      </c>
      <c r="AE30" s="22">
        <f t="shared" si="95"/>
        <v>5</v>
      </c>
      <c r="AF30" s="17" t="str">
        <f>IF(AND((AC30=AC29),(AD30=AD29),(AE30&gt;AE29)),AB29,AB30)</f>
        <v>Flamengo</v>
      </c>
      <c r="AG30" s="22">
        <f t="shared" si="96"/>
        <v>6</v>
      </c>
      <c r="AH30" s="22">
        <f t="shared" si="97"/>
        <v>2</v>
      </c>
      <c r="AI30" s="22">
        <f t="shared" si="98"/>
        <v>5</v>
      </c>
      <c r="AJ30" s="17" t="str">
        <f t="shared" si="99"/>
        <v>Flamengo</v>
      </c>
      <c r="AK30" s="22">
        <f t="shared" si="100"/>
        <v>6</v>
      </c>
      <c r="AL30" s="22">
        <f t="shared" si="101"/>
        <v>2</v>
      </c>
      <c r="AM30" s="22">
        <f t="shared" si="102"/>
        <v>5</v>
      </c>
      <c r="AN30" s="17" t="str">
        <f>IF(AND((AK30=AK31),(AL30=AL31),(AM31&gt;AM30)),AJ31,AJ30)</f>
        <v>Flamengo</v>
      </c>
      <c r="AO30" s="22">
        <f t="shared" si="103"/>
        <v>6</v>
      </c>
      <c r="AP30" s="22">
        <f t="shared" si="104"/>
        <v>2</v>
      </c>
      <c r="AQ30" s="22">
        <f t="shared" si="105"/>
        <v>5</v>
      </c>
    </row>
    <row r="31" spans="1:43" ht="12" customHeight="1">
      <c r="A31" s="16" t="s">
        <v>41</v>
      </c>
      <c r="B31" s="19">
        <f t="shared" si="81"/>
        <v>6</v>
      </c>
      <c r="C31" s="20">
        <f>COUNT('Tabela Jogos'!E29,'Tabela Jogos'!E30,'Tabela Jogos'!G32)</f>
        <v>3</v>
      </c>
      <c r="D31" s="20">
        <f>SUM(IF(('Tabela Jogos'!$E$29&gt;'Tabela Jogos'!$G$29),COUNT('Tabela Jogos'!$E$29)),IF(('Tabela Jogos'!$E$30&gt;'Tabela Jogos'!$G$30),COUNT('Tabela Jogos'!$E$30)),IF(('Tabela Jogos'!$G$32&gt;'Tabela Jogos'!$E$32),COUNT('Tabela Jogos'!$G$32)))</f>
        <v>2</v>
      </c>
      <c r="E31" s="20">
        <f>SUM(IF(('Tabela Jogos'!$E$29='Tabela Jogos'!$G$29),COUNT('Tabela Jogos'!$E$29)),IF(('Tabela Jogos'!$E$30='Tabela Jogos'!$G$30),COUNT('Tabela Jogos'!$E$30)),IF(('Tabela Jogos'!$G$32='Tabela Jogos'!$E$32),COUNT('Tabela Jogos'!$G$32)))</f>
        <v>0</v>
      </c>
      <c r="F31" s="20">
        <f>SUM(IF(('Tabela Jogos'!$E$29&lt;'Tabela Jogos'!$G$29),COUNT('Tabela Jogos'!$E$29)),IF(('Tabela Jogos'!$E$30&lt;'Tabela Jogos'!$G$30),COUNT('Tabela Jogos'!$E$30)),IF(('Tabela Jogos'!$G$32&lt;'Tabela Jogos'!$E$32),COUNT('Tabela Jogos'!$G$32)))</f>
        <v>1</v>
      </c>
      <c r="G31" s="20">
        <f>SUM((('Tabela Jogos'!E29+'Tabela Jogos'!E30)+'Tabela Jogos'!G32))</f>
        <v>5</v>
      </c>
      <c r="H31" s="20">
        <f>SUM((('Tabela Jogos'!G29+'Tabela Jogos'!G30)+'Tabela Jogos'!E32))</f>
        <v>3</v>
      </c>
      <c r="I31" s="20">
        <f t="shared" si="82"/>
        <v>2</v>
      </c>
      <c r="J31" s="19"/>
      <c r="K31" s="17" t="str">
        <f>IF((B31&gt;=B32),A31,A32)</f>
        <v>Flamengo</v>
      </c>
      <c r="L31" s="22">
        <f t="shared" si="83"/>
        <v>6</v>
      </c>
      <c r="M31" s="17"/>
      <c r="N31" s="17" t="str">
        <f t="shared" ref="N31:N32" si="106">IF((L31&lt;=L29),K31,K29)</f>
        <v>Flamengo</v>
      </c>
      <c r="O31" s="22">
        <f t="shared" si="85"/>
        <v>6</v>
      </c>
      <c r="P31" s="17"/>
      <c r="Q31" s="17" t="str">
        <f>IF((O31&lt;=O30),N31,N30)</f>
        <v>Espérance</v>
      </c>
      <c r="R31" s="22">
        <f t="shared" si="86"/>
        <v>1</v>
      </c>
      <c r="S31" s="22">
        <f t="shared" si="87"/>
        <v>-6</v>
      </c>
      <c r="T31" s="17"/>
      <c r="U31" s="17" t="str">
        <f>IF(AND((R31=R32),(S32&gt;S31)),Q32,Q31)</f>
        <v>Los Angeles FC</v>
      </c>
      <c r="V31" s="22">
        <f t="shared" si="88"/>
        <v>1</v>
      </c>
      <c r="W31" s="22">
        <f t="shared" si="89"/>
        <v>-5</v>
      </c>
      <c r="X31" s="17" t="str">
        <f t="shared" ref="X31:X32" si="107">IF(AND((V29=V31),(W31&gt;W29)),U29,U31)</f>
        <v>Los Angeles FC</v>
      </c>
      <c r="Y31" s="22">
        <f t="shared" si="91"/>
        <v>1</v>
      </c>
      <c r="Z31" s="22">
        <f t="shared" si="92"/>
        <v>-5</v>
      </c>
      <c r="AA31" s="17"/>
      <c r="AB31" s="17" t="str">
        <f>IF(AND((Y31=Y30),(Z31&gt;Z30)),X30,X31)</f>
        <v>Los Angeles FC</v>
      </c>
      <c r="AC31" s="22">
        <f t="shared" si="93"/>
        <v>1</v>
      </c>
      <c r="AD31" s="22">
        <f t="shared" si="94"/>
        <v>-5</v>
      </c>
      <c r="AE31" s="22">
        <f t="shared" si="95"/>
        <v>0</v>
      </c>
      <c r="AF31" s="17" t="str">
        <f>IF(AND((AC31=AC32),(AD31=AD32),(AE32&gt;AE31)),AB32,AB31)</f>
        <v>Los Angeles FC</v>
      </c>
      <c r="AG31" s="22">
        <f t="shared" si="96"/>
        <v>1</v>
      </c>
      <c r="AH31" s="22">
        <f t="shared" si="97"/>
        <v>-5</v>
      </c>
      <c r="AI31" s="22">
        <f t="shared" si="98"/>
        <v>0</v>
      </c>
      <c r="AJ31" s="17" t="str">
        <f>IF(AND((AG31=AG29),(AH31=AH29),(AI31&gt;AI29)),AF29,AF31)</f>
        <v>Los Angeles FC</v>
      </c>
      <c r="AK31" s="22">
        <f t="shared" si="100"/>
        <v>1</v>
      </c>
      <c r="AL31" s="22">
        <f t="shared" si="101"/>
        <v>-5</v>
      </c>
      <c r="AM31" s="22">
        <f t="shared" si="102"/>
        <v>0</v>
      </c>
      <c r="AN31" s="17" t="str">
        <f>IF(AND((AK31=AK30),(AL31=AL30),(AM31&gt;AM30)),AJ30,AJ31)</f>
        <v>Los Angeles FC</v>
      </c>
      <c r="AO31" s="22">
        <f t="shared" si="103"/>
        <v>1</v>
      </c>
      <c r="AP31" s="22">
        <f t="shared" si="104"/>
        <v>-5</v>
      </c>
      <c r="AQ31" s="22">
        <f t="shared" si="105"/>
        <v>0</v>
      </c>
    </row>
    <row r="32" spans="1:43" ht="12" customHeight="1">
      <c r="A32" s="16" t="s">
        <v>39</v>
      </c>
      <c r="B32" s="19">
        <f t="shared" si="81"/>
        <v>1</v>
      </c>
      <c r="C32" s="20">
        <f>COUNT('Tabela Jogos'!G28,'Tabela Jogos'!E31,'Tabela Jogos'!E32)</f>
        <v>3</v>
      </c>
      <c r="D32" s="20">
        <f>SUM(IF(('Tabela Jogos'!$G$28&gt;'Tabela Jogos'!$E$28),COUNT('Tabela Jogos'!$G$28)),IF(('Tabela Jogos'!$E$31&gt;'Tabela Jogos'!$G$31),COUNT('Tabela Jogos'!$E$31)),IF(('Tabela Jogos'!$E$32&gt;'Tabela Jogos'!$G$32),COUNT('Tabela Jogos'!$E$32)))</f>
        <v>0</v>
      </c>
      <c r="E32" s="20">
        <f>SUM(IF(('Tabela Jogos'!$G$28='Tabela Jogos'!$E$28),COUNT('Tabela Jogos'!$G$28)),IF(('Tabela Jogos'!$E$31='Tabela Jogos'!$G$31),COUNT('Tabela Jogos'!$E$31)),IF(('Tabela Jogos'!$E$32='Tabela Jogos'!$G$32),COUNT('Tabela Jogos'!$E$32)))</f>
        <v>1</v>
      </c>
      <c r="F32" s="20">
        <f>SUM(IF(('Tabela Jogos'!$G$28&lt;'Tabela Jogos'!$E$28),COUNT('Tabela Jogos'!$G$28)),IF(('Tabela Jogos'!$E$31&lt;'Tabela Jogos'!$G$31),COUNT('Tabela Jogos'!$E$31)),IF(('Tabela Jogos'!$E$32&lt;'Tabela Jogos'!$G$32),COUNT('Tabela Jogos'!$E$32)))</f>
        <v>2</v>
      </c>
      <c r="G32" s="20">
        <f>SUM((('Tabela Jogos'!G28+'Tabela Jogos'!E31)+'Tabela Jogos'!E32))</f>
        <v>0</v>
      </c>
      <c r="H32" s="20">
        <f>SUM((('Tabela Jogos'!E28+'Tabela Jogos'!G31)+'Tabela Jogos'!G32))</f>
        <v>5</v>
      </c>
      <c r="I32" s="20">
        <f t="shared" si="82"/>
        <v>-5</v>
      </c>
      <c r="J32" s="19"/>
      <c r="K32" s="17" t="str">
        <f>IF((B32&lt;=B31),A32,A31)</f>
        <v>Los Angeles FC</v>
      </c>
      <c r="L32" s="22">
        <f t="shared" si="83"/>
        <v>1</v>
      </c>
      <c r="M32" s="17"/>
      <c r="N32" s="17" t="str">
        <f t="shared" si="106"/>
        <v>Los Angeles FC</v>
      </c>
      <c r="O32" s="22">
        <f t="shared" si="85"/>
        <v>1</v>
      </c>
      <c r="P32" s="17"/>
      <c r="Q32" s="17" t="str">
        <f>IF((O32&lt;=O29),N32,N29)</f>
        <v>Los Angeles FC</v>
      </c>
      <c r="R32" s="22">
        <f t="shared" si="86"/>
        <v>1</v>
      </c>
      <c r="S32" s="22">
        <f t="shared" si="87"/>
        <v>-5</v>
      </c>
      <c r="T32" s="17"/>
      <c r="U32" s="17" t="str">
        <f>IF(AND((R31=R32),(S32&gt;S31)),Q31,Q32)</f>
        <v>Espérance</v>
      </c>
      <c r="V32" s="22">
        <f t="shared" si="88"/>
        <v>1</v>
      </c>
      <c r="W32" s="22">
        <f t="shared" si="89"/>
        <v>-6</v>
      </c>
      <c r="X32" s="17" t="str">
        <f t="shared" si="107"/>
        <v>Espérance</v>
      </c>
      <c r="Y32" s="22">
        <f t="shared" si="91"/>
        <v>1</v>
      </c>
      <c r="Z32" s="22">
        <f t="shared" si="92"/>
        <v>-6</v>
      </c>
      <c r="AA32" s="17"/>
      <c r="AB32" s="17" t="str">
        <f>IF(AND((Y32=Y29),(Z32&gt;Z29)),X29,X32)</f>
        <v>Espérance</v>
      </c>
      <c r="AC32" s="22">
        <f t="shared" si="93"/>
        <v>1</v>
      </c>
      <c r="AD32" s="22">
        <f t="shared" si="94"/>
        <v>-6</v>
      </c>
      <c r="AE32" s="22">
        <f t="shared" si="95"/>
        <v>1</v>
      </c>
      <c r="AF32" s="17" t="str">
        <f>IF(AND((AC32=AC31),(AD32=AD31),(AE32&gt;AE31)),X31,X32)</f>
        <v>Espérance</v>
      </c>
      <c r="AG32" s="22">
        <f t="shared" si="96"/>
        <v>1</v>
      </c>
      <c r="AH32" s="22">
        <f t="shared" si="97"/>
        <v>-6</v>
      </c>
      <c r="AI32" s="22">
        <f t="shared" si="98"/>
        <v>1</v>
      </c>
      <c r="AJ32" s="17" t="str">
        <f>IF(AND((AG30=AG32),(AH30=AH32),(AI32&gt;AI30)),AF30,AF32)</f>
        <v>Espérance</v>
      </c>
      <c r="AK32" s="22">
        <f t="shared" si="100"/>
        <v>1</v>
      </c>
      <c r="AL32" s="22">
        <f t="shared" si="101"/>
        <v>-6</v>
      </c>
      <c r="AM32" s="22">
        <f t="shared" si="102"/>
        <v>1</v>
      </c>
      <c r="AN32" s="17" t="str">
        <f>IF(AND((AK32=AK29),(AL32=AL29),(AM32&gt;AM29)),AJ29,AJ32)</f>
        <v>Espérance</v>
      </c>
      <c r="AO32" s="22">
        <f t="shared" si="103"/>
        <v>1</v>
      </c>
      <c r="AP32" s="22">
        <f t="shared" si="104"/>
        <v>-6</v>
      </c>
      <c r="AQ32" s="22">
        <f t="shared" si="105"/>
        <v>1</v>
      </c>
    </row>
    <row r="33" spans="1:43" ht="12" customHeight="1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</row>
    <row r="34" spans="1:43" ht="12" customHeight="1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</row>
    <row r="35" spans="1:43" ht="12" customHeight="1">
      <c r="A35" s="16"/>
      <c r="B35" s="138" t="s">
        <v>88</v>
      </c>
      <c r="C35" s="116"/>
      <c r="D35" s="116"/>
      <c r="E35" s="116"/>
      <c r="F35" s="116"/>
      <c r="G35" s="116"/>
      <c r="H35" s="116"/>
      <c r="I35" s="116"/>
      <c r="J35" s="17"/>
      <c r="K35" s="17" t="s">
        <v>80</v>
      </c>
      <c r="L35" s="17"/>
      <c r="M35" s="17"/>
      <c r="N35" s="17" t="s">
        <v>81</v>
      </c>
      <c r="O35" s="17"/>
      <c r="P35" s="17"/>
      <c r="Q35" s="17" t="s">
        <v>82</v>
      </c>
      <c r="R35" s="17"/>
      <c r="S35" s="17"/>
      <c r="T35" s="17"/>
      <c r="U35" s="17" t="s">
        <v>82</v>
      </c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</row>
    <row r="36" spans="1:43" ht="12" customHeight="1">
      <c r="A36" s="18" t="s">
        <v>83</v>
      </c>
      <c r="B36" s="19" t="s">
        <v>12</v>
      </c>
      <c r="C36" s="20" t="s">
        <v>13</v>
      </c>
      <c r="D36" s="20" t="s">
        <v>14</v>
      </c>
      <c r="E36" s="20" t="s">
        <v>15</v>
      </c>
      <c r="F36" s="20" t="s">
        <v>16</v>
      </c>
      <c r="G36" s="20" t="s">
        <v>17</v>
      </c>
      <c r="H36" s="20" t="s">
        <v>18</v>
      </c>
      <c r="I36" s="20" t="s">
        <v>19</v>
      </c>
      <c r="J36" s="21"/>
      <c r="K36" s="17"/>
      <c r="L36" s="17" t="s">
        <v>12</v>
      </c>
      <c r="M36" s="17"/>
      <c r="N36" s="17"/>
      <c r="O36" s="17" t="s">
        <v>84</v>
      </c>
      <c r="P36" s="17"/>
      <c r="Q36" s="17"/>
      <c r="R36" s="17" t="s">
        <v>12</v>
      </c>
      <c r="S36" s="17" t="s">
        <v>19</v>
      </c>
      <c r="T36" s="17"/>
      <c r="U36" s="17"/>
      <c r="V36" s="17" t="s">
        <v>12</v>
      </c>
      <c r="W36" s="17" t="s">
        <v>19</v>
      </c>
      <c r="X36" s="17"/>
      <c r="Y36" s="17" t="s">
        <v>12</v>
      </c>
      <c r="Z36" s="17" t="s">
        <v>19</v>
      </c>
      <c r="AA36" s="17"/>
      <c r="AB36" s="17"/>
      <c r="AC36" s="17" t="s">
        <v>12</v>
      </c>
      <c r="AD36" s="17" t="s">
        <v>19</v>
      </c>
      <c r="AE36" s="17" t="s">
        <v>17</v>
      </c>
      <c r="AF36" s="17"/>
      <c r="AG36" s="17" t="s">
        <v>12</v>
      </c>
      <c r="AH36" s="17" t="s">
        <v>19</v>
      </c>
      <c r="AI36" s="17" t="s">
        <v>17</v>
      </c>
      <c r="AJ36" s="17"/>
      <c r="AK36" s="17" t="s">
        <v>12</v>
      </c>
      <c r="AL36" s="17" t="s">
        <v>19</v>
      </c>
      <c r="AM36" s="17" t="s">
        <v>17</v>
      </c>
      <c r="AN36" s="17"/>
      <c r="AO36" s="17" t="s">
        <v>12</v>
      </c>
      <c r="AP36" s="17" t="s">
        <v>19</v>
      </c>
      <c r="AQ36" s="17" t="s">
        <v>17</v>
      </c>
    </row>
    <row r="37" spans="1:43" ht="12" customHeight="1">
      <c r="A37" s="16" t="s">
        <v>45</v>
      </c>
      <c r="B37" s="19">
        <f t="shared" ref="B37:B40" si="108">SUM((D37*3))+E37</f>
        <v>4</v>
      </c>
      <c r="C37" s="20">
        <f>COUNT('Tabela Jogos'!E36,'Tabela Jogos'!E39,'Tabela Jogos'!G40)</f>
        <v>3</v>
      </c>
      <c r="D37" s="20">
        <f>SUM(IF(('Tabela Jogos'!$E$36&gt;'Tabela Jogos'!$G$36),COUNT('Tabela Jogos'!$E$36)),IF(('Tabela Jogos'!$E$39&gt;'Tabela Jogos'!$G$39),COUNT('Tabela Jogos'!$E$39)),IF(('Tabela Jogos'!$G$40&gt;'Tabela Jogos'!$E$40),COUNT('Tabela Jogos'!$G$40)))</f>
        <v>1</v>
      </c>
      <c r="E37" s="20">
        <f>SUM(IF(('Tabela Jogos'!$E$36='Tabela Jogos'!$G$36),COUNT('Tabela Jogos'!$E$36)),IF(('Tabela Jogos'!$E$39='Tabela Jogos'!$G$39),COUNT('Tabela Jogos'!$E$39)),IF(('Tabela Jogos'!$G$40='Tabela Jogos'!$E$40),COUNT('Tabela Jogos'!$G$40)))</f>
        <v>1</v>
      </c>
      <c r="F37" s="20">
        <f>SUM(IF(('Tabela Jogos'!$E$36&lt;'Tabela Jogos'!$G$36),COUNT('Tabela Jogos'!$E$36)),IF(('Tabela Jogos'!$E$39&lt;'Tabela Jogos'!$G$39),COUNT('Tabela Jogos'!$E$39)),IF(('Tabela Jogos'!$G$40&lt;'Tabela Jogos'!$E$40),COUNT('Tabela Jogos'!$G$40)))</f>
        <v>1</v>
      </c>
      <c r="G37" s="20">
        <f>SUM((('Tabela Jogos'!E36+'Tabela Jogos'!E39)+'Tabela Jogos'!G40))</f>
        <v>5</v>
      </c>
      <c r="H37" s="20">
        <f>SUM((('Tabela Jogos'!G36+'Tabela Jogos'!G39)+'Tabela Jogos'!E40))</f>
        <v>4</v>
      </c>
      <c r="I37" s="20">
        <f t="shared" ref="I37:I40" si="109">SUM((G37-H37))</f>
        <v>1</v>
      </c>
      <c r="J37" s="19"/>
      <c r="K37" s="17" t="str">
        <f>IF((B37&gt;=B38),A37,A38)</f>
        <v>Internazionale</v>
      </c>
      <c r="L37" s="22">
        <f t="shared" ref="L37:L40" si="110">VLOOKUP(K37,$A$37:$I$40,2,FALSE)</f>
        <v>9</v>
      </c>
      <c r="M37" s="17"/>
      <c r="N37" s="17" t="str">
        <f t="shared" ref="N37:N38" si="111">IF((L37&gt;=L39),K37,K39)</f>
        <v>Internazionale</v>
      </c>
      <c r="O37" s="22">
        <f t="shared" ref="O37:O40" si="112">VLOOKUP(N37,$A$37:$I$40,2,FALSE)</f>
        <v>9</v>
      </c>
      <c r="P37" s="17"/>
      <c r="Q37" s="17" t="str">
        <f>IF((O37&gt;=O40),N37,N40)</f>
        <v>Internazionale</v>
      </c>
      <c r="R37" s="22">
        <f t="shared" ref="R37:R40" si="113">VLOOKUP(Q37,$A$37:$I$40,2,FALSE)</f>
        <v>9</v>
      </c>
      <c r="S37" s="22">
        <f t="shared" ref="S37:S40" si="114">VLOOKUP(Q37,$A$37:$I$40,9,FALSE)</f>
        <v>9</v>
      </c>
      <c r="T37" s="17"/>
      <c r="U37" s="17" t="str">
        <f>IF(AND((R37=R38),(S38&gt;S37)),Q38,Q37)</f>
        <v>Internazionale</v>
      </c>
      <c r="V37" s="22">
        <f t="shared" ref="V37:V40" si="115">VLOOKUP(U37,$A$37:$I$40,2,FALSE)</f>
        <v>9</v>
      </c>
      <c r="W37" s="22">
        <f t="shared" ref="W37:W40" si="116">VLOOKUP(U37,$A$37:$I$40,9,FALSE)</f>
        <v>9</v>
      </c>
      <c r="X37" s="17" t="str">
        <f t="shared" ref="X37:X38" si="117">IF(AND((V37=V39),(W39&gt;W37)),U39,U37)</f>
        <v>Internazionale</v>
      </c>
      <c r="Y37" s="22">
        <f t="shared" ref="Y37:Y40" si="118">VLOOKUP(X37,$A$37:$I$40,2,FALSE)</f>
        <v>9</v>
      </c>
      <c r="Z37" s="22">
        <f t="shared" ref="Z37:Z40" si="119">VLOOKUP(X37,$A$37:$I$40,9,FALSE)</f>
        <v>9</v>
      </c>
      <c r="AA37" s="17"/>
      <c r="AB37" s="17" t="str">
        <f>IF(AND((Y37=Y40),(Z40&gt;Z37)),X40,X37)</f>
        <v>Internazionale</v>
      </c>
      <c r="AC37" s="22">
        <f t="shared" ref="AC37:AC40" si="120">VLOOKUP(AB37,$A$37:$I$40,2,FALSE)</f>
        <v>9</v>
      </c>
      <c r="AD37" s="22">
        <f t="shared" ref="AD37:AD40" si="121">VLOOKUP(AB37,$A$37:$I$40,9,FALSE)</f>
        <v>9</v>
      </c>
      <c r="AE37" s="22">
        <f t="shared" ref="AE37:AE40" si="122">VLOOKUP(AB37,$A$37:$I$40,7,FALSE)</f>
        <v>10</v>
      </c>
      <c r="AF37" s="17" t="str">
        <f>IF(AND((AC37=AC38),(AD37=AD38),(AE38&gt;AE37)),AB38,AB37)</f>
        <v>Internazionale</v>
      </c>
      <c r="AG37" s="22">
        <f t="shared" ref="AG37:AG40" si="123">VLOOKUP(AF37,$A$37:$I$40,2,FALSE)</f>
        <v>9</v>
      </c>
      <c r="AH37" s="22">
        <f t="shared" ref="AH37:AH40" si="124">VLOOKUP(AF37,$A$37:$I$40,9,FALSE)</f>
        <v>9</v>
      </c>
      <c r="AI37" s="22">
        <f t="shared" ref="AI37:AI40" si="125">VLOOKUP(AF37,$A$37:$I$40,7,FALSE)</f>
        <v>10</v>
      </c>
      <c r="AJ37" s="17" t="str">
        <f t="shared" ref="AJ37:AJ38" si="126">IF(AND((AG37=AG39),(AH37=AH39),(AI39&gt;AI37)),AF39,AF37)</f>
        <v>Internazionale</v>
      </c>
      <c r="AK37" s="22">
        <f t="shared" ref="AK37:AK40" si="127">VLOOKUP(AJ37,$A$37:$I$40,2,FALSE)</f>
        <v>9</v>
      </c>
      <c r="AL37" s="22">
        <f t="shared" ref="AL37:AL40" si="128">VLOOKUP(AJ37,$A$37:$I$40,9,FALSE)</f>
        <v>9</v>
      </c>
      <c r="AM37" s="22">
        <f t="shared" ref="AM37:AM40" si="129">VLOOKUP(AJ37,$A$37:$I$40,7,FALSE)</f>
        <v>10</v>
      </c>
      <c r="AN37" s="17" t="str">
        <f>IF(AND((AK37=AK40),(AL37=AL40),(AM40&gt;AM37)),AJ40,AJ37)</f>
        <v>Internazionale</v>
      </c>
      <c r="AO37" s="22">
        <f t="shared" ref="AO37:AO40" si="130">VLOOKUP(AN37,$A$37:$I$40,2,FALSE)</f>
        <v>9</v>
      </c>
      <c r="AP37" s="22">
        <f t="shared" ref="AP37:AP40" si="131">VLOOKUP(AN37,$A$37:$I$40,9,FALSE)</f>
        <v>9</v>
      </c>
      <c r="AQ37" s="22">
        <f t="shared" ref="AQ37:AQ40" si="132">VLOOKUP(AN37,$A$37:$I$40,7,FALSE)</f>
        <v>10</v>
      </c>
    </row>
    <row r="38" spans="1:43" ht="12" customHeight="1">
      <c r="A38" s="16" t="s">
        <v>49</v>
      </c>
      <c r="B38" s="19">
        <f t="shared" si="108"/>
        <v>9</v>
      </c>
      <c r="C38" s="20">
        <f>COUNT('Tabela Jogos'!G37,'Tabela Jogos'!E38,'Tabela Jogos'!E40)</f>
        <v>3</v>
      </c>
      <c r="D38" s="20">
        <f>SUM(IF(('Tabela Jogos'!$G$37&gt;'Tabela Jogos'!$E$37),COUNT('Tabela Jogos'!$G$37)),IF(('Tabela Jogos'!$E$38&gt;'Tabela Jogos'!$G$38),COUNT('Tabela Jogos'!$E$38)),IF(('Tabela Jogos'!$E$40&gt;'Tabela Jogos'!$G$40),COUNT('Tabela Jogos'!$E$40)))</f>
        <v>3</v>
      </c>
      <c r="E38" s="20">
        <f>SUM(IF(('Tabela Jogos'!$G$37='Tabela Jogos'!$E$37),COUNT('Tabela Jogos'!$G$37)),IF(('Tabela Jogos'!$E$38='Tabela Jogos'!$G$38),COUNT('Tabela Jogos'!$E$38)),IF(('Tabela Jogos'!$E$40='Tabela Jogos'!$G$40),COUNT('Tabela Jogos'!$E$40)))</f>
        <v>0</v>
      </c>
      <c r="F38" s="20">
        <f>SUM(IF(('Tabela Jogos'!$G$37&lt;'Tabela Jogos'!$E$37),COUNT('Tabela Jogos'!$G$37)),IF(('Tabela Jogos'!$E$38&lt;'Tabela Jogos'!$G$38),COUNT('Tabela Jogos'!$E$38)),IF(('Tabela Jogos'!$E$40&lt;'Tabela Jogos'!$G$40),COUNT('Tabela Jogos'!$E$40)))</f>
        <v>0</v>
      </c>
      <c r="G38" s="20">
        <f>SUM((('Tabela Jogos'!G37+'Tabela Jogos'!E38)+'Tabela Jogos'!E40))</f>
        <v>10</v>
      </c>
      <c r="H38" s="20">
        <f>SUM((('Tabela Jogos'!E37+'Tabela Jogos'!G38)+'Tabela Jogos'!G40))</f>
        <v>1</v>
      </c>
      <c r="I38" s="20">
        <f t="shared" si="109"/>
        <v>9</v>
      </c>
      <c r="J38" s="19"/>
      <c r="K38" s="17" t="str">
        <f>IF((B38&lt;=B37),A38,A37)</f>
        <v>River Plate</v>
      </c>
      <c r="L38" s="22">
        <f t="shared" si="110"/>
        <v>4</v>
      </c>
      <c r="M38" s="17"/>
      <c r="N38" s="17" t="str">
        <f t="shared" si="111"/>
        <v>River Plate</v>
      </c>
      <c r="O38" s="22">
        <f t="shared" si="112"/>
        <v>4</v>
      </c>
      <c r="P38" s="17"/>
      <c r="Q38" s="17" t="str">
        <f>IF((O38&gt;=O39),N38,N39)</f>
        <v>River Plate</v>
      </c>
      <c r="R38" s="22">
        <f t="shared" si="113"/>
        <v>4</v>
      </c>
      <c r="S38" s="22">
        <f t="shared" si="114"/>
        <v>1</v>
      </c>
      <c r="T38" s="17"/>
      <c r="U38" s="17" t="str">
        <f>IF(AND((R37=R38),(S38&gt;S37)),Q37,Q38)</f>
        <v>River Plate</v>
      </c>
      <c r="V38" s="22">
        <f t="shared" si="115"/>
        <v>4</v>
      </c>
      <c r="W38" s="22">
        <f t="shared" si="116"/>
        <v>1</v>
      </c>
      <c r="X38" s="17" t="str">
        <f t="shared" si="117"/>
        <v>River Plate</v>
      </c>
      <c r="Y38" s="22">
        <f t="shared" si="118"/>
        <v>4</v>
      </c>
      <c r="Z38" s="22">
        <f t="shared" si="119"/>
        <v>1</v>
      </c>
      <c r="AA38" s="17"/>
      <c r="AB38" s="17" t="str">
        <f>IF(AND((Y38=Y39),(Z39&gt;Z38)),X39,X38)</f>
        <v>River Plate</v>
      </c>
      <c r="AC38" s="22">
        <f t="shared" si="120"/>
        <v>4</v>
      </c>
      <c r="AD38" s="22">
        <f t="shared" si="121"/>
        <v>1</v>
      </c>
      <c r="AE38" s="22">
        <f t="shared" si="122"/>
        <v>5</v>
      </c>
      <c r="AF38" s="17" t="str">
        <f>IF(AND((AC38=AC37),(AD38=AD37),(AE38&gt;AE37)),AB37,AB38)</f>
        <v>River Plate</v>
      </c>
      <c r="AG38" s="22">
        <f t="shared" si="123"/>
        <v>4</v>
      </c>
      <c r="AH38" s="22">
        <f t="shared" si="124"/>
        <v>1</v>
      </c>
      <c r="AI38" s="22">
        <f t="shared" si="125"/>
        <v>5</v>
      </c>
      <c r="AJ38" s="17" t="str">
        <f t="shared" si="126"/>
        <v>River Plate</v>
      </c>
      <c r="AK38" s="22">
        <f t="shared" si="127"/>
        <v>4</v>
      </c>
      <c r="AL38" s="22">
        <f t="shared" si="128"/>
        <v>1</v>
      </c>
      <c r="AM38" s="22">
        <f t="shared" si="129"/>
        <v>5</v>
      </c>
      <c r="AN38" s="17" t="str">
        <f>IF(AND((AK38=AK39),(AL38=AL39),(AM39&gt;AM38)),AJ39,AJ38)</f>
        <v>River Plate</v>
      </c>
      <c r="AO38" s="22">
        <f t="shared" si="130"/>
        <v>4</v>
      </c>
      <c r="AP38" s="22">
        <f t="shared" si="131"/>
        <v>1</v>
      </c>
      <c r="AQ38" s="22">
        <f t="shared" si="132"/>
        <v>5</v>
      </c>
    </row>
    <row r="39" spans="1:43" ht="12" customHeight="1">
      <c r="A39" s="16" t="s">
        <v>48</v>
      </c>
      <c r="B39" s="19">
        <f t="shared" si="108"/>
        <v>4</v>
      </c>
      <c r="C39" s="20">
        <f>COUNT('Tabela Jogos'!E37,'Tabela Jogos'!G39,'Tabela Jogos'!G41)</f>
        <v>3</v>
      </c>
      <c r="D39" s="20">
        <f>SUM(IF(('Tabela Jogos'!$E$37&gt;'Tabela Jogos'!$G$37),COUNT('Tabela Jogos'!$E$37)),IF(('Tabela Jogos'!$G$39&gt;'Tabela Jogos'!$E$39),COUNT('Tabela Jogos'!$G$39)),IF(('Tabela Jogos'!$G$41&gt;'Tabela Jogos'!$E$41),COUNT('Tabela Jogos'!$G$41)))</f>
        <v>1</v>
      </c>
      <c r="E39" s="20">
        <f>SUM(IF(('Tabela Jogos'!$E$37='Tabela Jogos'!$G$37),COUNT('Tabela Jogos'!$E$37)),IF(('Tabela Jogos'!$G$39='Tabela Jogos'!$E$39),COUNT('Tabela Jogos'!$G$39)),IF(('Tabela Jogos'!$G$41='Tabela Jogos'!$E$41),COUNT('Tabela Jogos'!$G$41)))</f>
        <v>1</v>
      </c>
      <c r="F39" s="20">
        <f>SUM(IF(('Tabela Jogos'!$E$37&lt;'Tabela Jogos'!$G$37),COUNT('Tabela Jogos'!$E$37)),IF(('Tabela Jogos'!$G$39&lt;'Tabela Jogos'!$E$39),COUNT('Tabela Jogos'!$G$39)),IF(('Tabela Jogos'!$G$41&lt;'Tabela Jogos'!$E$41),COUNT('Tabela Jogos'!$G$41)))</f>
        <v>1</v>
      </c>
      <c r="G39" s="20">
        <f>SUM((('Tabela Jogos'!E37+'Tabela Jogos'!G39)+'Tabela Jogos'!G41))</f>
        <v>3</v>
      </c>
      <c r="H39" s="20">
        <f>SUM((('Tabela Jogos'!G37+'Tabela Jogos'!E39)+'Tabela Jogos'!E41))</f>
        <v>5</v>
      </c>
      <c r="I39" s="20">
        <f t="shared" si="109"/>
        <v>-2</v>
      </c>
      <c r="J39" s="19"/>
      <c r="K39" s="17" t="str">
        <f>IF((B39&gt;=B40),A39,A40)</f>
        <v>Monterrey</v>
      </c>
      <c r="L39" s="22">
        <f t="shared" si="110"/>
        <v>4</v>
      </c>
      <c r="M39" s="17"/>
      <c r="N39" s="17" t="str">
        <f t="shared" ref="N39:N40" si="133">IF((L39&lt;=L37),K39,K37)</f>
        <v>Monterrey</v>
      </c>
      <c r="O39" s="22">
        <f t="shared" si="112"/>
        <v>4</v>
      </c>
      <c r="P39" s="17"/>
      <c r="Q39" s="17" t="str">
        <f>IF((O39&lt;=O38),N39,N38)</f>
        <v>Monterrey</v>
      </c>
      <c r="R39" s="22">
        <f t="shared" si="113"/>
        <v>4</v>
      </c>
      <c r="S39" s="22">
        <f t="shared" si="114"/>
        <v>-2</v>
      </c>
      <c r="T39" s="17"/>
      <c r="U39" s="17" t="str">
        <f>IF(AND((R39=R40),(S40&gt;S39)),Q40,Q39)</f>
        <v>Monterrey</v>
      </c>
      <c r="V39" s="22">
        <f t="shared" si="115"/>
        <v>4</v>
      </c>
      <c r="W39" s="22">
        <f t="shared" si="116"/>
        <v>-2</v>
      </c>
      <c r="X39" s="17" t="str">
        <f t="shared" ref="X39:X40" si="134">IF(AND((V37=V39),(W39&gt;W37)),U37,U39)</f>
        <v>Monterrey</v>
      </c>
      <c r="Y39" s="22">
        <f t="shared" si="118"/>
        <v>4</v>
      </c>
      <c r="Z39" s="22">
        <f t="shared" si="119"/>
        <v>-2</v>
      </c>
      <c r="AA39" s="17"/>
      <c r="AB39" s="17" t="str">
        <f>IF(AND((Y39=Y38),(Z39&gt;Z38)),X38,X39)</f>
        <v>Monterrey</v>
      </c>
      <c r="AC39" s="22">
        <f t="shared" si="120"/>
        <v>4</v>
      </c>
      <c r="AD39" s="22">
        <f t="shared" si="121"/>
        <v>-2</v>
      </c>
      <c r="AE39" s="22">
        <f t="shared" si="122"/>
        <v>3</v>
      </c>
      <c r="AF39" s="17" t="str">
        <f>IF(AND((AC39=AC40),(AD39=AD40),(AE40&gt;AE39)),AB40,AB39)</f>
        <v>Monterrey</v>
      </c>
      <c r="AG39" s="22">
        <f t="shared" si="123"/>
        <v>4</v>
      </c>
      <c r="AH39" s="22">
        <f t="shared" si="124"/>
        <v>-2</v>
      </c>
      <c r="AI39" s="22">
        <f t="shared" si="125"/>
        <v>3</v>
      </c>
      <c r="AJ39" s="17" t="str">
        <f>IF(AND((AG39=AG37),(AH39=AH37),(AI39&gt;AI37)),AF37,AF39)</f>
        <v>Monterrey</v>
      </c>
      <c r="AK39" s="22">
        <f t="shared" si="127"/>
        <v>4</v>
      </c>
      <c r="AL39" s="22">
        <f t="shared" si="128"/>
        <v>-2</v>
      </c>
      <c r="AM39" s="22">
        <f t="shared" si="129"/>
        <v>3</v>
      </c>
      <c r="AN39" s="17" t="str">
        <f>IF(AND((AK39=AK38),(AL39=AL38),(AM39&gt;AM38)),AJ38,AJ39)</f>
        <v>Monterrey</v>
      </c>
      <c r="AO39" s="22">
        <f t="shared" si="130"/>
        <v>4</v>
      </c>
      <c r="AP39" s="22">
        <f t="shared" si="131"/>
        <v>-2</v>
      </c>
      <c r="AQ39" s="22">
        <f t="shared" si="132"/>
        <v>3</v>
      </c>
    </row>
    <row r="40" spans="1:43" ht="12" customHeight="1">
      <c r="A40" s="16" t="s">
        <v>46</v>
      </c>
      <c r="B40" s="19">
        <f t="shared" si="108"/>
        <v>0</v>
      </c>
      <c r="C40" s="20">
        <f>COUNT('Tabela Jogos'!G36,'Tabela Jogos'!G38,'Tabela Jogos'!E41)</f>
        <v>3</v>
      </c>
      <c r="D40" s="20">
        <f>SUM(IF(('Tabela Jogos'!$G$36&gt;'Tabela Jogos'!$E$36),COUNT('Tabela Jogos'!$G$36)),IF(('Tabela Jogos'!$G$38&gt;'Tabela Jogos'!$E$38),COUNT('Tabela Jogos'!$G$38)),IF(('Tabela Jogos'!$E$41&gt;'Tabela Jogos'!$G$41),COUNT('Tabela Jogos'!$E$41)))</f>
        <v>0</v>
      </c>
      <c r="E40" s="20">
        <f>SUM(IF(('Tabela Jogos'!$G$36='Tabela Jogos'!$E$36),COUNT('Tabela Jogos'!$G$36)),IF(('Tabela Jogos'!$G$38='Tabela Jogos'!$E$38),COUNT('Tabela Jogos'!$G$38)),IF(('Tabela Jogos'!$E$41='Tabela Jogos'!$G$41),COUNT('Tabela Jogos'!$E$41)))</f>
        <v>0</v>
      </c>
      <c r="F40" s="20">
        <f>SUM(IF(('Tabela Jogos'!$G$36&lt;'Tabela Jogos'!$E$36),COUNT('Tabela Jogos'!$G$36)),IF(('Tabela Jogos'!$G$38&lt;'Tabela Jogos'!$E$38),COUNT('Tabela Jogos'!$G$38)),IF(('Tabela Jogos'!$E$41&lt;'Tabela Jogos'!$G$41),COUNT('Tabela Jogos'!$E$41)))</f>
        <v>3</v>
      </c>
      <c r="G40" s="20">
        <f>SUM((('Tabela Jogos'!G36+'Tabela Jogos'!G38)+'Tabela Jogos'!E41))</f>
        <v>0</v>
      </c>
      <c r="H40" s="20">
        <f>SUM((('Tabela Jogos'!E36+'Tabela Jogos'!E38)+'Tabela Jogos'!G41))</f>
        <v>8</v>
      </c>
      <c r="I40" s="20">
        <f t="shared" si="109"/>
        <v>-8</v>
      </c>
      <c r="J40" s="19"/>
      <c r="K40" s="17" t="str">
        <f>IF((B40&lt;=B39),A40,A39)</f>
        <v>Urawa Reds</v>
      </c>
      <c r="L40" s="22">
        <f t="shared" si="110"/>
        <v>0</v>
      </c>
      <c r="M40" s="17"/>
      <c r="N40" s="17" t="str">
        <f t="shared" si="133"/>
        <v>Urawa Reds</v>
      </c>
      <c r="O40" s="22">
        <f t="shared" si="112"/>
        <v>0</v>
      </c>
      <c r="P40" s="17"/>
      <c r="Q40" s="17" t="str">
        <f>IF((O40&lt;=O37),N40,N37)</f>
        <v>Urawa Reds</v>
      </c>
      <c r="R40" s="22">
        <f t="shared" si="113"/>
        <v>0</v>
      </c>
      <c r="S40" s="22">
        <f t="shared" si="114"/>
        <v>-8</v>
      </c>
      <c r="T40" s="17"/>
      <c r="U40" s="17" t="str">
        <f>IF(AND((R39=R40),(S40&gt;S39)),Q39,Q40)</f>
        <v>Urawa Reds</v>
      </c>
      <c r="V40" s="22">
        <f t="shared" si="115"/>
        <v>0</v>
      </c>
      <c r="W40" s="22">
        <f t="shared" si="116"/>
        <v>-8</v>
      </c>
      <c r="X40" s="17" t="str">
        <f t="shared" si="134"/>
        <v>Urawa Reds</v>
      </c>
      <c r="Y40" s="22">
        <f t="shared" si="118"/>
        <v>0</v>
      </c>
      <c r="Z40" s="22">
        <f t="shared" si="119"/>
        <v>-8</v>
      </c>
      <c r="AA40" s="17"/>
      <c r="AB40" s="17" t="str">
        <f>IF(AND((Y40=Y37),(Z40&gt;Z37)),X37,X40)</f>
        <v>Urawa Reds</v>
      </c>
      <c r="AC40" s="22">
        <f t="shared" si="120"/>
        <v>0</v>
      </c>
      <c r="AD40" s="22">
        <f t="shared" si="121"/>
        <v>-8</v>
      </c>
      <c r="AE40" s="22">
        <f t="shared" si="122"/>
        <v>0</v>
      </c>
      <c r="AF40" s="17" t="str">
        <f>IF(AND((AC40=AC39),(AD40=AD39),(AE40&gt;AE39)),X39,X40)</f>
        <v>Urawa Reds</v>
      </c>
      <c r="AG40" s="22">
        <f t="shared" si="123"/>
        <v>0</v>
      </c>
      <c r="AH40" s="22">
        <f t="shared" si="124"/>
        <v>-8</v>
      </c>
      <c r="AI40" s="22">
        <f t="shared" si="125"/>
        <v>0</v>
      </c>
      <c r="AJ40" s="17" t="str">
        <f>IF(AND((AG38=AG40),(AH38=AH40),(AI40&gt;AI38)),AF38,AF40)</f>
        <v>Urawa Reds</v>
      </c>
      <c r="AK40" s="22">
        <f t="shared" si="127"/>
        <v>0</v>
      </c>
      <c r="AL40" s="22">
        <f t="shared" si="128"/>
        <v>-8</v>
      </c>
      <c r="AM40" s="22">
        <f t="shared" si="129"/>
        <v>0</v>
      </c>
      <c r="AN40" s="17" t="str">
        <f>IF(AND((AK40=AK37),(AL40=AL37),(AM40&gt;AM37)),AJ37,AJ40)</f>
        <v>Urawa Reds</v>
      </c>
      <c r="AO40" s="22">
        <f t="shared" si="130"/>
        <v>0</v>
      </c>
      <c r="AP40" s="22">
        <f t="shared" si="131"/>
        <v>-8</v>
      </c>
      <c r="AQ40" s="22">
        <f t="shared" si="132"/>
        <v>0</v>
      </c>
    </row>
    <row r="41" spans="1:43" ht="12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</row>
    <row r="42" spans="1:43" ht="12" customHeight="1">
      <c r="A42" s="16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</row>
    <row r="43" spans="1:43" ht="12" customHeight="1">
      <c r="A43" s="16"/>
      <c r="B43" s="138" t="s">
        <v>89</v>
      </c>
      <c r="C43" s="116"/>
      <c r="D43" s="116"/>
      <c r="E43" s="116"/>
      <c r="F43" s="116"/>
      <c r="G43" s="116"/>
      <c r="H43" s="116"/>
      <c r="I43" s="116"/>
      <c r="J43" s="17"/>
      <c r="K43" s="17" t="s">
        <v>80</v>
      </c>
      <c r="L43" s="17"/>
      <c r="M43" s="17"/>
      <c r="N43" s="17" t="s">
        <v>81</v>
      </c>
      <c r="O43" s="17"/>
      <c r="P43" s="17"/>
      <c r="Q43" s="17" t="s">
        <v>82</v>
      </c>
      <c r="R43" s="17"/>
      <c r="S43" s="17"/>
      <c r="T43" s="17"/>
      <c r="U43" s="17" t="s">
        <v>82</v>
      </c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</row>
    <row r="44" spans="1:43" ht="12" customHeight="1">
      <c r="A44" s="18" t="s">
        <v>83</v>
      </c>
      <c r="B44" s="19" t="s">
        <v>12</v>
      </c>
      <c r="C44" s="20" t="s">
        <v>13</v>
      </c>
      <c r="D44" s="20" t="s">
        <v>14</v>
      </c>
      <c r="E44" s="20" t="s">
        <v>15</v>
      </c>
      <c r="F44" s="20" t="s">
        <v>16</v>
      </c>
      <c r="G44" s="20" t="s">
        <v>17</v>
      </c>
      <c r="H44" s="20" t="s">
        <v>18</v>
      </c>
      <c r="I44" s="20" t="s">
        <v>19</v>
      </c>
      <c r="J44" s="21"/>
      <c r="K44" s="17"/>
      <c r="L44" s="17" t="s">
        <v>12</v>
      </c>
      <c r="M44" s="17"/>
      <c r="N44" s="17"/>
      <c r="O44" s="17" t="s">
        <v>84</v>
      </c>
      <c r="P44" s="17"/>
      <c r="Q44" s="17"/>
      <c r="R44" s="17" t="s">
        <v>12</v>
      </c>
      <c r="S44" s="17" t="s">
        <v>19</v>
      </c>
      <c r="T44" s="17"/>
      <c r="U44" s="17"/>
      <c r="V44" s="17" t="s">
        <v>12</v>
      </c>
      <c r="W44" s="17" t="s">
        <v>19</v>
      </c>
      <c r="X44" s="17"/>
      <c r="Y44" s="17" t="s">
        <v>12</v>
      </c>
      <c r="Z44" s="17" t="s">
        <v>19</v>
      </c>
      <c r="AA44" s="17"/>
      <c r="AB44" s="17"/>
      <c r="AC44" s="17" t="s">
        <v>12</v>
      </c>
      <c r="AD44" s="17" t="s">
        <v>19</v>
      </c>
      <c r="AE44" s="17" t="s">
        <v>17</v>
      </c>
      <c r="AF44" s="17"/>
      <c r="AG44" s="17" t="s">
        <v>12</v>
      </c>
      <c r="AH44" s="17" t="s">
        <v>19</v>
      </c>
      <c r="AI44" s="17" t="s">
        <v>17</v>
      </c>
      <c r="AJ44" s="17"/>
      <c r="AK44" s="17" t="s">
        <v>12</v>
      </c>
      <c r="AL44" s="17" t="s">
        <v>19</v>
      </c>
      <c r="AM44" s="17" t="s">
        <v>17</v>
      </c>
      <c r="AN44" s="17"/>
      <c r="AO44" s="17" t="s">
        <v>12</v>
      </c>
      <c r="AP44" s="17" t="s">
        <v>19</v>
      </c>
      <c r="AQ44" s="17" t="s">
        <v>17</v>
      </c>
    </row>
    <row r="45" spans="1:43" ht="12" customHeight="1">
      <c r="A45" s="16" t="s">
        <v>52</v>
      </c>
      <c r="B45" s="19">
        <f t="shared" ref="B45:B48" si="135">SUM((D45*3))+E45</f>
        <v>9</v>
      </c>
      <c r="C45" s="20">
        <f>COUNT('Tabela Jogos'!G44,'Tabela Jogos'!G46,'Tabela Jogos'!E49)</f>
        <v>3</v>
      </c>
      <c r="D45" s="20">
        <f>SUM(IF(('Tabela Jogos'!$G$44&gt;'Tabela Jogos'!$E$44),COUNT('Tabela Jogos'!$G$44)),IF(('Tabela Jogos'!$G$46&gt;'Tabela Jogos'!$E$46),COUNT('Tabela Jogos'!$G$46)),IF(('Tabela Jogos'!$E$49&gt;'Tabela Jogos'!$G$49),COUNT('Tabela Jogos'!$E$49)))</f>
        <v>3</v>
      </c>
      <c r="E45" s="20">
        <f>SUM(IF(('Tabela Jogos'!$G$44='Tabela Jogos'!$E$44),COUNT('Tabela Jogos'!$G$44)),IF(('Tabela Jogos'!$G$46='Tabela Jogos'!$E$46),COUNT('Tabela Jogos'!$G$46)),IF(('Tabela Jogos'!$E$49='Tabela Jogos'!$G$49),COUNT('Tabela Jogos'!$E$49)))</f>
        <v>0</v>
      </c>
      <c r="F45" s="20">
        <f>SUM(IF(('Tabela Jogos'!$G$44&lt;'Tabela Jogos'!$E$44),COUNT('Tabela Jogos'!$G$44)),IF(('Tabela Jogos'!$G$46&lt;'Tabela Jogos'!$E$46),COUNT('Tabela Jogos'!$G$46)),IF(('Tabela Jogos'!$E$49&lt;'Tabela Jogos'!$G$49),COUNT('Tabela Jogos'!$E$49)))</f>
        <v>0</v>
      </c>
      <c r="G45" s="20">
        <f>SUM((('Tabela Jogos'!G44+'Tabela Jogos'!G46)+'Tabela Jogos'!E49))</f>
        <v>11</v>
      </c>
      <c r="H45" s="20">
        <f>SUM((('Tabela Jogos'!E44+'Tabela Jogos'!E46)+'Tabela Jogos'!G49))</f>
        <v>0</v>
      </c>
      <c r="I45" s="20">
        <f t="shared" ref="I45:I48" si="136">SUM((G45-H45))</f>
        <v>11</v>
      </c>
      <c r="J45" s="19"/>
      <c r="K45" s="17" t="str">
        <f>IF((B45&gt;=B46),A45,A46)</f>
        <v>Borussia Dortmund</v>
      </c>
      <c r="L45" s="22">
        <f t="shared" ref="L45:L48" si="137">VLOOKUP(K45,$A$45:$I$48,2,FALSE)</f>
        <v>9</v>
      </c>
      <c r="M45" s="17"/>
      <c r="N45" s="17" t="str">
        <f t="shared" ref="N45:N46" si="138">IF((L45&gt;=L47),K45,K47)</f>
        <v>Borussia Dortmund</v>
      </c>
      <c r="O45" s="22">
        <f t="shared" ref="O45:O48" si="139">VLOOKUP(N45,$A$45:$I$48,2,FALSE)</f>
        <v>9</v>
      </c>
      <c r="P45" s="17"/>
      <c r="Q45" s="17" t="str">
        <f>IF((O45&gt;=O48),N45,N48)</f>
        <v>Borussia Dortmund</v>
      </c>
      <c r="R45" s="22">
        <f t="shared" ref="R45:R48" si="140">VLOOKUP(Q45,$A$45:$I$48,2,FALSE)</f>
        <v>9</v>
      </c>
      <c r="S45" s="22">
        <f t="shared" ref="S45:S48" si="141">VLOOKUP(Q45,$A$45:$I$48,9,FALSE)</f>
        <v>11</v>
      </c>
      <c r="T45" s="17"/>
      <c r="U45" s="17" t="str">
        <f>IF(AND((R45=R46),(S46&gt;S45)),Q46,Q45)</f>
        <v>Borussia Dortmund</v>
      </c>
      <c r="V45" s="22">
        <f t="shared" ref="V45:V48" si="142">VLOOKUP(U45,$A$45:$I$48,2,FALSE)</f>
        <v>9</v>
      </c>
      <c r="W45" s="22">
        <f t="shared" ref="W45:W48" si="143">VLOOKUP(U45,$A$45:$I$48,9,FALSE)</f>
        <v>11</v>
      </c>
      <c r="X45" s="17" t="str">
        <f t="shared" ref="X45:X46" si="144">IF(AND((V45=V47),(W47&gt;W45)),U47,U45)</f>
        <v>Borussia Dortmund</v>
      </c>
      <c r="Y45" s="22">
        <f t="shared" ref="Y45:Y48" si="145">VLOOKUP(X45,$A$45:$I$48,2,FALSE)</f>
        <v>9</v>
      </c>
      <c r="Z45" s="22">
        <f t="shared" ref="Z45:Z48" si="146">VLOOKUP(X45,$A$45:$I$48,9,FALSE)</f>
        <v>11</v>
      </c>
      <c r="AA45" s="17"/>
      <c r="AB45" s="17" t="str">
        <f>IF(AND((Y45=Y48),(Z48&gt;Z45)),X48,X45)</f>
        <v>Borussia Dortmund</v>
      </c>
      <c r="AC45" s="22">
        <f t="shared" ref="AC45:AC48" si="147">VLOOKUP(AB45,$A$45:$I$48,2,FALSE)</f>
        <v>9</v>
      </c>
      <c r="AD45" s="22">
        <f t="shared" ref="AD45:AD48" si="148">VLOOKUP(AB45,$A$45:$I$48,9,FALSE)</f>
        <v>11</v>
      </c>
      <c r="AE45" s="22">
        <f t="shared" ref="AE45:AE48" si="149">VLOOKUP(AB45,$A$45:$I$48,7,FALSE)</f>
        <v>11</v>
      </c>
      <c r="AF45" s="17" t="str">
        <f>IF(AND((AC45=AC46),(AD45=AD46),(AE46&gt;AE45)),AB46,AB45)</f>
        <v>Borussia Dortmund</v>
      </c>
      <c r="AG45" s="22">
        <f t="shared" ref="AG45:AG48" si="150">VLOOKUP(AF45,$A$45:$I$48,2,FALSE)</f>
        <v>9</v>
      </c>
      <c r="AH45" s="22">
        <f t="shared" ref="AH45:AH48" si="151">VLOOKUP(AF45,$A$45:$I$48,9,FALSE)</f>
        <v>11</v>
      </c>
      <c r="AI45" s="22">
        <f t="shared" ref="AI45:AI48" si="152">VLOOKUP(AF45,$A$45:$I$48,7,FALSE)</f>
        <v>11</v>
      </c>
      <c r="AJ45" s="17" t="str">
        <f t="shared" ref="AJ45:AJ46" si="153">IF(AND((AG45=AG47),(AH45=AH47),(AI47&gt;AI45)),AF47,AF45)</f>
        <v>Borussia Dortmund</v>
      </c>
      <c r="AK45" s="22">
        <f t="shared" ref="AK45:AK48" si="154">VLOOKUP(AJ45,$A$45:$I$48,2,FALSE)</f>
        <v>9</v>
      </c>
      <c r="AL45" s="22">
        <f t="shared" ref="AL45:AL48" si="155">VLOOKUP(AJ45,$A$45:$I$48,9,FALSE)</f>
        <v>11</v>
      </c>
      <c r="AM45" s="22">
        <f t="shared" ref="AM45:AM48" si="156">VLOOKUP(AJ45,$A$45:$I$48,7,FALSE)</f>
        <v>11</v>
      </c>
      <c r="AN45" s="17" t="str">
        <f>IF(AND((AK45=AK48),(AL45=AL48),(AM48&gt;AM45)),AJ48,AJ45)</f>
        <v>Borussia Dortmund</v>
      </c>
      <c r="AO45" s="22">
        <f t="shared" ref="AO45:AO48" si="157">VLOOKUP(AN45,$A$45:$I$48,2,FALSE)</f>
        <v>9</v>
      </c>
      <c r="AP45" s="22">
        <f t="shared" ref="AP45:AP48" si="158">VLOOKUP(AN45,$A$45:$I$48,9,FALSE)</f>
        <v>11</v>
      </c>
      <c r="AQ45" s="22">
        <f t="shared" ref="AQ45:AQ48" si="159">VLOOKUP(AN45,$A$45:$I$48,7,FALSE)</f>
        <v>11</v>
      </c>
    </row>
    <row r="46" spans="1:43" ht="12" customHeight="1">
      <c r="A46" s="16" t="s">
        <v>51</v>
      </c>
      <c r="B46" s="19">
        <f t="shared" si="135"/>
        <v>6</v>
      </c>
      <c r="C46" s="20">
        <f>COUNT('Tabela Jogos'!E44,'Tabela Jogos'!E47,'Tabela Jogos'!G48)</f>
        <v>3</v>
      </c>
      <c r="D46" s="20">
        <f>SUM(IF(('Tabela Jogos'!$E$44&gt;'Tabela Jogos'!$G$44),COUNT('Tabela Jogos'!$E$44)),IF(('Tabela Jogos'!$E$47&gt;'Tabela Jogos'!$G$47),COUNT('Tabela Jogos'!$E$47)),IF(('Tabela Jogos'!$G$48&gt;'Tabela Jogos'!$E$48),COUNT('Tabela Jogos'!$G$48)))</f>
        <v>2</v>
      </c>
      <c r="E46" s="20">
        <f>SUM(IF(('Tabela Jogos'!$E$44='Tabela Jogos'!$G$44),COUNT('Tabela Jogos'!$E$44)),IF(('Tabela Jogos'!$E$47='Tabela Jogos'!$G$47),COUNT('Tabela Jogos'!$E$47)),IF(('Tabela Jogos'!$G$48='Tabela Jogos'!$E$48),COUNT('Tabela Jogos'!$G$48)))</f>
        <v>0</v>
      </c>
      <c r="F46" s="20">
        <f>SUM(IF(('Tabela Jogos'!$E$44&lt;'Tabela Jogos'!$G$44),COUNT('Tabela Jogos'!$E$44)),IF(('Tabela Jogos'!$E$47&lt;'Tabela Jogos'!$G$47),COUNT('Tabela Jogos'!$E$47)),IF(('Tabela Jogos'!$G$48&lt;'Tabela Jogos'!$E$48),COUNT('Tabela Jogos'!$G$48)))</f>
        <v>1</v>
      </c>
      <c r="G46" s="20">
        <f>SUM((('Tabela Jogos'!E44+'Tabela Jogos'!E47)+'Tabela Jogos'!G48))</f>
        <v>2</v>
      </c>
      <c r="H46" s="20">
        <f>SUM((('Tabela Jogos'!G44+'Tabela Jogos'!G47)+'Tabela Jogos'!E48))</f>
        <v>2</v>
      </c>
      <c r="I46" s="20">
        <f t="shared" si="136"/>
        <v>0</v>
      </c>
      <c r="J46" s="19"/>
      <c r="K46" s="17" t="str">
        <f>IF((B46&lt;=B45),A46,A45)</f>
        <v>Fluminense</v>
      </c>
      <c r="L46" s="22">
        <f t="shared" si="137"/>
        <v>6</v>
      </c>
      <c r="M46" s="17"/>
      <c r="N46" s="17" t="str">
        <f t="shared" si="138"/>
        <v>Fluminense</v>
      </c>
      <c r="O46" s="22">
        <f t="shared" si="139"/>
        <v>6</v>
      </c>
      <c r="P46" s="17"/>
      <c r="Q46" s="17" t="str">
        <f>IF((O46&gt;=O47),N46,N47)</f>
        <v>Fluminense</v>
      </c>
      <c r="R46" s="22">
        <f t="shared" si="140"/>
        <v>6</v>
      </c>
      <c r="S46" s="22">
        <f t="shared" si="141"/>
        <v>0</v>
      </c>
      <c r="T46" s="17"/>
      <c r="U46" s="17" t="str">
        <f>IF(AND((R45=R46),(S46&gt;S45)),Q45,Q46)</f>
        <v>Fluminense</v>
      </c>
      <c r="V46" s="22">
        <f t="shared" si="142"/>
        <v>6</v>
      </c>
      <c r="W46" s="22">
        <f t="shared" si="143"/>
        <v>0</v>
      </c>
      <c r="X46" s="17" t="str">
        <f t="shared" si="144"/>
        <v>Fluminense</v>
      </c>
      <c r="Y46" s="22">
        <f t="shared" si="145"/>
        <v>6</v>
      </c>
      <c r="Z46" s="22">
        <f t="shared" si="146"/>
        <v>0</v>
      </c>
      <c r="AA46" s="17"/>
      <c r="AB46" s="17" t="str">
        <f>IF(AND((Y46=Y47),(Z47&gt;Z46)),X47,X46)</f>
        <v>Fluminense</v>
      </c>
      <c r="AC46" s="22">
        <f t="shared" si="147"/>
        <v>6</v>
      </c>
      <c r="AD46" s="22">
        <f t="shared" si="148"/>
        <v>0</v>
      </c>
      <c r="AE46" s="22">
        <f t="shared" si="149"/>
        <v>2</v>
      </c>
      <c r="AF46" s="17" t="str">
        <f>IF(AND((AC46=AC45),(AD46=AD45),(AE46&gt;AE45)),AB45,AB46)</f>
        <v>Fluminense</v>
      </c>
      <c r="AG46" s="22">
        <f t="shared" si="150"/>
        <v>6</v>
      </c>
      <c r="AH46" s="22">
        <f t="shared" si="151"/>
        <v>0</v>
      </c>
      <c r="AI46" s="22">
        <f t="shared" si="152"/>
        <v>2</v>
      </c>
      <c r="AJ46" s="17" t="str">
        <f t="shared" si="153"/>
        <v>Fluminense</v>
      </c>
      <c r="AK46" s="22">
        <f t="shared" si="154"/>
        <v>6</v>
      </c>
      <c r="AL46" s="22">
        <f t="shared" si="155"/>
        <v>0</v>
      </c>
      <c r="AM46" s="22">
        <f t="shared" si="156"/>
        <v>2</v>
      </c>
      <c r="AN46" s="17" t="str">
        <f>IF(AND((AK46=AK47),(AL46=AL47),(AM47&gt;AM46)),AJ47,AJ46)</f>
        <v>Fluminense</v>
      </c>
      <c r="AO46" s="22">
        <f t="shared" si="157"/>
        <v>6</v>
      </c>
      <c r="AP46" s="22">
        <f t="shared" si="158"/>
        <v>0</v>
      </c>
      <c r="AQ46" s="22">
        <f t="shared" si="159"/>
        <v>2</v>
      </c>
    </row>
    <row r="47" spans="1:43" ht="12" customHeight="1">
      <c r="A47" s="16" t="s">
        <v>55</v>
      </c>
      <c r="B47" s="19">
        <f t="shared" si="135"/>
        <v>1</v>
      </c>
      <c r="C47" s="20">
        <f>COUNT('Tabela Jogos'!G45,'Tabela Jogos'!E46,'Tabela Jogos'!E48)</f>
        <v>3</v>
      </c>
      <c r="D47" s="20">
        <f>SUM(IF(('Tabela Jogos'!$G$45&gt;'Tabela Jogos'!$E$45),COUNT('Tabela Jogos'!$G$45)),IF(('Tabela Jogos'!$E$46&gt;'Tabela Jogos'!$G$46),COUNT('Tabela Jogos'!$E$46)),IF(('Tabela Jogos'!$E$48&gt;'Tabela Jogos'!$G$48),COUNT('Tabela Jogos'!$E$48)))</f>
        <v>0</v>
      </c>
      <c r="E47" s="20">
        <f>SUM(IF(('Tabela Jogos'!$G$45='Tabela Jogos'!$E$45),COUNT('Tabela Jogos'!$G$45)),IF(('Tabela Jogos'!$E$46='Tabela Jogos'!$G$46),COUNT('Tabela Jogos'!$E$46)),IF(('Tabela Jogos'!$E$48='Tabela Jogos'!$G$48),COUNT('Tabela Jogos'!$E$48)))</f>
        <v>1</v>
      </c>
      <c r="F47" s="20">
        <f>SUM(IF(('Tabela Jogos'!$G$45&lt;'Tabela Jogos'!$E$45),COUNT('Tabela Jogos'!$G$45)),IF(('Tabela Jogos'!$E$46&lt;'Tabela Jogos'!$G$46),COUNT('Tabela Jogos'!$E$46)),IF(('Tabela Jogos'!$E$48&lt;'Tabela Jogos'!$G$48),COUNT('Tabela Jogos'!$E$48)))</f>
        <v>2</v>
      </c>
      <c r="G47" s="20">
        <f>SUM((('Tabela Jogos'!G45+'Tabela Jogos'!E46)+'Tabela Jogos'!E48))</f>
        <v>1</v>
      </c>
      <c r="H47" s="20">
        <f>SUM((('Tabela Jogos'!E45+'Tabela Jogos'!G46)+'Tabela Jogos'!G48))</f>
        <v>6</v>
      </c>
      <c r="I47" s="20">
        <f t="shared" si="136"/>
        <v>-5</v>
      </c>
      <c r="J47" s="19"/>
      <c r="K47" s="17" t="str">
        <f>IF((B47&gt;=B48),A47,A48)</f>
        <v>Mamelodi Sundowns</v>
      </c>
      <c r="L47" s="22">
        <f t="shared" si="137"/>
        <v>1</v>
      </c>
      <c r="M47" s="17"/>
      <c r="N47" s="17" t="str">
        <f t="shared" ref="N47:N48" si="160">IF((L47&lt;=L45),K47,K45)</f>
        <v>Mamelodi Sundowns</v>
      </c>
      <c r="O47" s="22">
        <f t="shared" si="139"/>
        <v>1</v>
      </c>
      <c r="P47" s="17"/>
      <c r="Q47" s="17" t="str">
        <f>IF((O47&lt;=O46),N47,N46)</f>
        <v>Mamelodi Sundowns</v>
      </c>
      <c r="R47" s="22">
        <f t="shared" si="140"/>
        <v>1</v>
      </c>
      <c r="S47" s="22">
        <f t="shared" si="141"/>
        <v>-5</v>
      </c>
      <c r="T47" s="17"/>
      <c r="U47" s="17" t="str">
        <f>IF(AND((R47=R48),(S48&gt;S47)),Q48,Q47)</f>
        <v>Mamelodi Sundowns</v>
      </c>
      <c r="V47" s="22">
        <f t="shared" si="142"/>
        <v>1</v>
      </c>
      <c r="W47" s="22">
        <f t="shared" si="143"/>
        <v>-5</v>
      </c>
      <c r="X47" s="17" t="str">
        <f t="shared" ref="X47:X48" si="161">IF(AND((V45=V47),(W47&gt;W45)),U45,U47)</f>
        <v>Mamelodi Sundowns</v>
      </c>
      <c r="Y47" s="22">
        <f t="shared" si="145"/>
        <v>1</v>
      </c>
      <c r="Z47" s="22">
        <f t="shared" si="146"/>
        <v>-5</v>
      </c>
      <c r="AA47" s="17"/>
      <c r="AB47" s="17" t="str">
        <f>IF(AND((Y47=Y46),(Z47&gt;Z46)),X46,X47)</f>
        <v>Mamelodi Sundowns</v>
      </c>
      <c r="AC47" s="22">
        <f t="shared" si="147"/>
        <v>1</v>
      </c>
      <c r="AD47" s="22">
        <f t="shared" si="148"/>
        <v>-5</v>
      </c>
      <c r="AE47" s="22">
        <f t="shared" si="149"/>
        <v>1</v>
      </c>
      <c r="AF47" s="17" t="str">
        <f>IF(AND((AC47=AC48),(AD47=AD48),(AE48&gt;AE47)),AB48,AB47)</f>
        <v>Mamelodi Sundowns</v>
      </c>
      <c r="AG47" s="22">
        <f t="shared" si="150"/>
        <v>1</v>
      </c>
      <c r="AH47" s="22">
        <f t="shared" si="151"/>
        <v>-5</v>
      </c>
      <c r="AI47" s="22">
        <f t="shared" si="152"/>
        <v>1</v>
      </c>
      <c r="AJ47" s="17" t="str">
        <f>IF(AND((AG47=AG45),(AH47=AH45),(AI47&gt;AI45)),AF45,AF47)</f>
        <v>Mamelodi Sundowns</v>
      </c>
      <c r="AK47" s="22">
        <f t="shared" si="154"/>
        <v>1</v>
      </c>
      <c r="AL47" s="22">
        <f t="shared" si="155"/>
        <v>-5</v>
      </c>
      <c r="AM47" s="22">
        <f t="shared" si="156"/>
        <v>1</v>
      </c>
      <c r="AN47" s="17" t="str">
        <f>IF(AND((AK47=AK46),(AL47=AL46),(AM47&gt;AM46)),AJ46,AJ47)</f>
        <v>Mamelodi Sundowns</v>
      </c>
      <c r="AO47" s="22">
        <f t="shared" si="157"/>
        <v>1</v>
      </c>
      <c r="AP47" s="22">
        <f t="shared" si="158"/>
        <v>-5</v>
      </c>
      <c r="AQ47" s="22">
        <f t="shared" si="159"/>
        <v>1</v>
      </c>
    </row>
    <row r="48" spans="1:43" ht="12" customHeight="1">
      <c r="A48" s="16" t="s">
        <v>54</v>
      </c>
      <c r="B48" s="19">
        <f t="shared" si="135"/>
        <v>1</v>
      </c>
      <c r="C48" s="20">
        <f>COUNT('Tabela Jogos'!E45,'Tabela Jogos'!G47,'Tabela Jogos'!G49)</f>
        <v>3</v>
      </c>
      <c r="D48" s="20">
        <f>SUM(IF(('Tabela Jogos'!$E$45&gt;'Tabela Jogos'!$G$45),COUNT('Tabela Jogos'!$E$45)),IF(('Tabela Jogos'!$G$47&gt;'Tabela Jogos'!$E$47),COUNT('Tabela Jogos'!$G$47)),IF(('Tabela Jogos'!$G$49&gt;'Tabela Jogos'!$E$49),COUNT('Tabela Jogos'!$G$49)))</f>
        <v>0</v>
      </c>
      <c r="E48" s="20">
        <f>SUM(IF(('Tabela Jogos'!$E$45='Tabela Jogos'!$G$45),COUNT('Tabela Jogos'!$E$45)),IF(('Tabela Jogos'!$G$47='Tabela Jogos'!$E$47),COUNT('Tabela Jogos'!$G$47)),IF(('Tabela Jogos'!$G$49='Tabela Jogos'!$E$49),COUNT('Tabela Jogos'!$G$49)))</f>
        <v>1</v>
      </c>
      <c r="F48" s="20">
        <f>SUM(IF(('Tabela Jogos'!$E$45&lt;'Tabela Jogos'!$G$45),COUNT('Tabela Jogos'!$E$45)),IF(('Tabela Jogos'!$G$47&lt;'Tabela Jogos'!$E$47),COUNT('Tabela Jogos'!$G$47)),IF(('Tabela Jogos'!$G$49&lt;'Tabela Jogos'!$E$49),COUNT('Tabela Jogos'!$G$49)))</f>
        <v>2</v>
      </c>
      <c r="G48" s="20">
        <f>SUM((('Tabela Jogos'!E45+'Tabela Jogos'!G47)+'Tabela Jogos'!G49))</f>
        <v>1</v>
      </c>
      <c r="H48" s="20">
        <f>SUM((('Tabela Jogos'!G45+'Tabela Jogos'!E47)+'Tabela Jogos'!E49))</f>
        <v>7</v>
      </c>
      <c r="I48" s="20">
        <f t="shared" si="136"/>
        <v>-6</v>
      </c>
      <c r="J48" s="19"/>
      <c r="K48" s="17" t="str">
        <f>IF((B48&lt;=B47),A48,A47)</f>
        <v>Ulsan HD</v>
      </c>
      <c r="L48" s="22">
        <f t="shared" si="137"/>
        <v>1</v>
      </c>
      <c r="M48" s="17"/>
      <c r="N48" s="17" t="str">
        <f t="shared" si="160"/>
        <v>Ulsan HD</v>
      </c>
      <c r="O48" s="22">
        <f t="shared" si="139"/>
        <v>1</v>
      </c>
      <c r="P48" s="17"/>
      <c r="Q48" s="17" t="str">
        <f>IF((O48&lt;=O45),N48,N45)</f>
        <v>Ulsan HD</v>
      </c>
      <c r="R48" s="22">
        <f t="shared" si="140"/>
        <v>1</v>
      </c>
      <c r="S48" s="22">
        <f t="shared" si="141"/>
        <v>-6</v>
      </c>
      <c r="T48" s="17"/>
      <c r="U48" s="17" t="str">
        <f>IF(AND((R47=R48),(S48&gt;S47)),Q47,Q48)</f>
        <v>Ulsan HD</v>
      </c>
      <c r="V48" s="22">
        <f t="shared" si="142"/>
        <v>1</v>
      </c>
      <c r="W48" s="22">
        <f t="shared" si="143"/>
        <v>-6</v>
      </c>
      <c r="X48" s="17" t="str">
        <f t="shared" si="161"/>
        <v>Ulsan HD</v>
      </c>
      <c r="Y48" s="22">
        <f t="shared" si="145"/>
        <v>1</v>
      </c>
      <c r="Z48" s="22">
        <f t="shared" si="146"/>
        <v>-6</v>
      </c>
      <c r="AA48" s="17"/>
      <c r="AB48" s="17" t="str">
        <f>IF(AND((Y48=Y45),(Z48&gt;Z45)),X45,X48)</f>
        <v>Ulsan HD</v>
      </c>
      <c r="AC48" s="22">
        <f t="shared" si="147"/>
        <v>1</v>
      </c>
      <c r="AD48" s="22">
        <f t="shared" si="148"/>
        <v>-6</v>
      </c>
      <c r="AE48" s="22">
        <f t="shared" si="149"/>
        <v>1</v>
      </c>
      <c r="AF48" s="17" t="str">
        <f>IF(AND((AC48=AC47),(AD48=AD47),(AE48&gt;AE47)),X47,X48)</f>
        <v>Ulsan HD</v>
      </c>
      <c r="AG48" s="22">
        <f t="shared" si="150"/>
        <v>1</v>
      </c>
      <c r="AH48" s="22">
        <f t="shared" si="151"/>
        <v>-6</v>
      </c>
      <c r="AI48" s="22">
        <f t="shared" si="152"/>
        <v>1</v>
      </c>
      <c r="AJ48" s="17" t="str">
        <f>IF(AND((AG46=AG48),(AH46=AH48),(AI48&gt;AI46)),AF46,AF48)</f>
        <v>Ulsan HD</v>
      </c>
      <c r="AK48" s="22">
        <f t="shared" si="154"/>
        <v>1</v>
      </c>
      <c r="AL48" s="22">
        <f t="shared" si="155"/>
        <v>-6</v>
      </c>
      <c r="AM48" s="22">
        <f t="shared" si="156"/>
        <v>1</v>
      </c>
      <c r="AN48" s="17" t="str">
        <f>IF(AND((AK48=AK45),(AL48=AL45),(AM48&gt;AM45)),AJ45,AJ48)</f>
        <v>Ulsan HD</v>
      </c>
      <c r="AO48" s="22">
        <f t="shared" si="157"/>
        <v>1</v>
      </c>
      <c r="AP48" s="22">
        <f t="shared" si="158"/>
        <v>-6</v>
      </c>
      <c r="AQ48" s="22">
        <f t="shared" si="159"/>
        <v>1</v>
      </c>
    </row>
    <row r="49" spans="1:43" ht="12" customHeight="1">
      <c r="A49" s="16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</row>
    <row r="50" spans="1:43" ht="12" customHeight="1">
      <c r="A50" s="16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</row>
    <row r="51" spans="1:43" ht="12" customHeight="1">
      <c r="A51" s="16"/>
      <c r="B51" s="137" t="s">
        <v>90</v>
      </c>
      <c r="C51" s="116"/>
      <c r="D51" s="116"/>
      <c r="E51" s="116"/>
      <c r="F51" s="116"/>
      <c r="G51" s="116"/>
      <c r="H51" s="116"/>
      <c r="I51" s="116"/>
      <c r="J51" s="17"/>
      <c r="K51" s="17" t="s">
        <v>80</v>
      </c>
      <c r="L51" s="17"/>
      <c r="M51" s="17"/>
      <c r="N51" s="17" t="s">
        <v>81</v>
      </c>
      <c r="O51" s="17"/>
      <c r="P51" s="17"/>
      <c r="Q51" s="17" t="s">
        <v>82</v>
      </c>
      <c r="R51" s="17"/>
      <c r="S51" s="17"/>
      <c r="T51" s="17"/>
      <c r="U51" s="17" t="s">
        <v>82</v>
      </c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</row>
    <row r="52" spans="1:43" ht="12" customHeight="1">
      <c r="A52" s="18" t="s">
        <v>83</v>
      </c>
      <c r="B52" s="19" t="s">
        <v>12</v>
      </c>
      <c r="C52" s="20" t="s">
        <v>13</v>
      </c>
      <c r="D52" s="20" t="s">
        <v>14</v>
      </c>
      <c r="E52" s="20" t="s">
        <v>15</v>
      </c>
      <c r="F52" s="20" t="s">
        <v>16</v>
      </c>
      <c r="G52" s="20" t="s">
        <v>17</v>
      </c>
      <c r="H52" s="20" t="s">
        <v>18</v>
      </c>
      <c r="I52" s="20" t="s">
        <v>19</v>
      </c>
      <c r="J52" s="21"/>
      <c r="K52" s="17"/>
      <c r="L52" s="17" t="s">
        <v>12</v>
      </c>
      <c r="M52" s="17"/>
      <c r="N52" s="17"/>
      <c r="O52" s="17" t="s">
        <v>84</v>
      </c>
      <c r="P52" s="17"/>
      <c r="Q52" s="17"/>
      <c r="R52" s="17" t="s">
        <v>12</v>
      </c>
      <c r="S52" s="17" t="s">
        <v>19</v>
      </c>
      <c r="T52" s="17"/>
      <c r="U52" s="17"/>
      <c r="V52" s="17" t="s">
        <v>12</v>
      </c>
      <c r="W52" s="17" t="s">
        <v>19</v>
      </c>
      <c r="X52" s="17"/>
      <c r="Y52" s="17" t="s">
        <v>12</v>
      </c>
      <c r="Z52" s="17" t="s">
        <v>19</v>
      </c>
      <c r="AA52" s="17"/>
      <c r="AB52" s="17"/>
      <c r="AC52" s="17" t="s">
        <v>12</v>
      </c>
      <c r="AD52" s="17" t="s">
        <v>19</v>
      </c>
      <c r="AE52" s="17" t="s">
        <v>17</v>
      </c>
      <c r="AF52" s="17"/>
      <c r="AG52" s="17" t="s">
        <v>12</v>
      </c>
      <c r="AH52" s="17" t="s">
        <v>19</v>
      </c>
      <c r="AI52" s="17" t="s">
        <v>17</v>
      </c>
      <c r="AJ52" s="17"/>
      <c r="AK52" s="17" t="s">
        <v>12</v>
      </c>
      <c r="AL52" s="17" t="s">
        <v>19</v>
      </c>
      <c r="AM52" s="17" t="s">
        <v>17</v>
      </c>
      <c r="AN52" s="17"/>
      <c r="AO52" s="17" t="s">
        <v>12</v>
      </c>
      <c r="AP52" s="17" t="s">
        <v>19</v>
      </c>
      <c r="AQ52" s="17" t="s">
        <v>17</v>
      </c>
    </row>
    <row r="53" spans="1:43" ht="12" customHeight="1">
      <c r="A53" s="16" t="s">
        <v>60</v>
      </c>
      <c r="B53" s="19">
        <f t="shared" ref="B53:B56" si="162">SUM((D53*3))+E53</f>
        <v>1</v>
      </c>
      <c r="C53" s="20">
        <f>COUNT('Tabela Jogos'!E53,'Tabela Jogos'!G55,'Tabela Jogos'!G57)</f>
        <v>3</v>
      </c>
      <c r="D53" s="20">
        <f>SUM(IF(('Tabela Jogos'!$E$53&gt;'Tabela Jogos'!$G$53),COUNT('Tabela Jogos'!$E$53)),IF(('Tabela Jogos'!$G$55&gt;'Tabela Jogos'!$E$55),COUNT('Tabela Jogos'!$G$55)),IF(('Tabela Jogos'!$G$57&gt;'Tabela Jogos'!$E$57),COUNT('Tabela Jogos'!$G$57)))</f>
        <v>0</v>
      </c>
      <c r="E53" s="20">
        <f>SUM(IF(('Tabela Jogos'!$E$53='Tabela Jogos'!$G$53),COUNT('Tabela Jogos'!$E$53)),IF(('Tabela Jogos'!$G$55='Tabela Jogos'!$E$55),COUNT('Tabela Jogos'!$G$55)),IF(('Tabela Jogos'!$G$57='Tabela Jogos'!$E$57),COUNT('Tabela Jogos'!$G$57)))</f>
        <v>1</v>
      </c>
      <c r="F53" s="20">
        <f>SUM(IF(('Tabela Jogos'!$E$53&lt;'Tabela Jogos'!$G$53),COUNT('Tabela Jogos'!$E$53)),IF(('Tabela Jogos'!$G$55&lt;'Tabela Jogos'!$E$55),COUNT('Tabela Jogos'!$G$55)),IF(('Tabela Jogos'!$G$57&lt;'Tabela Jogos'!$E$57),COUNT('Tabela Jogos'!$G$57)))</f>
        <v>2</v>
      </c>
      <c r="G53" s="20">
        <f>SUM((('Tabela Jogos'!E53+'Tabela Jogos'!G55)+'Tabela Jogos'!G57))</f>
        <v>1</v>
      </c>
      <c r="H53" s="20">
        <f>SUM((('Tabela Jogos'!G53+'Tabela Jogos'!E55)+'Tabela Jogos'!E57))</f>
        <v>7</v>
      </c>
      <c r="I53" s="20">
        <f t="shared" ref="I53:I56" si="163">SUM((G53-H53))</f>
        <v>-6</v>
      </c>
      <c r="J53" s="19"/>
      <c r="K53" s="17" t="str">
        <f>IF((B53&gt;=B54),A53,A54)</f>
        <v>Juventus</v>
      </c>
      <c r="L53" s="22">
        <f t="shared" ref="L53:L56" si="164">VLOOKUP(K53,$A$53:$I$56,2,FALSE)</f>
        <v>6</v>
      </c>
      <c r="M53" s="17"/>
      <c r="N53" s="17" t="str">
        <f t="shared" ref="N53:N54" si="165">IF((L53&gt;=L55),K53,K55)</f>
        <v>Manchester City</v>
      </c>
      <c r="O53" s="22">
        <f t="shared" ref="O53:O56" si="166">VLOOKUP(N53,$A$53:$I$56,2,FALSE)</f>
        <v>9</v>
      </c>
      <c r="P53" s="17"/>
      <c r="Q53" s="17" t="str">
        <f>IF((O53&gt;=O56),N53,N56)</f>
        <v>Manchester City</v>
      </c>
      <c r="R53" s="22">
        <f t="shared" ref="R53:R56" si="167">VLOOKUP(Q53,$A$53:$I$56,2,FALSE)</f>
        <v>9</v>
      </c>
      <c r="S53" s="22">
        <f t="shared" ref="S53:S56" si="168">VLOOKUP(Q53,$A$53:$I$56,9,FALSE)</f>
        <v>8</v>
      </c>
      <c r="T53" s="17"/>
      <c r="U53" s="17" t="str">
        <f>IF(AND((R53=R54),(S54&gt;S53)),Q54,Q53)</f>
        <v>Manchester City</v>
      </c>
      <c r="V53" s="22">
        <f t="shared" ref="V53:V56" si="169">VLOOKUP(U53,$A$53:$I$56,2,FALSE)</f>
        <v>9</v>
      </c>
      <c r="W53" s="22">
        <f t="shared" ref="W53:W56" si="170">VLOOKUP(U53,$A$53:$I$56,9,FALSE)</f>
        <v>8</v>
      </c>
      <c r="X53" s="17" t="str">
        <f t="shared" ref="X53:X54" si="171">IF(AND((V53=V55),(W55&gt;W53)),U55,U53)</f>
        <v>Manchester City</v>
      </c>
      <c r="Y53" s="22">
        <f t="shared" ref="Y53:Y56" si="172">VLOOKUP(X53,$A$53:$I$56,2,FALSE)</f>
        <v>9</v>
      </c>
      <c r="Z53" s="22">
        <f t="shared" ref="Z53:Z56" si="173">VLOOKUP(X53,$A$53:$I$56,9,FALSE)</f>
        <v>8</v>
      </c>
      <c r="AA53" s="17"/>
      <c r="AB53" s="17" t="str">
        <f>IF(AND((Y53=Y56),(Z56&gt;Z53)),X56,X53)</f>
        <v>Manchester City</v>
      </c>
      <c r="AC53" s="22">
        <f t="shared" ref="AC53:AC56" si="174">VLOOKUP(AB53,$A$53:$I$56,2,FALSE)</f>
        <v>9</v>
      </c>
      <c r="AD53" s="22">
        <f t="shared" ref="AD53:AD56" si="175">VLOOKUP(AB53,$A$53:$I$56,9,FALSE)</f>
        <v>8</v>
      </c>
      <c r="AE53" s="22">
        <f t="shared" ref="AE53:AE56" si="176">VLOOKUP(AB53,$A$53:$I$56,7,FALSE)</f>
        <v>10</v>
      </c>
      <c r="AF53" s="17" t="str">
        <f>IF(AND((AC53=AC54),(AD53=AD54),(AE54&gt;AE53)),AB54,AB53)</f>
        <v>Manchester City</v>
      </c>
      <c r="AG53" s="22">
        <f t="shared" ref="AG53:AG56" si="177">VLOOKUP(AF53,$A$53:$I$56,2,FALSE)</f>
        <v>9</v>
      </c>
      <c r="AH53" s="22">
        <f t="shared" ref="AH53:AH56" si="178">VLOOKUP(AF53,$A$53:$I$56,9,FALSE)</f>
        <v>8</v>
      </c>
      <c r="AI53" s="22">
        <f t="shared" ref="AI53:AI56" si="179">VLOOKUP(AF53,$A$53:$I$56,7,FALSE)</f>
        <v>10</v>
      </c>
      <c r="AJ53" s="17" t="str">
        <f t="shared" ref="AJ53:AJ54" si="180">IF(AND((AG53=AG55),(AH53=AH55),(AI55&gt;AI53)),AF55,AF53)</f>
        <v>Manchester City</v>
      </c>
      <c r="AK53" s="22">
        <f t="shared" ref="AK53:AK56" si="181">VLOOKUP(AJ53,$A$53:$I$56,2,FALSE)</f>
        <v>9</v>
      </c>
      <c r="AL53" s="22">
        <f t="shared" ref="AL53:AL56" si="182">VLOOKUP(AJ53,$A$53:$I$56,9,FALSE)</f>
        <v>8</v>
      </c>
      <c r="AM53" s="22">
        <f t="shared" ref="AM53:AM56" si="183">VLOOKUP(AJ53,$A$53:$I$56,7,FALSE)</f>
        <v>10</v>
      </c>
      <c r="AN53" s="17" t="str">
        <f>IF(AND((AK53=AK56),(AL53=AL56),(AM56&gt;AM53)),AJ56,AJ53)</f>
        <v>Manchester City</v>
      </c>
      <c r="AO53" s="22">
        <f t="shared" ref="AO53:AO56" si="184">VLOOKUP(AN53,$A$53:$I$56,2,FALSE)</f>
        <v>9</v>
      </c>
      <c r="AP53" s="22">
        <f t="shared" ref="AP53:AP56" si="185">VLOOKUP(AN53,$A$53:$I$56,9,FALSE)</f>
        <v>8</v>
      </c>
      <c r="AQ53" s="22">
        <f t="shared" ref="AQ53:AQ56" si="186">VLOOKUP(AN53,$A$53:$I$56,7,FALSE)</f>
        <v>10</v>
      </c>
    </row>
    <row r="54" spans="1:43" ht="12" customHeight="1">
      <c r="A54" s="16" t="s">
        <v>61</v>
      </c>
      <c r="B54" s="19">
        <f t="shared" si="162"/>
        <v>6</v>
      </c>
      <c r="C54" s="20">
        <f>COUNT('Tabela Jogos'!G53,'Tabela Jogos'!E54,'Tabela Jogos'!E56)</f>
        <v>3</v>
      </c>
      <c r="D54" s="20">
        <f>SUM(IF(('Tabela Jogos'!$G$53&gt;'Tabela Jogos'!$E$53),COUNT('Tabela Jogos'!$G$53)),IF(('Tabela Jogos'!$E$54&gt;'Tabela Jogos'!$G$54),COUNT('Tabela Jogos'!$E$54)),IF(('Tabela Jogos'!$E$56&gt;'Tabela Jogos'!$G$56),COUNT('Tabela Jogos'!$E$56)))</f>
        <v>2</v>
      </c>
      <c r="E54" s="20">
        <f>SUM(IF(('Tabela Jogos'!$G$53='Tabela Jogos'!$E$53),COUNT('Tabela Jogos'!$G$53)),IF(('Tabela Jogos'!$E$54='Tabela Jogos'!$G$54),COUNT('Tabela Jogos'!$E$54)),IF(('Tabela Jogos'!$E$56='Tabela Jogos'!$G$56),COUNT('Tabela Jogos'!$E$56)))</f>
        <v>0</v>
      </c>
      <c r="F54" s="20">
        <f>SUM(IF(('Tabela Jogos'!$G$53&lt;'Tabela Jogos'!$E$53),COUNT('Tabela Jogos'!$G$53)),IF(('Tabela Jogos'!$E$54&lt;'Tabela Jogos'!$G$54),COUNT('Tabela Jogos'!$E$54)),IF(('Tabela Jogos'!$E$56&lt;'Tabela Jogos'!$G$56),COUNT('Tabela Jogos'!$E$56)))</f>
        <v>1</v>
      </c>
      <c r="G54" s="20">
        <f>SUM((('Tabela Jogos'!G53+'Tabela Jogos'!E54)+'Tabela Jogos'!E56))</f>
        <v>7</v>
      </c>
      <c r="H54" s="20">
        <f>SUM((('Tabela Jogos'!E53+'Tabela Jogos'!G54)+'Tabela Jogos'!G56))</f>
        <v>3</v>
      </c>
      <c r="I54" s="20">
        <f t="shared" si="163"/>
        <v>4</v>
      </c>
      <c r="J54" s="19"/>
      <c r="K54" s="17" t="str">
        <f>IF((B54&lt;=B53),A54,A53)</f>
        <v>Al-Ain</v>
      </c>
      <c r="L54" s="22">
        <f t="shared" si="164"/>
        <v>1</v>
      </c>
      <c r="M54" s="17"/>
      <c r="N54" s="17" t="str">
        <f t="shared" si="165"/>
        <v>Al-Ain</v>
      </c>
      <c r="O54" s="22">
        <f t="shared" si="166"/>
        <v>1</v>
      </c>
      <c r="P54" s="17"/>
      <c r="Q54" s="17" t="str">
        <f>IF((O54&gt;=O55),N54,N55)</f>
        <v>Juventus</v>
      </c>
      <c r="R54" s="22">
        <f t="shared" si="167"/>
        <v>6</v>
      </c>
      <c r="S54" s="22">
        <f t="shared" si="168"/>
        <v>4</v>
      </c>
      <c r="T54" s="17"/>
      <c r="U54" s="17" t="str">
        <f>IF(AND((R53=R54),(S54&gt;S53)),Q53,Q54)</f>
        <v>Juventus</v>
      </c>
      <c r="V54" s="22">
        <f t="shared" si="169"/>
        <v>6</v>
      </c>
      <c r="W54" s="22">
        <f t="shared" si="170"/>
        <v>4</v>
      </c>
      <c r="X54" s="17" t="str">
        <f t="shared" si="171"/>
        <v>Juventus</v>
      </c>
      <c r="Y54" s="22">
        <f t="shared" si="172"/>
        <v>6</v>
      </c>
      <c r="Z54" s="22">
        <f t="shared" si="173"/>
        <v>4</v>
      </c>
      <c r="AA54" s="17"/>
      <c r="AB54" s="17" t="str">
        <f>IF(AND((Y54=Y55),(Z55&gt;Z54)),X55,X54)</f>
        <v>Juventus</v>
      </c>
      <c r="AC54" s="22">
        <f t="shared" si="174"/>
        <v>6</v>
      </c>
      <c r="AD54" s="22">
        <f t="shared" si="175"/>
        <v>4</v>
      </c>
      <c r="AE54" s="22">
        <f t="shared" si="176"/>
        <v>7</v>
      </c>
      <c r="AF54" s="17" t="str">
        <f>IF(AND((AC54=AC53),(AD54=AD53),(AE54&gt;AE53)),AB53,AB54)</f>
        <v>Juventus</v>
      </c>
      <c r="AG54" s="22">
        <f t="shared" si="177"/>
        <v>6</v>
      </c>
      <c r="AH54" s="22">
        <f t="shared" si="178"/>
        <v>4</v>
      </c>
      <c r="AI54" s="22">
        <f t="shared" si="179"/>
        <v>7</v>
      </c>
      <c r="AJ54" s="17" t="str">
        <f t="shared" si="180"/>
        <v>Juventus</v>
      </c>
      <c r="AK54" s="22">
        <f t="shared" si="181"/>
        <v>6</v>
      </c>
      <c r="AL54" s="22">
        <f t="shared" si="182"/>
        <v>4</v>
      </c>
      <c r="AM54" s="22">
        <f t="shared" si="183"/>
        <v>7</v>
      </c>
      <c r="AN54" s="17" t="str">
        <f>IF(AND((AK54=AK55),(AL54=AL55),(AM55&gt;AM54)),AJ55,AJ54)</f>
        <v>Juventus</v>
      </c>
      <c r="AO54" s="22">
        <f t="shared" si="184"/>
        <v>6</v>
      </c>
      <c r="AP54" s="22">
        <f t="shared" si="185"/>
        <v>4</v>
      </c>
      <c r="AQ54" s="22">
        <f t="shared" si="186"/>
        <v>7</v>
      </c>
    </row>
    <row r="55" spans="1:43" ht="12" customHeight="1">
      <c r="A55" s="16" t="s">
        <v>57</v>
      </c>
      <c r="B55" s="19">
        <f t="shared" si="162"/>
        <v>9</v>
      </c>
      <c r="C55" s="20">
        <f>COUNT('Tabela Jogos'!E52,'Tabela Jogos'!E55,'Tabela Jogos'!G56)</f>
        <v>3</v>
      </c>
      <c r="D55" s="20">
        <f>SUM(IF(('Tabela Jogos'!$E$52&gt;'Tabela Jogos'!$G$52),COUNT('Tabela Jogos'!$E$52)),IF(('Tabela Jogos'!$E$55&gt;'Tabela Jogos'!$G$55),COUNT('Tabela Jogos'!$E$55)),IF(('Tabela Jogos'!$G$56&gt;'Tabela Jogos'!$E$56),COUNT('Tabela Jogos'!$G$56)))</f>
        <v>3</v>
      </c>
      <c r="E55" s="20">
        <f>SUM(IF(('Tabela Jogos'!$E$52='Tabela Jogos'!$G$52),COUNT('Tabela Jogos'!$E$52)),IF(('Tabela Jogos'!$E$55='Tabela Jogos'!$G$55),COUNT('Tabela Jogos'!$E$55)),IF(('Tabela Jogos'!$G$56='Tabela Jogos'!$E$56),COUNT('Tabela Jogos'!$G$56)))</f>
        <v>0</v>
      </c>
      <c r="F55" s="20">
        <f>SUM(IF(('Tabela Jogos'!$E$52&lt;'Tabela Jogos'!$G$52),COUNT('Tabela Jogos'!$E$52)),IF(('Tabela Jogos'!$E$55&lt;'Tabela Jogos'!$G$55),COUNT('Tabela Jogos'!$E$55)),IF(('Tabela Jogos'!$G$56&lt;'Tabela Jogos'!$E$56),COUNT('Tabela Jogos'!$G$56)))</f>
        <v>0</v>
      </c>
      <c r="G55" s="20">
        <f>SUM((('Tabela Jogos'!E52+'Tabela Jogos'!E55)+'Tabela Jogos'!G56))</f>
        <v>10</v>
      </c>
      <c r="H55" s="20">
        <f>SUM((('Tabela Jogos'!G52+'Tabela Jogos'!G55)+'Tabela Jogos'!E56))</f>
        <v>2</v>
      </c>
      <c r="I55" s="20">
        <f t="shared" si="163"/>
        <v>8</v>
      </c>
      <c r="J55" s="19"/>
      <c r="K55" s="17" t="str">
        <f>IF((B55&gt;=B56),A55,A56)</f>
        <v>Manchester City</v>
      </c>
      <c r="L55" s="22">
        <f t="shared" si="164"/>
        <v>9</v>
      </c>
      <c r="M55" s="17"/>
      <c r="N55" s="17" t="str">
        <f t="shared" ref="N55:N56" si="187">IF((L55&lt;=L53),K55,K53)</f>
        <v>Juventus</v>
      </c>
      <c r="O55" s="22">
        <f t="shared" si="166"/>
        <v>6</v>
      </c>
      <c r="P55" s="17"/>
      <c r="Q55" s="17" t="str">
        <f>IF((O55&lt;=O54),N55,N54)</f>
        <v>Al-Ain</v>
      </c>
      <c r="R55" s="22">
        <f t="shared" si="167"/>
        <v>1</v>
      </c>
      <c r="S55" s="22">
        <f t="shared" si="168"/>
        <v>-6</v>
      </c>
      <c r="T55" s="17"/>
      <c r="U55" s="17" t="str">
        <f>IF(AND((R55=R56),(S56&gt;S55)),Q56,Q55)</f>
        <v>Al-Ain</v>
      </c>
      <c r="V55" s="22">
        <f t="shared" si="169"/>
        <v>1</v>
      </c>
      <c r="W55" s="22">
        <f t="shared" si="170"/>
        <v>-6</v>
      </c>
      <c r="X55" s="17" t="str">
        <f t="shared" ref="X55:X56" si="188">IF(AND((V53=V55),(W55&gt;W53)),U53,U55)</f>
        <v>Al-Ain</v>
      </c>
      <c r="Y55" s="22">
        <f t="shared" si="172"/>
        <v>1</v>
      </c>
      <c r="Z55" s="22">
        <f t="shared" si="173"/>
        <v>-6</v>
      </c>
      <c r="AA55" s="17"/>
      <c r="AB55" s="17" t="str">
        <f>IF(AND((Y55=Y54),(Z55&gt;Z54)),X54,X55)</f>
        <v>Al-Ain</v>
      </c>
      <c r="AC55" s="22">
        <f t="shared" si="174"/>
        <v>1</v>
      </c>
      <c r="AD55" s="22">
        <f t="shared" si="175"/>
        <v>-6</v>
      </c>
      <c r="AE55" s="22">
        <f t="shared" si="176"/>
        <v>1</v>
      </c>
      <c r="AF55" s="17" t="str">
        <f>IF(AND((AC55=AC56),(AD55=AD56),(AE56&gt;AE55)),AB56,AB55)</f>
        <v>Al-Ain</v>
      </c>
      <c r="AG55" s="22">
        <f t="shared" si="177"/>
        <v>1</v>
      </c>
      <c r="AH55" s="22">
        <f t="shared" si="178"/>
        <v>-6</v>
      </c>
      <c r="AI55" s="22">
        <f t="shared" si="179"/>
        <v>1</v>
      </c>
      <c r="AJ55" s="17" t="str">
        <f>IF(AND((AG55=AG53),(AH55=AH53),(AI55&gt;AI53)),AF53,AF55)</f>
        <v>Al-Ain</v>
      </c>
      <c r="AK55" s="22">
        <f t="shared" si="181"/>
        <v>1</v>
      </c>
      <c r="AL55" s="22">
        <f t="shared" si="182"/>
        <v>-6</v>
      </c>
      <c r="AM55" s="22">
        <f t="shared" si="183"/>
        <v>1</v>
      </c>
      <c r="AN55" s="17" t="str">
        <f>IF(AND((AK55=AK54),(AL55=AL54),(AM55&gt;AM54)),AJ54,AJ55)</f>
        <v>Al-Ain</v>
      </c>
      <c r="AO55" s="22">
        <f t="shared" si="184"/>
        <v>1</v>
      </c>
      <c r="AP55" s="22">
        <f t="shared" si="185"/>
        <v>-6</v>
      </c>
      <c r="AQ55" s="22">
        <f t="shared" si="186"/>
        <v>1</v>
      </c>
    </row>
    <row r="56" spans="1:43" ht="12" customHeight="1">
      <c r="A56" s="16" t="s">
        <v>58</v>
      </c>
      <c r="B56" s="19">
        <f t="shared" si="162"/>
        <v>1</v>
      </c>
      <c r="C56" s="20">
        <f>COUNT('Tabela Jogos'!G52,'Tabela Jogos'!G54,'Tabela Jogos'!E57)</f>
        <v>3</v>
      </c>
      <c r="D56" s="20">
        <f>SUM(IF(('Tabela Jogos'!$G$52&gt;'Tabela Jogos'!$E$52),COUNT('Tabela Jogos'!$G$52)),IF(('Tabela Jogos'!$G$54&gt;'Tabela Jogos'!$E$54),COUNT('Tabela Jogos'!$G$54)),IF(('Tabela Jogos'!$E$57&gt;'Tabela Jogos'!$G$57),COUNT('Tabela Jogos'!$E$57)))</f>
        <v>0</v>
      </c>
      <c r="E56" s="20">
        <f>SUM(IF(('Tabela Jogos'!$G$52='Tabela Jogos'!$E$52),COUNT('Tabela Jogos'!$G$52)),IF(('Tabela Jogos'!$G$54='Tabela Jogos'!$E$54),COUNT('Tabela Jogos'!$G$54)),IF(('Tabela Jogos'!$E$57='Tabela Jogos'!$G$57),COUNT('Tabela Jogos'!$E$57)))</f>
        <v>1</v>
      </c>
      <c r="F56" s="20">
        <f>SUM(IF(('Tabela Jogos'!$G$52&lt;'Tabela Jogos'!$E$52),COUNT('Tabela Jogos'!$G$52)),IF(('Tabela Jogos'!$G$54&lt;'Tabela Jogos'!$E$54),COUNT('Tabela Jogos'!$G$54)),IF(('Tabela Jogos'!$E$57&lt;'Tabela Jogos'!$G$57),COUNT('Tabela Jogos'!$E$57)))</f>
        <v>2</v>
      </c>
      <c r="G56" s="20">
        <f>SUM((('Tabela Jogos'!G52+'Tabela Jogos'!G54)+'Tabela Jogos'!E57))</f>
        <v>1</v>
      </c>
      <c r="H56" s="20">
        <f>SUM((('Tabela Jogos'!E52+'Tabela Jogos'!E54)+'Tabela Jogos'!G57))</f>
        <v>7</v>
      </c>
      <c r="I56" s="20">
        <f t="shared" si="163"/>
        <v>-6</v>
      </c>
      <c r="J56" s="19"/>
      <c r="K56" s="17" t="str">
        <f>IF((B56&lt;=B55),A56,A55)</f>
        <v>Wydad Casablanca</v>
      </c>
      <c r="L56" s="22">
        <f t="shared" si="164"/>
        <v>1</v>
      </c>
      <c r="M56" s="17"/>
      <c r="N56" s="17" t="str">
        <f t="shared" si="187"/>
        <v>Wydad Casablanca</v>
      </c>
      <c r="O56" s="22">
        <f t="shared" si="166"/>
        <v>1</v>
      </c>
      <c r="P56" s="17"/>
      <c r="Q56" s="17" t="str">
        <f>IF((O56&lt;=O53),N56,N53)</f>
        <v>Wydad Casablanca</v>
      </c>
      <c r="R56" s="22">
        <f t="shared" si="167"/>
        <v>1</v>
      </c>
      <c r="S56" s="22">
        <f t="shared" si="168"/>
        <v>-6</v>
      </c>
      <c r="T56" s="17"/>
      <c r="U56" s="17" t="str">
        <f>IF(AND((R55=R56),(S56&gt;S55)),Q55,Q56)</f>
        <v>Wydad Casablanca</v>
      </c>
      <c r="V56" s="22">
        <f t="shared" si="169"/>
        <v>1</v>
      </c>
      <c r="W56" s="22">
        <f t="shared" si="170"/>
        <v>-6</v>
      </c>
      <c r="X56" s="17" t="str">
        <f t="shared" si="188"/>
        <v>Wydad Casablanca</v>
      </c>
      <c r="Y56" s="22">
        <f t="shared" si="172"/>
        <v>1</v>
      </c>
      <c r="Z56" s="22">
        <f t="shared" si="173"/>
        <v>-6</v>
      </c>
      <c r="AA56" s="17"/>
      <c r="AB56" s="17" t="str">
        <f>IF(AND((Y56=Y53),(Z56&gt;Z53)),X53,X56)</f>
        <v>Wydad Casablanca</v>
      </c>
      <c r="AC56" s="22">
        <f t="shared" si="174"/>
        <v>1</v>
      </c>
      <c r="AD56" s="22">
        <f t="shared" si="175"/>
        <v>-6</v>
      </c>
      <c r="AE56" s="22">
        <f t="shared" si="176"/>
        <v>1</v>
      </c>
      <c r="AF56" s="17" t="str">
        <f>IF(AND((AC56=AC55),(AD56=AD55),(AE56&gt;AE55)),X55,X56)</f>
        <v>Wydad Casablanca</v>
      </c>
      <c r="AG56" s="22">
        <f t="shared" si="177"/>
        <v>1</v>
      </c>
      <c r="AH56" s="22">
        <f t="shared" si="178"/>
        <v>-6</v>
      </c>
      <c r="AI56" s="22">
        <f t="shared" si="179"/>
        <v>1</v>
      </c>
      <c r="AJ56" s="17" t="str">
        <f>IF(AND((AG54=AG56),(AH54=AH56),(AI56&gt;AI54)),AF54,AF56)</f>
        <v>Wydad Casablanca</v>
      </c>
      <c r="AK56" s="22">
        <f t="shared" si="181"/>
        <v>1</v>
      </c>
      <c r="AL56" s="22">
        <f t="shared" si="182"/>
        <v>-6</v>
      </c>
      <c r="AM56" s="22">
        <f t="shared" si="183"/>
        <v>1</v>
      </c>
      <c r="AN56" s="17" t="str">
        <f>IF(AND((AK56=AK53),(AL56=AL53),(AM56&gt;AM53)),AJ53,AJ56)</f>
        <v>Wydad Casablanca</v>
      </c>
      <c r="AO56" s="22">
        <f t="shared" si="184"/>
        <v>1</v>
      </c>
      <c r="AP56" s="22">
        <f t="shared" si="185"/>
        <v>-6</v>
      </c>
      <c r="AQ56" s="22">
        <f t="shared" si="186"/>
        <v>1</v>
      </c>
    </row>
    <row r="57" spans="1:43" ht="12" customHeight="1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</row>
    <row r="58" spans="1:43" ht="12" customHeight="1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</row>
    <row r="59" spans="1:43" ht="12" customHeight="1">
      <c r="A59" s="16"/>
      <c r="B59" s="137" t="s">
        <v>91</v>
      </c>
      <c r="C59" s="116"/>
      <c r="D59" s="116"/>
      <c r="E59" s="116"/>
      <c r="F59" s="116"/>
      <c r="G59" s="116"/>
      <c r="H59" s="116"/>
      <c r="I59" s="116"/>
      <c r="J59" s="17"/>
      <c r="K59" s="17" t="s">
        <v>80</v>
      </c>
      <c r="L59" s="17"/>
      <c r="M59" s="17"/>
      <c r="N59" s="17" t="s">
        <v>81</v>
      </c>
      <c r="O59" s="17"/>
      <c r="P59" s="17"/>
      <c r="Q59" s="17" t="s">
        <v>82</v>
      </c>
      <c r="R59" s="17"/>
      <c r="S59" s="17"/>
      <c r="T59" s="17"/>
      <c r="U59" s="17" t="s">
        <v>82</v>
      </c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</row>
    <row r="60" spans="1:43" ht="12" customHeight="1">
      <c r="A60" s="18" t="s">
        <v>83</v>
      </c>
      <c r="B60" s="19" t="s">
        <v>12</v>
      </c>
      <c r="C60" s="20" t="s">
        <v>13</v>
      </c>
      <c r="D60" s="20" t="s">
        <v>14</v>
      </c>
      <c r="E60" s="20" t="s">
        <v>15</v>
      </c>
      <c r="F60" s="20" t="s">
        <v>16</v>
      </c>
      <c r="G60" s="20" t="s">
        <v>17</v>
      </c>
      <c r="H60" s="20" t="s">
        <v>18</v>
      </c>
      <c r="I60" s="20" t="s">
        <v>19</v>
      </c>
      <c r="J60" s="21"/>
      <c r="K60" s="17"/>
      <c r="L60" s="17" t="s">
        <v>12</v>
      </c>
      <c r="M60" s="17"/>
      <c r="N60" s="17"/>
      <c r="O60" s="17" t="s">
        <v>84</v>
      </c>
      <c r="P60" s="17"/>
      <c r="Q60" s="17"/>
      <c r="R60" s="17" t="s">
        <v>12</v>
      </c>
      <c r="S60" s="17" t="s">
        <v>19</v>
      </c>
      <c r="T60" s="17"/>
      <c r="U60" s="17"/>
      <c r="V60" s="17" t="s">
        <v>12</v>
      </c>
      <c r="W60" s="17" t="s">
        <v>19</v>
      </c>
      <c r="X60" s="17"/>
      <c r="Y60" s="17" t="s">
        <v>12</v>
      </c>
      <c r="Z60" s="17" t="s">
        <v>19</v>
      </c>
      <c r="AA60" s="17"/>
      <c r="AB60" s="17"/>
      <c r="AC60" s="17" t="s">
        <v>12</v>
      </c>
      <c r="AD60" s="17" t="s">
        <v>19</v>
      </c>
      <c r="AE60" s="17" t="s">
        <v>17</v>
      </c>
      <c r="AF60" s="17"/>
      <c r="AG60" s="17" t="s">
        <v>12</v>
      </c>
      <c r="AH60" s="17" t="s">
        <v>19</v>
      </c>
      <c r="AI60" s="17" t="s">
        <v>17</v>
      </c>
      <c r="AJ60" s="17"/>
      <c r="AK60" s="17" t="s">
        <v>12</v>
      </c>
      <c r="AL60" s="17" t="s">
        <v>19</v>
      </c>
      <c r="AM60" s="17" t="s">
        <v>17</v>
      </c>
      <c r="AN60" s="17"/>
      <c r="AO60" s="17" t="s">
        <v>12</v>
      </c>
      <c r="AP60" s="17" t="s">
        <v>19</v>
      </c>
      <c r="AQ60" s="17" t="s">
        <v>17</v>
      </c>
    </row>
    <row r="61" spans="1:43" ht="12" customHeight="1">
      <c r="A61" s="16" t="s">
        <v>64</v>
      </c>
      <c r="B61" s="19">
        <f t="shared" ref="B61:B64" si="189">SUM((D61*3))+E61</f>
        <v>4</v>
      </c>
      <c r="C61" s="20">
        <f>COUNT('Tabela Jogos'!G60,'Tabela Jogos'!G63,'Tabela Jogos'!E65)</f>
        <v>3</v>
      </c>
      <c r="D61" s="20">
        <f>SUM(IF(('Tabela Jogos'!$G$60&gt;'Tabela Jogos'!$E$60),COUNT('Tabela Jogos'!$G$60)),IF(('Tabela Jogos'!$G$63&gt;'Tabela Jogos'!$E$63),COUNT('Tabela Jogos'!$G$63)),IF(('Tabela Jogos'!$E$65&gt;'Tabela Jogos'!$G$65),COUNT('Tabela Jogos'!$E$65)))</f>
        <v>1</v>
      </c>
      <c r="E61" s="20">
        <f>SUM(IF(('Tabela Jogos'!$G$60='Tabela Jogos'!$E$60),COUNT('Tabela Jogos'!$G$60)),IF(('Tabela Jogos'!$G$63='Tabela Jogos'!$E$63),COUNT('Tabela Jogos'!$G$63)),IF(('Tabela Jogos'!$E$65='Tabela Jogos'!$G$65),COUNT('Tabela Jogos'!$E$65)))</f>
        <v>1</v>
      </c>
      <c r="F61" s="20">
        <f>SUM(IF(('Tabela Jogos'!$G$60&lt;'Tabela Jogos'!$E$60),COUNT('Tabela Jogos'!$G$60)),IF(('Tabela Jogos'!$G$63&lt;'Tabela Jogos'!$E$63),COUNT('Tabela Jogos'!$G$63)),IF(('Tabela Jogos'!$E$65&lt;'Tabela Jogos'!$G$65),COUNT('Tabela Jogos'!$E$65)))</f>
        <v>1</v>
      </c>
      <c r="G61" s="20">
        <f>SUM((('Tabela Jogos'!G60+'Tabela Jogos'!G63)+'Tabela Jogos'!E65))</f>
        <v>4</v>
      </c>
      <c r="H61" s="20">
        <f>SUM((('Tabela Jogos'!E60+'Tabela Jogos'!E63)+'Tabela Jogos'!G65))</f>
        <v>5</v>
      </c>
      <c r="I61" s="20">
        <f t="shared" ref="I61:I64" si="190">SUM((G61-H61))</f>
        <v>-1</v>
      </c>
      <c r="J61" s="19"/>
      <c r="K61" s="17" t="str">
        <f>IF((B61&gt;=B62),A61,A62)</f>
        <v>Al-Hilal</v>
      </c>
      <c r="L61" s="22">
        <f t="shared" ref="L61:L64" si="191">VLOOKUP(K61,$A$61:$I$64,2,FALSE)</f>
        <v>4</v>
      </c>
      <c r="M61" s="17"/>
      <c r="N61" s="17" t="str">
        <f t="shared" ref="N61:N62" si="192">IF((L61&gt;=L63),K61,K63)</f>
        <v>Real Madrid</v>
      </c>
      <c r="O61" s="22">
        <f t="shared" ref="O61:O64" si="193">VLOOKUP(N61,$A$61:$I$64,2,FALSE)</f>
        <v>9</v>
      </c>
      <c r="P61" s="17"/>
      <c r="Q61" s="17" t="str">
        <f>IF((O61&gt;=O64),N61,N64)</f>
        <v>Real Madrid</v>
      </c>
      <c r="R61" s="22">
        <f t="shared" ref="R61:R64" si="194">VLOOKUP(Q61,$A$61:$I$64,2,FALSE)</f>
        <v>9</v>
      </c>
      <c r="S61" s="22">
        <f t="shared" ref="S61:S64" si="195">VLOOKUP(Q61,$A$61:$I$64,9,FALSE)</f>
        <v>7</v>
      </c>
      <c r="T61" s="17"/>
      <c r="U61" s="17" t="str">
        <f>IF(AND((R61=R62),(S62&gt;S61)),Q62,Q61)</f>
        <v>Real Madrid</v>
      </c>
      <c r="V61" s="22">
        <f t="shared" ref="V61:V64" si="196">VLOOKUP(U61,$A$61:$I$64,2,FALSE)</f>
        <v>9</v>
      </c>
      <c r="W61" s="22">
        <f t="shared" ref="W61:W64" si="197">VLOOKUP(U61,$A$61:$I$64,9,FALSE)</f>
        <v>7</v>
      </c>
      <c r="X61" s="17" t="str">
        <f t="shared" ref="X61:X62" si="198">IF(AND((V61=V63),(W63&gt;W61)),U63,U61)</f>
        <v>Real Madrid</v>
      </c>
      <c r="Y61" s="22">
        <f t="shared" ref="Y61:Y64" si="199">VLOOKUP(X61,$A$61:$I$64,2,FALSE)</f>
        <v>9</v>
      </c>
      <c r="Z61" s="22">
        <f t="shared" ref="Z61:Z64" si="200">VLOOKUP(X61,$A$61:$I$64,9,FALSE)</f>
        <v>7</v>
      </c>
      <c r="AA61" s="17"/>
      <c r="AB61" s="17" t="str">
        <f>IF(AND((Y61=Y64),(Z64&gt;Z61)),X64,X61)</f>
        <v>Real Madrid</v>
      </c>
      <c r="AC61" s="22">
        <f t="shared" ref="AC61:AC64" si="201">VLOOKUP(AB61,$A$61:$I$64,2,FALSE)</f>
        <v>9</v>
      </c>
      <c r="AD61" s="22">
        <f t="shared" ref="AD61:AD64" si="202">VLOOKUP(AB61,$A$61:$I$64,9,FALSE)</f>
        <v>7</v>
      </c>
      <c r="AE61" s="22">
        <f t="shared" ref="AE61:AE64" si="203">VLOOKUP(AB61,$A$61:$I$64,7,FALSE)</f>
        <v>8</v>
      </c>
      <c r="AF61" s="17" t="str">
        <f>IF(AND((AC61=AC62),(AD61=AD62),(AE62&gt;AE61)),AB62,AB61)</f>
        <v>Real Madrid</v>
      </c>
      <c r="AG61" s="22">
        <f t="shared" ref="AG61:AG64" si="204">VLOOKUP(AF61,$A$61:$I$64,2,FALSE)</f>
        <v>9</v>
      </c>
      <c r="AH61" s="22">
        <f t="shared" ref="AH61:AH64" si="205">VLOOKUP(AF61,$A$61:$I$64,9,FALSE)</f>
        <v>7</v>
      </c>
      <c r="AI61" s="22">
        <f t="shared" ref="AI61:AI64" si="206">VLOOKUP(AF61,$A$61:$I$64,7,FALSE)</f>
        <v>8</v>
      </c>
      <c r="AJ61" s="17" t="str">
        <f t="shared" ref="AJ61:AJ62" si="207">IF(AND((AG61=AG63),(AH61=AH63),(AI63&gt;AI61)),AF63,AF61)</f>
        <v>Real Madrid</v>
      </c>
      <c r="AK61" s="22">
        <f t="shared" ref="AK61:AK64" si="208">VLOOKUP(AJ61,$A$61:$I$64,2,FALSE)</f>
        <v>9</v>
      </c>
      <c r="AL61" s="22">
        <f t="shared" ref="AL61:AL64" si="209">VLOOKUP(AJ61,$A$61:$I$64,9,FALSE)</f>
        <v>7</v>
      </c>
      <c r="AM61" s="22">
        <f t="shared" ref="AM61:AM64" si="210">VLOOKUP(AJ61,$A$61:$I$64,7,FALSE)</f>
        <v>8</v>
      </c>
      <c r="AN61" s="17" t="str">
        <f>IF(AND((AK61=AK64),(AL61=AL64),(AM64&gt;AM61)),AJ64,AJ61)</f>
        <v>Real Madrid</v>
      </c>
      <c r="AO61" s="22">
        <f t="shared" ref="AO61:AO64" si="211">VLOOKUP(AN61,$A$61:$I$64,2,FALSE)</f>
        <v>9</v>
      </c>
      <c r="AP61" s="22">
        <f t="shared" ref="AP61:AP64" si="212">VLOOKUP(AN61,$A$61:$I$64,9,FALSE)</f>
        <v>7</v>
      </c>
      <c r="AQ61" s="22">
        <f t="shared" ref="AQ61:AQ64" si="213">VLOOKUP(AN61,$A$61:$I$64,7,FALSE)</f>
        <v>8</v>
      </c>
    </row>
    <row r="62" spans="1:43" ht="12" customHeight="1">
      <c r="A62" s="16" t="s">
        <v>66</v>
      </c>
      <c r="B62" s="19">
        <f t="shared" si="189"/>
        <v>1</v>
      </c>
      <c r="C62" s="20">
        <f>COUNT('Tabela Jogos'!E61,'Tabela Jogos'!G62,'Tabela Jogos'!G65)</f>
        <v>3</v>
      </c>
      <c r="D62" s="20">
        <f>SUM(IF(('Tabela Jogos'!$E$61&gt;'Tabela Jogos'!$G$61),COUNT('Tabela Jogos'!$E$61)),IF(('Tabela Jogos'!$G$62&gt;'Tabela Jogos'!$E$62),COUNT('Tabela Jogos'!$G$62)),IF(('Tabela Jogos'!$G$65&gt;'Tabela Jogos'!$E$65),COUNT('Tabela Jogos'!$G$65)))</f>
        <v>0</v>
      </c>
      <c r="E62" s="20">
        <f>SUM(IF(('Tabela Jogos'!$E$61='Tabela Jogos'!$G$61),COUNT('Tabela Jogos'!$E$61)),IF(('Tabela Jogos'!$G$62='Tabela Jogos'!$E$62),COUNT('Tabela Jogos'!$G$62)),IF(('Tabela Jogos'!$G$65='Tabela Jogos'!$E$65),COUNT('Tabela Jogos'!$G$65)))</f>
        <v>1</v>
      </c>
      <c r="F62" s="20">
        <f>SUM(IF(('Tabela Jogos'!$E$61&lt;'Tabela Jogos'!$G$61),COUNT('Tabela Jogos'!$E$61)),IF(('Tabela Jogos'!$G$62&lt;'Tabela Jogos'!$E$62),COUNT('Tabela Jogos'!$G$62)),IF(('Tabela Jogos'!$G$65&lt;'Tabela Jogos'!$E$65),COUNT('Tabela Jogos'!$G$65)))</f>
        <v>2</v>
      </c>
      <c r="G62" s="20">
        <f>SUM((('Tabela Jogos'!E61+'Tabela Jogos'!G62)+'Tabela Jogos'!G65))</f>
        <v>3</v>
      </c>
      <c r="H62" s="20">
        <f>SUM((('Tabela Jogos'!G61+'Tabela Jogos'!E62)+'Tabela Jogos'!E65))</f>
        <v>7</v>
      </c>
      <c r="I62" s="20">
        <f t="shared" si="190"/>
        <v>-4</v>
      </c>
      <c r="J62" s="19"/>
      <c r="K62" s="17" t="str">
        <f>IF((B62&lt;=B61),A62,A61)</f>
        <v>Pachuca</v>
      </c>
      <c r="L62" s="22">
        <f t="shared" si="191"/>
        <v>1</v>
      </c>
      <c r="M62" s="17"/>
      <c r="N62" s="17" t="str">
        <f t="shared" si="192"/>
        <v>RB Salzburg</v>
      </c>
      <c r="O62" s="22">
        <f t="shared" si="193"/>
        <v>3</v>
      </c>
      <c r="P62" s="17"/>
      <c r="Q62" s="17" t="str">
        <f>IF((O62&gt;=O63),N62,N63)</f>
        <v>Al-Hilal</v>
      </c>
      <c r="R62" s="22">
        <f t="shared" si="194"/>
        <v>4</v>
      </c>
      <c r="S62" s="22">
        <f t="shared" si="195"/>
        <v>-1</v>
      </c>
      <c r="T62" s="17"/>
      <c r="U62" s="17" t="str">
        <f>IF(AND((R61=R62),(S62&gt;S61)),Q61,Q62)</f>
        <v>Al-Hilal</v>
      </c>
      <c r="V62" s="22">
        <f t="shared" si="196"/>
        <v>4</v>
      </c>
      <c r="W62" s="22">
        <f t="shared" si="197"/>
        <v>-1</v>
      </c>
      <c r="X62" s="17" t="str">
        <f t="shared" si="198"/>
        <v>Al-Hilal</v>
      </c>
      <c r="Y62" s="22">
        <f t="shared" si="199"/>
        <v>4</v>
      </c>
      <c r="Z62" s="22">
        <f t="shared" si="200"/>
        <v>-1</v>
      </c>
      <c r="AA62" s="17"/>
      <c r="AB62" s="17" t="str">
        <f>IF(AND((Y62=Y63),(Z63&gt;Z62)),X63,X62)</f>
        <v>Al-Hilal</v>
      </c>
      <c r="AC62" s="22">
        <f t="shared" si="201"/>
        <v>4</v>
      </c>
      <c r="AD62" s="22">
        <f t="shared" si="202"/>
        <v>-1</v>
      </c>
      <c r="AE62" s="22">
        <f t="shared" si="203"/>
        <v>4</v>
      </c>
      <c r="AF62" s="17" t="str">
        <f>IF(AND((AC62=AC61),(AD62=AD61),(AE62&gt;AE61)),AB61,AB62)</f>
        <v>Al-Hilal</v>
      </c>
      <c r="AG62" s="22">
        <f t="shared" si="204"/>
        <v>4</v>
      </c>
      <c r="AH62" s="22">
        <f t="shared" si="205"/>
        <v>-1</v>
      </c>
      <c r="AI62" s="22">
        <f t="shared" si="206"/>
        <v>4</v>
      </c>
      <c r="AJ62" s="17" t="str">
        <f t="shared" si="207"/>
        <v>Al-Hilal</v>
      </c>
      <c r="AK62" s="22">
        <f t="shared" si="208"/>
        <v>4</v>
      </c>
      <c r="AL62" s="22">
        <f t="shared" si="209"/>
        <v>-1</v>
      </c>
      <c r="AM62" s="22">
        <f t="shared" si="210"/>
        <v>4</v>
      </c>
      <c r="AN62" s="17" t="str">
        <f>IF(AND((AK62=AK63),(AL62=AL63),(AM63&gt;AM62)),AJ63,AJ62)</f>
        <v>Al-Hilal</v>
      </c>
      <c r="AO62" s="22">
        <f t="shared" si="211"/>
        <v>4</v>
      </c>
      <c r="AP62" s="22">
        <f t="shared" si="212"/>
        <v>-1</v>
      </c>
      <c r="AQ62" s="22">
        <f t="shared" si="213"/>
        <v>4</v>
      </c>
    </row>
    <row r="63" spans="1:43" ht="12" customHeight="1">
      <c r="A63" s="16" t="s">
        <v>67</v>
      </c>
      <c r="B63" s="19">
        <f t="shared" si="189"/>
        <v>3</v>
      </c>
      <c r="C63" s="20">
        <f>COUNT('Tabela Jogos'!G61,'Tabela Jogos'!E63,'Tabela Jogos'!E64)</f>
        <v>3</v>
      </c>
      <c r="D63" s="20">
        <f>SUM(IF(('Tabela Jogos'!$G$61&gt;'Tabela Jogos'!$E$61),COUNT('Tabela Jogos'!$G$61)),IF(('Tabela Jogos'!$E$63&gt;'Tabela Jogos'!$G$63),COUNT('Tabela Jogos'!$E$63)),IF(('Tabela Jogos'!$E$64&gt;'Tabela Jogos'!$G$64),COUNT('Tabela Jogos'!$E$64)))</f>
        <v>1</v>
      </c>
      <c r="E63" s="20">
        <f>SUM(IF(('Tabela Jogos'!$G$61='Tabela Jogos'!$E$61),COUNT('Tabela Jogos'!$G$61)),IF(('Tabela Jogos'!$E$63='Tabela Jogos'!$G$63),COUNT('Tabela Jogos'!$E$63)),IF(('Tabela Jogos'!$E$64='Tabela Jogos'!$G$64),COUNT('Tabela Jogos'!$E$64)))</f>
        <v>0</v>
      </c>
      <c r="F63" s="20">
        <f>SUM(IF(('Tabela Jogos'!$G$61&lt;'Tabela Jogos'!$E$61),COUNT('Tabela Jogos'!$G$61)),IF(('Tabela Jogos'!$E$63&lt;'Tabela Jogos'!$G$63),COUNT('Tabela Jogos'!$E$63)),IF(('Tabela Jogos'!$E$64&lt;'Tabela Jogos'!$G$64),COUNT('Tabela Jogos'!$E$64)))</f>
        <v>2</v>
      </c>
      <c r="G63" s="20">
        <f>SUM((('Tabela Jogos'!G61+'Tabela Jogos'!E63)+'Tabela Jogos'!E64))</f>
        <v>4</v>
      </c>
      <c r="H63" s="20">
        <f>SUM((('Tabela Jogos'!E61+'Tabela Jogos'!G63)+'Tabela Jogos'!G64))</f>
        <v>6</v>
      </c>
      <c r="I63" s="20">
        <f t="shared" si="190"/>
        <v>-2</v>
      </c>
      <c r="J63" s="19"/>
      <c r="K63" s="17" t="str">
        <f>IF((B63&gt;=B64),A63,A64)</f>
        <v>Real Madrid</v>
      </c>
      <c r="L63" s="22">
        <f t="shared" si="191"/>
        <v>9</v>
      </c>
      <c r="M63" s="17"/>
      <c r="N63" s="17" t="str">
        <f t="shared" ref="N63:N64" si="214">IF((L63&lt;=L61),K63,K61)</f>
        <v>Al-Hilal</v>
      </c>
      <c r="O63" s="22">
        <f t="shared" si="193"/>
        <v>4</v>
      </c>
      <c r="P63" s="17"/>
      <c r="Q63" s="17" t="str">
        <f>IF((O63&lt;=O62),N63,N62)</f>
        <v>RB Salzburg</v>
      </c>
      <c r="R63" s="22">
        <f t="shared" si="194"/>
        <v>3</v>
      </c>
      <c r="S63" s="22">
        <f t="shared" si="195"/>
        <v>-2</v>
      </c>
      <c r="T63" s="17"/>
      <c r="U63" s="17" t="str">
        <f>IF(AND((R63=R64),(S64&gt;S63)),Q64,Q63)</f>
        <v>RB Salzburg</v>
      </c>
      <c r="V63" s="22">
        <f t="shared" si="196"/>
        <v>3</v>
      </c>
      <c r="W63" s="22">
        <f t="shared" si="197"/>
        <v>-2</v>
      </c>
      <c r="X63" s="17" t="str">
        <f t="shared" ref="X63:X64" si="215">IF(AND((V61=V63),(W63&gt;W61)),U61,U63)</f>
        <v>RB Salzburg</v>
      </c>
      <c r="Y63" s="22">
        <f t="shared" si="199"/>
        <v>3</v>
      </c>
      <c r="Z63" s="22">
        <f t="shared" si="200"/>
        <v>-2</v>
      </c>
      <c r="AA63" s="17"/>
      <c r="AB63" s="17" t="str">
        <f>IF(AND((Y63=Y62),(Z63&gt;Z62)),X62,X63)</f>
        <v>RB Salzburg</v>
      </c>
      <c r="AC63" s="22">
        <f t="shared" si="201"/>
        <v>3</v>
      </c>
      <c r="AD63" s="22">
        <f t="shared" si="202"/>
        <v>-2</v>
      </c>
      <c r="AE63" s="22">
        <f t="shared" si="203"/>
        <v>4</v>
      </c>
      <c r="AF63" s="17" t="str">
        <f>IF(AND((AC63=AC64),(AD63=AD64),(AE64&gt;AE63)),AB64,AB63)</f>
        <v>RB Salzburg</v>
      </c>
      <c r="AG63" s="22">
        <f t="shared" si="204"/>
        <v>3</v>
      </c>
      <c r="AH63" s="22">
        <f t="shared" si="205"/>
        <v>-2</v>
      </c>
      <c r="AI63" s="22">
        <f t="shared" si="206"/>
        <v>4</v>
      </c>
      <c r="AJ63" s="17" t="str">
        <f>IF(AND((AG63=AG61),(AH63=AH61),(AI63&gt;AI61)),AF61,AF63)</f>
        <v>RB Salzburg</v>
      </c>
      <c r="AK63" s="22">
        <f t="shared" si="208"/>
        <v>3</v>
      </c>
      <c r="AL63" s="22">
        <f t="shared" si="209"/>
        <v>-2</v>
      </c>
      <c r="AM63" s="22">
        <f t="shared" si="210"/>
        <v>4</v>
      </c>
      <c r="AN63" s="17" t="str">
        <f>IF(AND((AK63=AK62),(AL63=AL62),(AM63&gt;AM62)),AJ62,AJ63)</f>
        <v>RB Salzburg</v>
      </c>
      <c r="AO63" s="22">
        <f t="shared" si="211"/>
        <v>3</v>
      </c>
      <c r="AP63" s="22">
        <f t="shared" si="212"/>
        <v>-2</v>
      </c>
      <c r="AQ63" s="22">
        <f t="shared" si="213"/>
        <v>4</v>
      </c>
    </row>
    <row r="64" spans="1:43" ht="12" customHeight="1">
      <c r="A64" s="16" t="s">
        <v>63</v>
      </c>
      <c r="B64" s="19">
        <f t="shared" si="189"/>
        <v>9</v>
      </c>
      <c r="C64" s="20">
        <f>COUNT('Tabela Jogos'!E60,'Tabela Jogos'!E62,'Tabela Jogos'!G64)</f>
        <v>3</v>
      </c>
      <c r="D64" s="20">
        <f>SUM(IF(('Tabela Jogos'!$E$60&gt;'Tabela Jogos'!$G$60),COUNT('Tabela Jogos'!$E$60)),IF(('Tabela Jogos'!$E$62&gt;'Tabela Jogos'!$G$62),COUNT('Tabela Jogos'!$E$62)),IF(('Tabela Jogos'!$G$64&gt;'Tabela Jogos'!$E$64),COUNT('Tabela Jogos'!$G$64)))</f>
        <v>3</v>
      </c>
      <c r="E64" s="20">
        <f>SUM(IF(('Tabela Jogos'!$E$60='Tabela Jogos'!$G$60),COUNT('Tabela Jogos'!$E$60)),IF(('Tabela Jogos'!$E$62='Tabela Jogos'!$G$62),COUNT('Tabela Jogos'!$E$62)),IF(('Tabela Jogos'!$G$64='Tabela Jogos'!$E$64),COUNT('Tabela Jogos'!$G$64)))</f>
        <v>0</v>
      </c>
      <c r="F64" s="20">
        <f>SUM(IF(('Tabela Jogos'!$E$60&lt;'Tabela Jogos'!$G$60),COUNT('Tabela Jogos'!$E$60)),IF(('Tabela Jogos'!$E$62&lt;'Tabela Jogos'!$G$62),COUNT('Tabela Jogos'!$E$62)),IF(('Tabela Jogos'!$G$64&lt;'Tabela Jogos'!$E$64),COUNT('Tabela Jogos'!$G$64)))</f>
        <v>0</v>
      </c>
      <c r="G64" s="20">
        <f>SUM((('Tabela Jogos'!E60+'Tabela Jogos'!E62)+'Tabela Jogos'!G64))</f>
        <v>8</v>
      </c>
      <c r="H64" s="20">
        <f>SUM((('Tabela Jogos'!G60+'Tabela Jogos'!G62)+'Tabela Jogos'!E64))</f>
        <v>1</v>
      </c>
      <c r="I64" s="20">
        <f t="shared" si="190"/>
        <v>7</v>
      </c>
      <c r="J64" s="19"/>
      <c r="K64" s="17" t="str">
        <f>IF((B64&lt;=B63),A64,A63)</f>
        <v>RB Salzburg</v>
      </c>
      <c r="L64" s="22">
        <f t="shared" si="191"/>
        <v>3</v>
      </c>
      <c r="M64" s="17"/>
      <c r="N64" s="17" t="str">
        <f t="shared" si="214"/>
        <v>Pachuca</v>
      </c>
      <c r="O64" s="22">
        <f t="shared" si="193"/>
        <v>1</v>
      </c>
      <c r="P64" s="17"/>
      <c r="Q64" s="17" t="str">
        <f>IF((O64&lt;=O61),N64,N61)</f>
        <v>Pachuca</v>
      </c>
      <c r="R64" s="22">
        <f t="shared" si="194"/>
        <v>1</v>
      </c>
      <c r="S64" s="22">
        <f t="shared" si="195"/>
        <v>-4</v>
      </c>
      <c r="T64" s="17"/>
      <c r="U64" s="17" t="str">
        <f>IF(AND((R63=R64),(S64&gt;S63)),Q63,Q64)</f>
        <v>Pachuca</v>
      </c>
      <c r="V64" s="22">
        <f t="shared" si="196"/>
        <v>1</v>
      </c>
      <c r="W64" s="22">
        <f t="shared" si="197"/>
        <v>-4</v>
      </c>
      <c r="X64" s="17" t="str">
        <f t="shared" si="215"/>
        <v>Pachuca</v>
      </c>
      <c r="Y64" s="22">
        <f t="shared" si="199"/>
        <v>1</v>
      </c>
      <c r="Z64" s="22">
        <f t="shared" si="200"/>
        <v>-4</v>
      </c>
      <c r="AA64" s="17"/>
      <c r="AB64" s="17" t="str">
        <f>IF(AND((Y64=Y61),(Z64&gt;Z61)),X61,X64)</f>
        <v>Pachuca</v>
      </c>
      <c r="AC64" s="22">
        <f t="shared" si="201"/>
        <v>1</v>
      </c>
      <c r="AD64" s="22">
        <f t="shared" si="202"/>
        <v>-4</v>
      </c>
      <c r="AE64" s="22">
        <f t="shared" si="203"/>
        <v>3</v>
      </c>
      <c r="AF64" s="17" t="str">
        <f>IF(AND((AC64=AC63),(AD64=AD63),(AE64&gt;AE63)),X63,X64)</f>
        <v>Pachuca</v>
      </c>
      <c r="AG64" s="22">
        <f t="shared" si="204"/>
        <v>1</v>
      </c>
      <c r="AH64" s="22">
        <f t="shared" si="205"/>
        <v>-4</v>
      </c>
      <c r="AI64" s="22">
        <f t="shared" si="206"/>
        <v>3</v>
      </c>
      <c r="AJ64" s="17" t="str">
        <f>IF(AND((AG62=AG64),(AH62=AH64),(AI64&gt;AI62)),AF62,AF64)</f>
        <v>Pachuca</v>
      </c>
      <c r="AK64" s="22">
        <f t="shared" si="208"/>
        <v>1</v>
      </c>
      <c r="AL64" s="22">
        <f t="shared" si="209"/>
        <v>-4</v>
      </c>
      <c r="AM64" s="22">
        <f t="shared" si="210"/>
        <v>3</v>
      </c>
      <c r="AN64" s="17" t="str">
        <f>IF(AND((AK64=AK61),(AL64=AL61),(AM64&gt;AM61)),AJ61,AJ64)</f>
        <v>Pachuca</v>
      </c>
      <c r="AO64" s="22">
        <f t="shared" si="211"/>
        <v>1</v>
      </c>
      <c r="AP64" s="22">
        <f t="shared" si="212"/>
        <v>-4</v>
      </c>
      <c r="AQ64" s="22">
        <f t="shared" si="213"/>
        <v>3</v>
      </c>
    </row>
    <row r="65" spans="1:43" ht="12" customHeight="1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</row>
    <row r="66" spans="1:43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</row>
    <row r="67" spans="1:43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</row>
    <row r="68" spans="1:43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</row>
    <row r="69" spans="1:43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</row>
    <row r="70" spans="1:43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</row>
    <row r="71" spans="1:43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</row>
    <row r="72" spans="1:43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</row>
    <row r="73" spans="1:43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</row>
    <row r="74" spans="1:43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</row>
    <row r="75" spans="1:43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</row>
    <row r="76" spans="1:43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</row>
    <row r="77" spans="1:43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</row>
    <row r="78" spans="1:43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</row>
    <row r="79" spans="1:43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</row>
    <row r="80" spans="1:43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</row>
    <row r="81" spans="1:43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</row>
    <row r="82" spans="1:43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</row>
    <row r="83" spans="1:43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</row>
    <row r="84" spans="1:43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</row>
    <row r="85" spans="1:43" ht="12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</row>
    <row r="86" spans="1:43" ht="12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</row>
    <row r="87" spans="1:43" ht="12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</row>
    <row r="88" spans="1:43" ht="12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</row>
    <row r="89" spans="1:43" ht="12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</row>
    <row r="90" spans="1:43" ht="12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</row>
    <row r="91" spans="1:43" ht="12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</row>
    <row r="92" spans="1:43" ht="12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</row>
    <row r="93" spans="1:43" ht="12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</row>
    <row r="94" spans="1:43" ht="12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</row>
    <row r="95" spans="1:43" ht="12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</row>
    <row r="96" spans="1:43" ht="12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</row>
    <row r="97" spans="1:43" ht="12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</row>
    <row r="98" spans="1:43" ht="12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</row>
    <row r="99" spans="1:43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</row>
    <row r="100" spans="1:43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</row>
  </sheetData>
  <mergeCells count="8">
    <mergeCell ref="B51:I51"/>
    <mergeCell ref="B59:I59"/>
    <mergeCell ref="B3:I3"/>
    <mergeCell ref="B11:I11"/>
    <mergeCell ref="B19:I19"/>
    <mergeCell ref="B27:I27"/>
    <mergeCell ref="B35:I35"/>
    <mergeCell ref="B43:I4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none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Copa do mundo de 2002: Japao -Coreia</dc:title>
  <dc:subject/>
  <dc:creator>Edivaldo</dc:creator>
  <cp:keywords>Copa do mundo</cp:keywords>
  <dc:description>Poder ser distribuida gratuitamente, sem limite.
Edivaldo Barboza da Silva 01/01/2002</dc:description>
  <cp:lastModifiedBy>ANDRÉ SAAD BONITO</cp:lastModifiedBy>
  <cp:revision/>
  <dcterms:created xsi:type="dcterms:W3CDTF">2001-12-05T11:10:54Z</dcterms:created>
  <dcterms:modified xsi:type="dcterms:W3CDTF">2025-06-18T11:49:19Z</dcterms:modified>
  <cp:category>Livre</cp:category>
  <cp:contentStatus/>
</cp:coreProperties>
</file>