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-280" yWindow="140" windowWidth="39080" windowHeight="20560" tabRatio="500" activeTab="2"/>
  </bookViews>
  <sheets>
    <sheet name="Search Task (Remove incorrect)" sheetId="1" r:id="rId1"/>
    <sheet name="Sheet1" sheetId="4" r:id="rId2"/>
    <sheet name="Summary Task" sheetId="2" r:id="rId3"/>
    <sheet name="Comprehension Task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4" i="4" l="1"/>
  <c r="O55" i="4"/>
  <c r="O53" i="4"/>
  <c r="N54" i="4"/>
  <c r="N55" i="4"/>
  <c r="N53" i="4"/>
  <c r="M54" i="4"/>
  <c r="M55" i="4"/>
  <c r="M53" i="4"/>
  <c r="L54" i="4"/>
  <c r="L55" i="4"/>
  <c r="L53" i="4"/>
  <c r="O52" i="4"/>
  <c r="N52" i="4"/>
  <c r="M52" i="4"/>
  <c r="L52" i="4"/>
  <c r="O51" i="4"/>
  <c r="N51" i="4"/>
  <c r="M51" i="4"/>
  <c r="L51" i="4"/>
  <c r="N39" i="4"/>
  <c r="N36" i="4"/>
  <c r="N38" i="4"/>
  <c r="N35" i="4"/>
  <c r="N37" i="4"/>
  <c r="N34" i="4"/>
  <c r="M39" i="4"/>
  <c r="M36" i="4"/>
  <c r="M38" i="4"/>
  <c r="M35" i="4"/>
  <c r="M37" i="4"/>
  <c r="M34" i="4"/>
  <c r="L39" i="4"/>
  <c r="L36" i="4"/>
  <c r="L35" i="4"/>
  <c r="L38" i="4"/>
  <c r="L37" i="4"/>
  <c r="L34" i="4"/>
  <c r="J39" i="4"/>
  <c r="J36" i="4"/>
  <c r="J38" i="4"/>
  <c r="J37" i="4"/>
  <c r="J34" i="4"/>
  <c r="J35" i="4"/>
  <c r="L50" i="4"/>
  <c r="M50" i="4"/>
  <c r="N50" i="4"/>
  <c r="N49" i="4"/>
  <c r="N48" i="4"/>
  <c r="M49" i="4"/>
  <c r="M48" i="4"/>
  <c r="L49" i="4"/>
  <c r="L48" i="4"/>
  <c r="N47" i="4"/>
  <c r="M47" i="4"/>
  <c r="L47" i="4"/>
  <c r="O50" i="4"/>
  <c r="R4" i="4"/>
  <c r="R3" i="4"/>
  <c r="R2" i="4"/>
  <c r="J33" i="4"/>
  <c r="N33" i="4"/>
  <c r="N32" i="4"/>
  <c r="N31" i="4"/>
  <c r="P4" i="4"/>
  <c r="P7" i="4"/>
  <c r="P10" i="4"/>
  <c r="P13" i="4"/>
  <c r="P16" i="4"/>
  <c r="P19" i="4"/>
  <c r="P22" i="4"/>
  <c r="P25" i="4"/>
  <c r="P28" i="4"/>
  <c r="Q4" i="4"/>
  <c r="P3" i="4"/>
  <c r="P6" i="4"/>
  <c r="P9" i="4"/>
  <c r="P12" i="4"/>
  <c r="P15" i="4"/>
  <c r="P18" i="4"/>
  <c r="P21" i="4"/>
  <c r="P24" i="4"/>
  <c r="P27" i="4"/>
  <c r="Q3" i="4"/>
  <c r="P2" i="4"/>
  <c r="P5" i="4"/>
  <c r="P8" i="4"/>
  <c r="P11" i="4"/>
  <c r="P14" i="4"/>
  <c r="P17" i="4"/>
  <c r="P20" i="4"/>
  <c r="P23" i="4"/>
  <c r="P26" i="4"/>
  <c r="Q2" i="4"/>
  <c r="K31" i="4"/>
  <c r="J31" i="4"/>
  <c r="M33" i="4"/>
  <c r="M32" i="4"/>
  <c r="M31" i="4"/>
  <c r="L33" i="4"/>
  <c r="L32" i="4"/>
  <c r="L31" i="4"/>
  <c r="K33" i="4"/>
  <c r="K32" i="4"/>
  <c r="J32" i="4"/>
  <c r="H16" i="4"/>
  <c r="M44" i="2"/>
  <c r="L44" i="2"/>
  <c r="M43" i="2"/>
  <c r="L43" i="2"/>
  <c r="K44" i="2"/>
  <c r="K43" i="2"/>
  <c r="G4" i="2"/>
  <c r="K4" i="2"/>
  <c r="J4" i="2"/>
  <c r="I4" i="2"/>
  <c r="H4" i="2"/>
  <c r="K10" i="2"/>
  <c r="I10" i="2"/>
  <c r="G10" i="2"/>
  <c r="G7" i="2"/>
  <c r="K7" i="2"/>
  <c r="J7" i="2"/>
  <c r="I7" i="2"/>
  <c r="H7" i="2"/>
  <c r="G6" i="2"/>
  <c r="K6" i="2"/>
  <c r="G3" i="2"/>
  <c r="K3" i="2"/>
  <c r="J3" i="2"/>
  <c r="G9" i="2"/>
  <c r="K9" i="2"/>
  <c r="I5" i="2"/>
  <c r="H5" i="2"/>
  <c r="G5" i="2"/>
  <c r="G8" i="2"/>
  <c r="I3" i="2"/>
  <c r="I2" i="2"/>
  <c r="K5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K8" i="2"/>
  <c r="I9" i="2"/>
  <c r="H3" i="2"/>
  <c r="I16" i="2"/>
  <c r="G20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G84" i="2"/>
  <c r="G83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G82" i="2"/>
  <c r="G19" i="2"/>
  <c r="G70" i="2"/>
  <c r="H70" i="2"/>
  <c r="I70" i="2"/>
  <c r="Q70" i="2"/>
  <c r="J70" i="2"/>
  <c r="K70" i="2"/>
  <c r="L70" i="2"/>
  <c r="R70" i="2"/>
  <c r="M70" i="2"/>
  <c r="N70" i="2"/>
  <c r="O70" i="2"/>
  <c r="P70" i="2"/>
  <c r="G69" i="2"/>
  <c r="H69" i="2"/>
  <c r="I69" i="2"/>
  <c r="Q69" i="2"/>
  <c r="J69" i="2"/>
  <c r="K69" i="2"/>
  <c r="L69" i="2"/>
  <c r="R69" i="2"/>
  <c r="M69" i="2"/>
  <c r="N69" i="2"/>
  <c r="O69" i="2"/>
  <c r="P69" i="2"/>
  <c r="G68" i="2"/>
  <c r="H68" i="2"/>
  <c r="I68" i="2"/>
  <c r="Q68" i="2"/>
  <c r="J68" i="2"/>
  <c r="K68" i="2"/>
  <c r="L68" i="2"/>
  <c r="R68" i="2"/>
  <c r="M68" i="2"/>
  <c r="N68" i="2"/>
  <c r="O68" i="2"/>
  <c r="P68" i="2"/>
  <c r="H105" i="1"/>
  <c r="H104" i="1"/>
  <c r="H103" i="1"/>
  <c r="H102" i="1"/>
  <c r="H101" i="1"/>
  <c r="H100" i="1"/>
  <c r="G105" i="1"/>
  <c r="G104" i="1"/>
  <c r="G103" i="1"/>
  <c r="G102" i="1"/>
  <c r="F105" i="1"/>
  <c r="F104" i="1"/>
  <c r="F103" i="1"/>
  <c r="F102" i="1"/>
  <c r="E105" i="1"/>
  <c r="E104" i="1"/>
  <c r="E103" i="1"/>
  <c r="E102" i="1"/>
  <c r="G101" i="1"/>
  <c r="F101" i="1"/>
  <c r="K35" i="1"/>
  <c r="O49" i="1"/>
  <c r="O56" i="1"/>
  <c r="F100" i="1"/>
  <c r="E101" i="1"/>
  <c r="G100" i="1"/>
  <c r="E100" i="1"/>
  <c r="F97" i="1"/>
  <c r="G97" i="1"/>
  <c r="G99" i="1"/>
  <c r="G98" i="1"/>
  <c r="F99" i="1"/>
  <c r="F98" i="1"/>
  <c r="E99" i="1"/>
  <c r="E98" i="1"/>
  <c r="E97" i="1"/>
  <c r="G93" i="1"/>
  <c r="G92" i="1"/>
  <c r="F93" i="1"/>
  <c r="E93" i="1"/>
  <c r="F92" i="1"/>
  <c r="E92" i="1"/>
  <c r="G91" i="1"/>
  <c r="F91" i="1"/>
  <c r="E91" i="1"/>
  <c r="S2" i="2"/>
  <c r="T2" i="2"/>
  <c r="U2" i="2"/>
  <c r="S3" i="2"/>
  <c r="T3" i="2"/>
  <c r="U3" i="2"/>
  <c r="S4" i="2"/>
  <c r="T4" i="2"/>
  <c r="U4" i="2"/>
  <c r="S5" i="2"/>
  <c r="U5" i="2"/>
  <c r="S6" i="2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2" i="2"/>
  <c r="T12" i="2"/>
  <c r="U12" i="2"/>
  <c r="S13" i="2"/>
  <c r="T13" i="2"/>
  <c r="U13" i="2"/>
  <c r="S14" i="2"/>
  <c r="T14" i="2"/>
  <c r="U14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35" i="2"/>
  <c r="P2" i="2"/>
  <c r="Q2" i="2"/>
  <c r="R2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Q10" i="2"/>
  <c r="R10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R20" i="2"/>
  <c r="R35" i="2"/>
  <c r="N2" i="2"/>
  <c r="O2" i="2"/>
  <c r="N3" i="2"/>
  <c r="O3" i="2"/>
  <c r="N4" i="2"/>
  <c r="O4" i="2"/>
  <c r="M5" i="2"/>
  <c r="N5" i="2"/>
  <c r="O5" i="2"/>
  <c r="M6" i="2"/>
  <c r="N6" i="2"/>
  <c r="O6" i="2"/>
  <c r="M7" i="2"/>
  <c r="N7" i="2"/>
  <c r="O7" i="2"/>
  <c r="N8" i="2"/>
  <c r="O8" i="2"/>
  <c r="M9" i="2"/>
  <c r="N9" i="2"/>
  <c r="O9" i="2"/>
  <c r="M10" i="2"/>
  <c r="N10" i="2"/>
  <c r="O10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Q35" i="2"/>
  <c r="S32" i="2"/>
  <c r="R32" i="2"/>
  <c r="Q32" i="2"/>
  <c r="S29" i="2"/>
  <c r="R29" i="2"/>
  <c r="Q29" i="2"/>
  <c r="S26" i="2"/>
  <c r="R26" i="2"/>
  <c r="Q26" i="2"/>
  <c r="I20" i="2"/>
  <c r="H20" i="2"/>
  <c r="K2" i="2"/>
  <c r="M35" i="2"/>
  <c r="K12" i="2"/>
  <c r="K15" i="2"/>
  <c r="K18" i="2"/>
  <c r="I35" i="2"/>
  <c r="M56" i="2"/>
  <c r="I6" i="2"/>
  <c r="L35" i="2"/>
  <c r="I13" i="2"/>
  <c r="I19" i="2"/>
  <c r="H35" i="2"/>
  <c r="L56" i="2"/>
  <c r="K35" i="2"/>
  <c r="G14" i="2"/>
  <c r="G17" i="2"/>
  <c r="G35" i="2"/>
  <c r="K56" i="2"/>
  <c r="J2" i="2"/>
  <c r="J5" i="2"/>
  <c r="J8" i="2"/>
  <c r="M34" i="2"/>
  <c r="J12" i="2"/>
  <c r="J15" i="2"/>
  <c r="J18" i="2"/>
  <c r="I34" i="2"/>
  <c r="M55" i="2"/>
  <c r="H6" i="2"/>
  <c r="H9" i="2"/>
  <c r="L34" i="2"/>
  <c r="H13" i="2"/>
  <c r="H16" i="2"/>
  <c r="H19" i="2"/>
  <c r="H34" i="2"/>
  <c r="L55" i="2"/>
  <c r="F7" i="2"/>
  <c r="F10" i="2"/>
  <c r="K34" i="2"/>
  <c r="F14" i="2"/>
  <c r="F17" i="2"/>
  <c r="F20" i="2"/>
  <c r="G34" i="2"/>
  <c r="K55" i="2"/>
  <c r="M31" i="2"/>
  <c r="K14" i="2"/>
  <c r="K17" i="2"/>
  <c r="K20" i="2"/>
  <c r="I31" i="2"/>
  <c r="M52" i="2"/>
  <c r="I8" i="2"/>
  <c r="L31" i="2"/>
  <c r="I12" i="2"/>
  <c r="I15" i="2"/>
  <c r="I18" i="2"/>
  <c r="H31" i="2"/>
  <c r="L52" i="2"/>
  <c r="K31" i="2"/>
  <c r="G13" i="2"/>
  <c r="G16" i="2"/>
  <c r="G31" i="2"/>
  <c r="K52" i="2"/>
  <c r="J10" i="2"/>
  <c r="M30" i="2"/>
  <c r="J20" i="2"/>
  <c r="J14" i="2"/>
  <c r="J17" i="2"/>
  <c r="I30" i="2"/>
  <c r="M51" i="2"/>
  <c r="H2" i="2"/>
  <c r="H8" i="2"/>
  <c r="L30" i="2"/>
  <c r="H12" i="2"/>
  <c r="H15" i="2"/>
  <c r="H18" i="2"/>
  <c r="H30" i="2"/>
  <c r="L51" i="2"/>
  <c r="F6" i="2"/>
  <c r="F9" i="2"/>
  <c r="K30" i="2"/>
  <c r="F13" i="2"/>
  <c r="F16" i="2"/>
  <c r="F19" i="2"/>
  <c r="G30" i="2"/>
  <c r="K51" i="2"/>
  <c r="L26" i="2"/>
  <c r="H14" i="2"/>
  <c r="H17" i="2"/>
  <c r="H26" i="2"/>
  <c r="L47" i="2"/>
  <c r="J6" i="2"/>
  <c r="J9" i="2"/>
  <c r="M26" i="2"/>
  <c r="J13" i="2"/>
  <c r="J16" i="2"/>
  <c r="J19" i="2"/>
  <c r="I26" i="2"/>
  <c r="M47" i="2"/>
  <c r="L27" i="2"/>
  <c r="I14" i="2"/>
  <c r="I17" i="2"/>
  <c r="H27" i="2"/>
  <c r="L48" i="2"/>
  <c r="M27" i="2"/>
  <c r="K13" i="2"/>
  <c r="K16" i="2"/>
  <c r="K19" i="2"/>
  <c r="I27" i="2"/>
  <c r="M48" i="2"/>
  <c r="G2" i="2"/>
  <c r="K27" i="2"/>
  <c r="G12" i="2"/>
  <c r="G15" i="2"/>
  <c r="G18" i="2"/>
  <c r="G27" i="2"/>
  <c r="K48" i="2"/>
  <c r="F5" i="2"/>
  <c r="K26" i="2"/>
  <c r="F12" i="2"/>
  <c r="F15" i="2"/>
  <c r="F18" i="2"/>
  <c r="G26" i="2"/>
  <c r="K47" i="2"/>
  <c r="M39" i="2"/>
  <c r="L39" i="2"/>
  <c r="K39" i="2"/>
  <c r="M38" i="2"/>
  <c r="L38" i="2"/>
  <c r="K38" i="2"/>
  <c r="E92" i="2"/>
  <c r="E91" i="2"/>
  <c r="E90" i="2"/>
  <c r="C90" i="2"/>
  <c r="E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D78" i="2"/>
  <c r="D77" i="2"/>
  <c r="D76" i="2"/>
  <c r="C76" i="2"/>
  <c r="D75" i="2"/>
  <c r="C75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D64" i="2"/>
  <c r="D63" i="2"/>
  <c r="E62" i="2"/>
  <c r="D62" i="2"/>
  <c r="E61" i="2"/>
  <c r="D61" i="2"/>
  <c r="C61" i="2"/>
  <c r="E60" i="2"/>
  <c r="D60" i="2"/>
  <c r="C60" i="2"/>
  <c r="E59" i="2"/>
  <c r="D59" i="2"/>
  <c r="C59" i="2"/>
  <c r="E58" i="2"/>
  <c r="D58" i="2"/>
  <c r="C58" i="2"/>
  <c r="C55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6" i="2"/>
  <c r="E45" i="2"/>
  <c r="D45" i="2"/>
  <c r="E44" i="2"/>
  <c r="D44" i="2"/>
  <c r="C44" i="2"/>
  <c r="E43" i="2"/>
  <c r="D43" i="2"/>
  <c r="C43" i="2"/>
  <c r="E42" i="2"/>
  <c r="D42" i="2"/>
  <c r="C42" i="2"/>
  <c r="I39" i="2"/>
  <c r="H39" i="2"/>
  <c r="G39" i="2"/>
  <c r="E41" i="2"/>
  <c r="D41" i="2"/>
  <c r="C41" i="2"/>
  <c r="I38" i="2"/>
  <c r="H38" i="2"/>
  <c r="G38" i="2"/>
  <c r="E40" i="2"/>
  <c r="D40" i="2"/>
  <c r="C40" i="2"/>
  <c r="E39" i="2"/>
  <c r="D39" i="2"/>
  <c r="C39" i="2"/>
  <c r="E36" i="2"/>
  <c r="E35" i="2"/>
  <c r="E34" i="2"/>
  <c r="D34" i="2"/>
  <c r="E33" i="2"/>
  <c r="D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K31" i="1"/>
  <c r="K43" i="1"/>
  <c r="Q51" i="1"/>
  <c r="K37" i="1"/>
  <c r="Q49" i="1"/>
  <c r="Q58" i="1"/>
  <c r="K30" i="1"/>
  <c r="K42" i="1"/>
  <c r="P51" i="1"/>
  <c r="K36" i="1"/>
  <c r="P49" i="1"/>
  <c r="P58" i="1"/>
  <c r="K29" i="1"/>
  <c r="K41" i="1"/>
  <c r="O51" i="1"/>
  <c r="O58" i="1"/>
  <c r="M31" i="1"/>
  <c r="M43" i="1"/>
  <c r="L51" i="1"/>
  <c r="M37" i="1"/>
  <c r="L49" i="1"/>
  <c r="L58" i="1"/>
  <c r="M30" i="1"/>
  <c r="M42" i="1"/>
  <c r="K51" i="1"/>
  <c r="M36" i="1"/>
  <c r="K49" i="1"/>
  <c r="K58" i="1"/>
  <c r="M29" i="1"/>
  <c r="M41" i="1"/>
  <c r="J51" i="1"/>
  <c r="M35" i="1"/>
  <c r="J49" i="1"/>
  <c r="J58" i="1"/>
  <c r="O31" i="1"/>
  <c r="O43" i="1"/>
  <c r="G51" i="1"/>
  <c r="O37" i="1"/>
  <c r="G49" i="1"/>
  <c r="G58" i="1"/>
  <c r="O30" i="1"/>
  <c r="O42" i="1"/>
  <c r="F51" i="1"/>
  <c r="O36" i="1"/>
  <c r="F49" i="1"/>
  <c r="F58" i="1"/>
  <c r="O29" i="1"/>
  <c r="O41" i="1"/>
  <c r="E51" i="1"/>
  <c r="O35" i="1"/>
  <c r="E49" i="1"/>
  <c r="E58" i="1"/>
  <c r="K34" i="1"/>
  <c r="Q47" i="1"/>
  <c r="K40" i="1"/>
  <c r="Q50" i="1"/>
  <c r="Q57" i="1"/>
  <c r="K33" i="1"/>
  <c r="P47" i="1"/>
  <c r="K39" i="1"/>
  <c r="P50" i="1"/>
  <c r="P57" i="1"/>
  <c r="K32" i="1"/>
  <c r="O47" i="1"/>
  <c r="K38" i="1"/>
  <c r="O50" i="1"/>
  <c r="O57" i="1"/>
  <c r="M34" i="1"/>
  <c r="L47" i="1"/>
  <c r="M40" i="1"/>
  <c r="L50" i="1"/>
  <c r="L57" i="1"/>
  <c r="M33" i="1"/>
  <c r="K47" i="1"/>
  <c r="M39" i="1"/>
  <c r="K50" i="1"/>
  <c r="K57" i="1"/>
  <c r="M32" i="1"/>
  <c r="J47" i="1"/>
  <c r="M38" i="1"/>
  <c r="J50" i="1"/>
  <c r="J57" i="1"/>
  <c r="O34" i="1"/>
  <c r="G47" i="1"/>
  <c r="O40" i="1"/>
  <c r="G50" i="1"/>
  <c r="G57" i="1"/>
  <c r="O33" i="1"/>
  <c r="F47" i="1"/>
  <c r="O39" i="1"/>
  <c r="F50" i="1"/>
  <c r="F57" i="1"/>
  <c r="O32" i="1"/>
  <c r="E47" i="1"/>
  <c r="O38" i="1"/>
  <c r="E50" i="1"/>
  <c r="E57" i="1"/>
  <c r="Q48" i="1"/>
  <c r="Q56" i="1"/>
  <c r="P48" i="1"/>
  <c r="P56" i="1"/>
  <c r="O48" i="1"/>
  <c r="L48" i="1"/>
  <c r="L56" i="1"/>
  <c r="K48" i="1"/>
  <c r="K56" i="1"/>
  <c r="J48" i="1"/>
  <c r="J56" i="1"/>
  <c r="G48" i="1"/>
  <c r="G56" i="1"/>
  <c r="F48" i="1"/>
  <c r="F56" i="1"/>
  <c r="E48" i="1"/>
  <c r="E56" i="1"/>
  <c r="Q55" i="1"/>
  <c r="P55" i="1"/>
  <c r="O55" i="1"/>
  <c r="L55" i="1"/>
  <c r="K55" i="1"/>
  <c r="J55" i="1"/>
  <c r="G55" i="1"/>
  <c r="F55" i="1"/>
  <c r="E55" i="1"/>
  <c r="Q54" i="1"/>
  <c r="P54" i="1"/>
  <c r="O54" i="1"/>
  <c r="L54" i="1"/>
  <c r="K54" i="1"/>
  <c r="J54" i="1"/>
  <c r="G54" i="1"/>
  <c r="F54" i="1"/>
  <c r="E54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H16" i="1"/>
  <c r="P15" i="1"/>
  <c r="P14" i="1"/>
  <c r="P13" i="1"/>
  <c r="P12" i="1"/>
  <c r="P11" i="1"/>
  <c r="P10" i="1"/>
  <c r="P9" i="1"/>
  <c r="P8" i="1"/>
  <c r="P7" i="1"/>
  <c r="P6" i="1"/>
  <c r="P5" i="1"/>
  <c r="P4" i="1"/>
  <c r="Q4" i="1"/>
  <c r="P3" i="1"/>
  <c r="Q3" i="1"/>
  <c r="P2" i="1"/>
  <c r="Q2" i="1"/>
</calcChain>
</file>

<file path=xl/sharedStrings.xml><?xml version="1.0" encoding="utf-8"?>
<sst xmlns="http://schemas.openxmlformats.org/spreadsheetml/2006/main" count="464" uniqueCount="172">
  <si>
    <t>Interface</t>
  </si>
  <si>
    <t>Q1</t>
  </si>
  <si>
    <t>Q2</t>
  </si>
  <si>
    <t>Q3</t>
  </si>
  <si>
    <t>Q4</t>
  </si>
  <si>
    <t>Q5</t>
  </si>
  <si>
    <t>Q6</t>
  </si>
  <si>
    <t>t1</t>
  </si>
  <si>
    <t>t2</t>
  </si>
  <si>
    <t>t3</t>
  </si>
  <si>
    <t>t4</t>
  </si>
  <si>
    <t>t5</t>
  </si>
  <si>
    <t>t6</t>
  </si>
  <si>
    <t>error rate</t>
  </si>
  <si>
    <t>Average Error</t>
  </si>
  <si>
    <t>A</t>
  </si>
  <si>
    <t>B</t>
  </si>
  <si>
    <t>C</t>
  </si>
  <si>
    <t xml:space="preserve">A </t>
  </si>
  <si>
    <t xml:space="preserve">B </t>
  </si>
  <si>
    <t xml:space="preserve">C </t>
  </si>
  <si>
    <t>Median</t>
  </si>
  <si>
    <t>A-vis-or-text</t>
  </si>
  <si>
    <t>A-vis</t>
  </si>
  <si>
    <t>A-vis-and-text</t>
  </si>
  <si>
    <t>B-vis-or-text</t>
  </si>
  <si>
    <t>B-vis</t>
  </si>
  <si>
    <t>B-vis-and-text</t>
  </si>
  <si>
    <t>C-vis-or-text</t>
  </si>
  <si>
    <t>C-vis</t>
  </si>
  <si>
    <t>C-vis-and-text</t>
  </si>
  <si>
    <t>Quartile1</t>
  </si>
  <si>
    <t>Quartile3</t>
  </si>
  <si>
    <t>Min</t>
  </si>
  <si>
    <t>Max</t>
  </si>
  <si>
    <t>Vis + Text</t>
  </si>
  <si>
    <t>Vis</t>
  </si>
  <si>
    <t>Vis or Text</t>
  </si>
  <si>
    <t>q1</t>
  </si>
  <si>
    <t>median</t>
  </si>
  <si>
    <t>q3</t>
  </si>
  <si>
    <t>min</t>
  </si>
  <si>
    <t>max</t>
  </si>
  <si>
    <t>median-q1</t>
  </si>
  <si>
    <t>q3-median</t>
  </si>
  <si>
    <t>q1-min</t>
  </si>
  <si>
    <t>max-q3</t>
  </si>
  <si>
    <t>A-time</t>
  </si>
  <si>
    <t>B-time</t>
  </si>
  <si>
    <t>C-time</t>
  </si>
  <si>
    <t>A-MainPoints</t>
  </si>
  <si>
    <t>A-DetailPoints</t>
  </si>
  <si>
    <t>B-MainPoints</t>
  </si>
  <si>
    <t>B-DetailPoints</t>
  </si>
  <si>
    <t>C-MainPoints</t>
  </si>
  <si>
    <t>C-DetailPoints</t>
  </si>
  <si>
    <t>Desai (A,B,C)</t>
  </si>
  <si>
    <t>Melina (C,A,B)</t>
  </si>
  <si>
    <t>Michele (B,C,A)</t>
  </si>
  <si>
    <t>Tiam (A,B,C)</t>
  </si>
  <si>
    <t>Guha(C,A,B)</t>
  </si>
  <si>
    <t>Luke (B,C,A)</t>
  </si>
  <si>
    <t>TzuMao (A,B,C)</t>
  </si>
  <si>
    <t>Roy (C,A,B)</t>
  </si>
  <si>
    <t>User1-A</t>
  </si>
  <si>
    <t>User1-B</t>
  </si>
  <si>
    <t>User1-C</t>
  </si>
  <si>
    <t>Lecture 1</t>
  </si>
  <si>
    <t>Main points</t>
  </si>
  <si>
    <t>Detail points</t>
  </si>
  <si>
    <t>Lecture 2</t>
  </si>
  <si>
    <t>Lecture 3</t>
  </si>
  <si>
    <t>User2-A</t>
  </si>
  <si>
    <t>User2-B</t>
  </si>
  <si>
    <t>User2-C</t>
  </si>
  <si>
    <t>All lectures</t>
  </si>
  <si>
    <t>User3-A</t>
  </si>
  <si>
    <t>User3-B</t>
  </si>
  <si>
    <t>User3-C</t>
  </si>
  <si>
    <t>User4-A</t>
  </si>
  <si>
    <t>User4-B</t>
  </si>
  <si>
    <t>User4-C</t>
  </si>
  <si>
    <t>User5-A</t>
  </si>
  <si>
    <t>User5-B</t>
  </si>
  <si>
    <t>User5-C</t>
  </si>
  <si>
    <t>User6-A</t>
  </si>
  <si>
    <t>User6-B</t>
  </si>
  <si>
    <t>User6-C</t>
  </si>
  <si>
    <t>Mcunn (B,C,A)</t>
  </si>
  <si>
    <t>Main Points</t>
  </si>
  <si>
    <t>Detail Points</t>
  </si>
  <si>
    <t>Baseline</t>
  </si>
  <si>
    <t>NoteVideo</t>
  </si>
  <si>
    <t>Ours</t>
  </si>
  <si>
    <t>Adriana</t>
  </si>
  <si>
    <t>A,B,C</t>
  </si>
  <si>
    <t>Group</t>
  </si>
  <si>
    <t>Participant</t>
  </si>
  <si>
    <t>Date</t>
  </si>
  <si>
    <t>Abigail Choe</t>
  </si>
  <si>
    <t>Masha</t>
  </si>
  <si>
    <t>B-All Points</t>
  </si>
  <si>
    <t>A-All Points</t>
  </si>
  <si>
    <t>C-All Points</t>
  </si>
  <si>
    <t>All Points</t>
  </si>
  <si>
    <t>total median</t>
  </si>
  <si>
    <t>text or visual</t>
  </si>
  <si>
    <t>visual</t>
  </si>
  <si>
    <t>contextual</t>
  </si>
  <si>
    <t>Q3-Median</t>
  </si>
  <si>
    <t>Median - Q1</t>
  </si>
  <si>
    <t>Median-Q1</t>
  </si>
  <si>
    <t>Median-</t>
  </si>
  <si>
    <t>overall</t>
  </si>
  <si>
    <t>My Scoring</t>
  </si>
  <si>
    <t>Nathan's scoring</t>
  </si>
  <si>
    <t>Main Point 1</t>
  </si>
  <si>
    <t>Detail Point 1</t>
  </si>
  <si>
    <t>Detail Point 2</t>
  </si>
  <si>
    <t>Detail Point 3</t>
  </si>
  <si>
    <t>Main Point 2</t>
  </si>
  <si>
    <t>Detail Point 4</t>
  </si>
  <si>
    <t>Detail Point 5</t>
  </si>
  <si>
    <t>Detail Point 6</t>
  </si>
  <si>
    <t>Main Point 3</t>
  </si>
  <si>
    <t>Detail Point 7</t>
  </si>
  <si>
    <t>Detail Point 8</t>
  </si>
  <si>
    <t>Detail Point 9</t>
  </si>
  <si>
    <t>TzuMao (A)</t>
  </si>
  <si>
    <t>Tiam (A)</t>
  </si>
  <si>
    <t>Deasi (A)</t>
  </si>
  <si>
    <t>Michelle(B)</t>
  </si>
  <si>
    <t>Luke (B)</t>
  </si>
  <si>
    <t>Mcunn (B)</t>
  </si>
  <si>
    <t>Melina ©</t>
  </si>
  <si>
    <t>Guha ©</t>
  </si>
  <si>
    <t>Roy ©</t>
  </si>
  <si>
    <t>Basline</t>
  </si>
  <si>
    <t>Detail Point 10</t>
  </si>
  <si>
    <t>Guha (A)</t>
  </si>
  <si>
    <t>Roy (A)</t>
  </si>
  <si>
    <t>Melina (A)</t>
  </si>
  <si>
    <t>Detail Point 11</t>
  </si>
  <si>
    <t>Desai (B)</t>
  </si>
  <si>
    <t>Tiam (B)</t>
  </si>
  <si>
    <t>Tzu Mao (B)</t>
  </si>
  <si>
    <t>Mcunn©</t>
  </si>
  <si>
    <t>Luke©</t>
  </si>
  <si>
    <t>Michelle©</t>
  </si>
  <si>
    <t>Luke(A)</t>
  </si>
  <si>
    <t>Michelle(A)</t>
  </si>
  <si>
    <t>Mcunn(A)</t>
  </si>
  <si>
    <t>Guha(B)</t>
  </si>
  <si>
    <t>Roy(B)</t>
  </si>
  <si>
    <t>Melina(B)</t>
  </si>
  <si>
    <t>Desai©</t>
  </si>
  <si>
    <t>TzuMao©</t>
  </si>
  <si>
    <t>Tiam©</t>
  </si>
  <si>
    <t>Text Only</t>
  </si>
  <si>
    <t>Text or Visual</t>
  </si>
  <si>
    <t>Visual Only</t>
  </si>
  <si>
    <t>Text and Visual</t>
  </si>
  <si>
    <t>Median Time</t>
  </si>
  <si>
    <t>ErrorRate</t>
  </si>
  <si>
    <t>Overall</t>
  </si>
  <si>
    <t>text only</t>
  </si>
  <si>
    <t>Medain</t>
  </si>
  <si>
    <t>Notevideo</t>
  </si>
  <si>
    <t>Textual</t>
  </si>
  <si>
    <t>Visual</t>
  </si>
  <si>
    <t>Contextual</t>
  </si>
  <si>
    <t>Visual Transcript (Ours)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</si>
</sst>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0"/>
      <color rgb="FF0000FF"/>
      <name val="Arial"/>
    </font>
    <font>
      <sz val="10"/>
      <color rgb="FF0000FF"/>
      <name val="Arial"/>
    </font>
    <font>
      <sz val="10"/>
      <color rgb="FFFF0000"/>
      <name val="Arial"/>
    </font>
    <font>
      <b/>
      <sz val="10"/>
      <color theme="5"/>
      <name val="Arial"/>
    </font>
    <font>
      <b/>
      <sz val="10"/>
      <color theme="9"/>
      <name val="Arial"/>
    </font>
    <font>
      <b/>
      <sz val="10"/>
      <color theme="6" tint="-0.499984740745262"/>
      <name val="Arial"/>
    </font>
    <font>
      <sz val="11"/>
      <color rgb="FF000000"/>
      <name val="Arial"/>
    </font>
    <font>
      <b/>
      <sz val="10"/>
      <color rgb="FFFF0000"/>
      <name val="Arial"/>
    </font>
    <font>
      <b/>
      <sz val="10"/>
      <name val="Arial"/>
    </font>
    <font>
      <sz val="13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B00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</fills>
  <borders count="4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9900FF"/>
      </left>
      <right/>
      <top style="thin">
        <color rgb="FF9900FF"/>
      </top>
      <bottom/>
      <diagonal/>
    </border>
    <border>
      <left/>
      <right/>
      <top style="thin">
        <color rgb="FF9900FF"/>
      </top>
      <bottom/>
      <diagonal/>
    </border>
    <border>
      <left/>
      <right style="thin">
        <color rgb="FF9900FF"/>
      </right>
      <top style="thin">
        <color rgb="FF9900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00F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99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00FF"/>
      </left>
      <right/>
      <top/>
      <bottom/>
      <diagonal/>
    </border>
    <border>
      <left/>
      <right style="thin">
        <color rgb="FF9900F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00FF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9900F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9900FF"/>
      </left>
      <right/>
      <top/>
      <bottom style="thin">
        <color rgb="FF9900FF"/>
      </bottom>
      <diagonal/>
    </border>
    <border>
      <left/>
      <right/>
      <top/>
      <bottom style="thin">
        <color rgb="FF9900FF"/>
      </bottom>
      <diagonal/>
    </border>
    <border>
      <left/>
      <right style="thin">
        <color rgb="FF9900FF"/>
      </right>
      <top/>
      <bottom style="thin">
        <color rgb="FF9900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0">
    <xf numFmtId="0" fontId="0" fillId="0" borderId="0"/>
    <xf numFmtId="0" fontId="1" fillId="2" borderId="1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68">
    <xf numFmtId="0" fontId="0" fillId="0" borderId="0" xfId="0"/>
    <xf numFmtId="14" fontId="3" fillId="0" borderId="0" xfId="0" applyNumberFormat="1" applyFont="1" applyAlignment="1"/>
    <xf numFmtId="0" fontId="3" fillId="0" borderId="0" xfId="0" applyFont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2" fillId="4" borderId="0" xfId="0" applyFont="1" applyFill="1" applyAlignment="1"/>
    <xf numFmtId="0" fontId="3" fillId="0" borderId="5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5" borderId="7" xfId="0" applyFont="1" applyFill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5" xfId="0" applyFont="1" applyBorder="1"/>
    <xf numFmtId="0" fontId="4" fillId="0" borderId="0" xfId="0" applyFont="1"/>
    <xf numFmtId="0" fontId="5" fillId="0" borderId="0" xfId="0" applyFo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3" xfId="0" applyFont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5" borderId="15" xfId="0" applyFont="1" applyFill="1" applyBorder="1"/>
    <xf numFmtId="0" fontId="3" fillId="0" borderId="16" xfId="0" applyFont="1" applyBorder="1" applyAlignment="1"/>
    <xf numFmtId="0" fontId="6" fillId="5" borderId="15" xfId="0" applyFont="1" applyFill="1" applyBorder="1" applyAlignment="1"/>
    <xf numFmtId="0" fontId="3" fillId="0" borderId="18" xfId="0" applyFont="1" applyBorder="1"/>
    <xf numFmtId="0" fontId="3" fillId="5" borderId="6" xfId="0" applyFont="1" applyFill="1" applyBorder="1"/>
    <xf numFmtId="0" fontId="6" fillId="5" borderId="7" xfId="0" applyFont="1" applyFill="1" applyBorder="1" applyAlignment="1"/>
    <xf numFmtId="0" fontId="3" fillId="5" borderId="10" xfId="0" applyFont="1" applyFill="1" applyBorder="1" applyAlignment="1"/>
    <xf numFmtId="0" fontId="3" fillId="5" borderId="0" xfId="0" applyFont="1" applyFill="1" applyAlignment="1"/>
    <xf numFmtId="0" fontId="6" fillId="5" borderId="0" xfId="0" applyFont="1" applyFill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5" borderId="15" xfId="0" applyFont="1" applyFill="1" applyBorder="1" applyAlignment="1"/>
    <xf numFmtId="0" fontId="3" fillId="5" borderId="11" xfId="0" applyFont="1" applyFill="1" applyBorder="1" applyAlignment="1"/>
    <xf numFmtId="0" fontId="3" fillId="5" borderId="12" xfId="0" applyFont="1" applyFill="1" applyBorder="1" applyAlignment="1"/>
    <xf numFmtId="0" fontId="3" fillId="5" borderId="6" xfId="0" applyFont="1" applyFill="1" applyBorder="1" applyAlignment="1"/>
    <xf numFmtId="0" fontId="3" fillId="0" borderId="22" xfId="0" applyFont="1" applyBorder="1" applyAlignment="1"/>
    <xf numFmtId="0" fontId="3" fillId="0" borderId="23" xfId="0" applyFont="1" applyBorder="1" applyAlignment="1"/>
    <xf numFmtId="0" fontId="3" fillId="5" borderId="23" xfId="0" applyFont="1" applyFill="1" applyBorder="1" applyAlignment="1"/>
    <xf numFmtId="0" fontId="3" fillId="0" borderId="24" xfId="0" applyFont="1" applyBorder="1" applyAlignment="1"/>
    <xf numFmtId="0" fontId="7" fillId="0" borderId="0" xfId="0" applyFont="1"/>
    <xf numFmtId="0" fontId="7" fillId="0" borderId="0" xfId="0" applyFont="1" applyAlignment="1"/>
    <xf numFmtId="0" fontId="7" fillId="0" borderId="0" xfId="0" applyFont="1" applyFill="1" applyBorder="1" applyAlignment="1"/>
    <xf numFmtId="0" fontId="8" fillId="0" borderId="0" xfId="0" applyFont="1"/>
    <xf numFmtId="0" fontId="8" fillId="0" borderId="0" xfId="0" applyFont="1" applyAlignment="1"/>
    <xf numFmtId="0" fontId="8" fillId="0" borderId="0" xfId="0" applyFont="1" applyFill="1" applyBorder="1" applyAlignment="1"/>
    <xf numFmtId="0" fontId="9" fillId="0" borderId="0" xfId="0" applyFont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0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3" fillId="3" borderId="0" xfId="0" applyFont="1" applyFill="1" applyAlignment="1"/>
    <xf numFmtId="0" fontId="3" fillId="3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6" borderId="0" xfId="0" applyFont="1" applyFill="1" applyAlignment="1"/>
    <xf numFmtId="0" fontId="3" fillId="7" borderId="0" xfId="0" applyFont="1" applyFill="1" applyAlignment="1"/>
    <xf numFmtId="14" fontId="2" fillId="0" borderId="0" xfId="0" applyNumberFormat="1" applyFont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3" borderId="0" xfId="0" applyFont="1" applyFill="1" applyAlignment="1"/>
    <xf numFmtId="0" fontId="2" fillId="0" borderId="0" xfId="0" applyFont="1"/>
    <xf numFmtId="0" fontId="10" fillId="3" borderId="0" xfId="0" applyFont="1" applyFill="1" applyAlignment="1">
      <alignment horizontal="left"/>
    </xf>
    <xf numFmtId="0" fontId="2" fillId="3" borderId="0" xfId="0" applyFont="1" applyFill="1"/>
    <xf numFmtId="0" fontId="11" fillId="0" borderId="0" xfId="0" applyFont="1" applyAlignment="1"/>
    <xf numFmtId="0" fontId="11" fillId="0" borderId="0" xfId="0" applyFont="1"/>
    <xf numFmtId="0" fontId="3" fillId="3" borderId="19" xfId="0" applyFont="1" applyFill="1" applyBorder="1" applyAlignment="1"/>
    <xf numFmtId="0" fontId="3" fillId="0" borderId="12" xfId="0" applyFont="1" applyBorder="1"/>
    <xf numFmtId="0" fontId="3" fillId="0" borderId="15" xfId="0" applyFont="1" applyBorder="1"/>
    <xf numFmtId="0" fontId="3" fillId="0" borderId="17" xfId="0" applyFont="1" applyBorder="1"/>
    <xf numFmtId="0" fontId="3" fillId="6" borderId="19" xfId="0" applyFont="1" applyFill="1" applyBorder="1" applyAlignment="1"/>
    <xf numFmtId="0" fontId="3" fillId="7" borderId="19" xfId="0" applyFont="1" applyFill="1" applyBorder="1" applyAlignment="1"/>
    <xf numFmtId="0" fontId="3" fillId="2" borderId="1" xfId="1" applyFont="1" applyAlignment="1"/>
    <xf numFmtId="0" fontId="0" fillId="2" borderId="1" xfId="1" applyFont="1" applyAlignment="1"/>
    <xf numFmtId="0" fontId="12" fillId="2" borderId="1" xfId="1" applyFont="1" applyAlignment="1"/>
    <xf numFmtId="0" fontId="13" fillId="0" borderId="0" xfId="0" applyFont="1"/>
    <xf numFmtId="0" fontId="13" fillId="9" borderId="0" xfId="0" applyFont="1" applyFill="1"/>
    <xf numFmtId="0" fontId="13" fillId="10" borderId="0" xfId="0" applyFont="1" applyFill="1"/>
    <xf numFmtId="164" fontId="0" fillId="0" borderId="0" xfId="0" applyNumberFormat="1" applyFont="1" applyAlignment="1"/>
    <xf numFmtId="2" fontId="3" fillId="0" borderId="17" xfId="0" applyNumberFormat="1" applyFont="1" applyBorder="1"/>
    <xf numFmtId="0" fontId="16" fillId="0" borderId="0" xfId="0" applyFont="1" applyAlignment="1"/>
    <xf numFmtId="0" fontId="12" fillId="8" borderId="0" xfId="0" applyFont="1" applyFill="1" applyBorder="1" applyAlignment="1"/>
    <xf numFmtId="0" fontId="12" fillId="0" borderId="0" xfId="0" applyFont="1" applyFill="1" applyBorder="1" applyAlignment="1"/>
    <xf numFmtId="164" fontId="16" fillId="0" borderId="0" xfId="0" applyNumberFormat="1" applyFont="1" applyAlignment="1"/>
    <xf numFmtId="0" fontId="12" fillId="10" borderId="0" xfId="0" applyFont="1" applyFill="1" applyBorder="1" applyAlignment="1"/>
    <xf numFmtId="0" fontId="12" fillId="9" borderId="0" xfId="0" applyFont="1" applyFill="1" applyBorder="1" applyAlignment="1"/>
    <xf numFmtId="0" fontId="0" fillId="0" borderId="0" xfId="0" applyFont="1"/>
    <xf numFmtId="14" fontId="0" fillId="0" borderId="0" xfId="0" applyNumberFormat="1"/>
    <xf numFmtId="0" fontId="13" fillId="11" borderId="0" xfId="0" applyFont="1" applyFill="1"/>
    <xf numFmtId="0" fontId="3" fillId="3" borderId="25" xfId="0" applyFont="1" applyFill="1" applyBorder="1" applyAlignment="1"/>
    <xf numFmtId="0" fontId="3" fillId="0" borderId="26" xfId="0" applyFont="1" applyBorder="1" applyAlignment="1"/>
    <xf numFmtId="0" fontId="3" fillId="0" borderId="27" xfId="0" applyFont="1" applyBorder="1" applyAlignment="1"/>
    <xf numFmtId="0" fontId="3" fillId="0" borderId="30" xfId="0" applyFont="1" applyBorder="1" applyAlignment="1"/>
    <xf numFmtId="0" fontId="3" fillId="6" borderId="25" xfId="0" applyFont="1" applyFill="1" applyBorder="1" applyAlignment="1"/>
    <xf numFmtId="0" fontId="3" fillId="7" borderId="25" xfId="0" applyFont="1" applyFill="1" applyBorder="1" applyAlignment="1"/>
    <xf numFmtId="0" fontId="12" fillId="2" borderId="33" xfId="1" applyFont="1" applyBorder="1" applyAlignment="1"/>
    <xf numFmtId="0" fontId="0" fillId="2" borderId="34" xfId="1" applyFont="1" applyBorder="1" applyAlignment="1"/>
    <xf numFmtId="0" fontId="0" fillId="2" borderId="35" xfId="1" applyFont="1" applyBorder="1" applyAlignment="1"/>
    <xf numFmtId="0" fontId="3" fillId="2" borderId="36" xfId="1" applyFont="1" applyBorder="1" applyAlignment="1"/>
    <xf numFmtId="0" fontId="0" fillId="2" borderId="1" xfId="1" applyFont="1" applyBorder="1" applyAlignment="1"/>
    <xf numFmtId="0" fontId="0" fillId="2" borderId="37" xfId="1" applyFont="1" applyBorder="1" applyAlignment="1"/>
    <xf numFmtId="0" fontId="10" fillId="3" borderId="0" xfId="0" applyFont="1" applyFill="1" applyAlignment="1">
      <alignment horizontal="right"/>
    </xf>
    <xf numFmtId="0" fontId="16" fillId="11" borderId="25" xfId="0" applyFont="1" applyFill="1" applyBorder="1" applyAlignment="1"/>
    <xf numFmtId="0" fontId="16" fillId="0" borderId="26" xfId="0" applyFont="1" applyBorder="1" applyAlignment="1"/>
    <xf numFmtId="0" fontId="11" fillId="0" borderId="26" xfId="0" applyFont="1" applyBorder="1" applyAlignment="1"/>
    <xf numFmtId="0" fontId="11" fillId="0" borderId="27" xfId="0" applyFont="1" applyBorder="1" applyAlignment="1"/>
    <xf numFmtId="0" fontId="3" fillId="0" borderId="28" xfId="0" applyFont="1" applyBorder="1" applyAlignment="1"/>
    <xf numFmtId="0" fontId="0" fillId="12" borderId="28" xfId="0" applyFont="1" applyFill="1" applyBorder="1" applyAlignment="1"/>
    <xf numFmtId="0" fontId="0" fillId="13" borderId="28" xfId="0" applyFont="1" applyFill="1" applyBorder="1" applyAlignment="1"/>
    <xf numFmtId="0" fontId="0" fillId="10" borderId="30" xfId="0" applyFont="1" applyFill="1" applyBorder="1" applyAlignment="1"/>
    <xf numFmtId="0" fontId="0" fillId="0" borderId="0" xfId="0" applyFont="1" applyFill="1" applyBorder="1" applyAlignment="1"/>
    <xf numFmtId="0" fontId="0" fillId="10" borderId="38" xfId="0" applyFont="1" applyFill="1" applyBorder="1" applyAlignment="1"/>
    <xf numFmtId="0" fontId="0" fillId="0" borderId="39" xfId="0" applyFont="1" applyBorder="1" applyAlignment="1"/>
    <xf numFmtId="0" fontId="0" fillId="0" borderId="40" xfId="0" applyFont="1" applyBorder="1" applyAlignment="1"/>
    <xf numFmtId="0" fontId="0" fillId="0" borderId="41" xfId="0" applyFont="1" applyBorder="1" applyAlignment="1"/>
    <xf numFmtId="0" fontId="0" fillId="0" borderId="42" xfId="0" applyFont="1" applyBorder="1" applyAlignment="1"/>
    <xf numFmtId="0" fontId="0" fillId="0" borderId="41" xfId="0" applyFont="1" applyFill="1" applyBorder="1" applyAlignment="1"/>
    <xf numFmtId="0" fontId="3" fillId="0" borderId="41" xfId="0" applyFont="1" applyFill="1" applyBorder="1" applyAlignment="1"/>
    <xf numFmtId="0" fontId="3" fillId="12" borderId="41" xfId="0" applyFont="1" applyFill="1" applyBorder="1" applyAlignment="1"/>
    <xf numFmtId="0" fontId="3" fillId="13" borderId="41" xfId="0" applyFont="1" applyFill="1" applyBorder="1" applyAlignment="1"/>
    <xf numFmtId="0" fontId="3" fillId="10" borderId="43" xfId="0" applyFont="1" applyFill="1" applyBorder="1" applyAlignment="1"/>
    <xf numFmtId="0" fontId="0" fillId="0" borderId="44" xfId="0" applyFont="1" applyBorder="1" applyAlignment="1"/>
    <xf numFmtId="0" fontId="0" fillId="0" borderId="45" xfId="0" applyFont="1" applyBorder="1" applyAlignment="1"/>
    <xf numFmtId="0" fontId="0" fillId="9" borderId="38" xfId="0" applyFont="1" applyFill="1" applyBorder="1" applyAlignment="1"/>
    <xf numFmtId="164" fontId="11" fillId="0" borderId="0" xfId="0" applyNumberFormat="1" applyFont="1"/>
    <xf numFmtId="0" fontId="3" fillId="14" borderId="6" xfId="0" applyFont="1" applyFill="1" applyBorder="1" applyAlignment="1"/>
    <xf numFmtId="0" fontId="3" fillId="14" borderId="7" xfId="0" applyFont="1" applyFill="1" applyBorder="1" applyAlignment="1"/>
    <xf numFmtId="0" fontId="3" fillId="14" borderId="14" xfId="0" applyFont="1" applyFill="1" applyBorder="1" applyAlignment="1"/>
    <xf numFmtId="0" fontId="3" fillId="14" borderId="15" xfId="0" applyFont="1" applyFill="1" applyBorder="1" applyAlignment="1"/>
    <xf numFmtId="0" fontId="3" fillId="14" borderId="19" xfId="0" applyFont="1" applyFill="1" applyBorder="1" applyAlignment="1"/>
    <xf numFmtId="0" fontId="3" fillId="14" borderId="0" xfId="0" applyFont="1" applyFill="1" applyAlignment="1"/>
    <xf numFmtId="0" fontId="3" fillId="15" borderId="7" xfId="0" applyFont="1" applyFill="1" applyBorder="1" applyAlignment="1"/>
    <xf numFmtId="0" fontId="3" fillId="15" borderId="0" xfId="0" applyFont="1" applyFill="1" applyAlignment="1"/>
    <xf numFmtId="0" fontId="3" fillId="15" borderId="15" xfId="0" applyFont="1" applyFill="1" applyBorder="1" applyAlignment="1"/>
    <xf numFmtId="0" fontId="3" fillId="16" borderId="12" xfId="0" applyFont="1" applyFill="1" applyBorder="1" applyAlignment="1"/>
    <xf numFmtId="0" fontId="3" fillId="16" borderId="9" xfId="0" applyFont="1" applyFill="1" applyBorder="1" applyAlignment="1"/>
    <xf numFmtId="0" fontId="3" fillId="16" borderId="17" xfId="0" applyFont="1" applyFill="1" applyBorder="1" applyAlignment="1"/>
    <xf numFmtId="0" fontId="3" fillId="16" borderId="7" xfId="0" applyFont="1" applyFill="1" applyBorder="1" applyAlignment="1"/>
    <xf numFmtId="0" fontId="3" fillId="16" borderId="0" xfId="0" applyFont="1" applyFill="1" applyAlignment="1"/>
    <xf numFmtId="0" fontId="3" fillId="16" borderId="15" xfId="0" applyFont="1" applyFill="1" applyBorder="1" applyAlignment="1"/>
    <xf numFmtId="0" fontId="3" fillId="14" borderId="21" xfId="0" applyFont="1" applyFill="1" applyBorder="1" applyAlignment="1"/>
    <xf numFmtId="0" fontId="3" fillId="10" borderId="7" xfId="0" applyFont="1" applyFill="1" applyBorder="1" applyAlignment="1"/>
    <xf numFmtId="0" fontId="3" fillId="10" borderId="0" xfId="0" applyFont="1" applyFill="1" applyAlignment="1"/>
    <xf numFmtId="0" fontId="3" fillId="10" borderId="19" xfId="0" applyFont="1" applyFill="1" applyBorder="1" applyAlignment="1"/>
    <xf numFmtId="0" fontId="3" fillId="10" borderId="15" xfId="0" applyFont="1" applyFill="1" applyBorder="1" applyAlignment="1"/>
    <xf numFmtId="0" fontId="3" fillId="10" borderId="20" xfId="0" applyFont="1" applyFill="1" applyBorder="1" applyAlignment="1"/>
    <xf numFmtId="0" fontId="3" fillId="0" borderId="0" xfId="0" applyFont="1" applyFill="1" applyBorder="1" applyAlignment="1"/>
    <xf numFmtId="0" fontId="0" fillId="0" borderId="0" xfId="0" applyBorder="1"/>
    <xf numFmtId="0" fontId="0" fillId="0" borderId="38" xfId="0" applyBorder="1"/>
    <xf numFmtId="0" fontId="3" fillId="0" borderId="39" xfId="0" applyFont="1" applyFill="1" applyBorder="1" applyAlignment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3" fillId="0" borderId="44" xfId="0" applyFont="1" applyFill="1" applyBorder="1" applyAlignment="1"/>
    <xf numFmtId="0" fontId="0" fillId="0" borderId="44" xfId="0" applyBorder="1"/>
    <xf numFmtId="0" fontId="0" fillId="0" borderId="45" xfId="0" applyBorder="1"/>
    <xf numFmtId="0" fontId="0" fillId="13" borderId="0" xfId="0" applyFont="1" applyFill="1" applyBorder="1" applyAlignment="1"/>
    <xf numFmtId="0" fontId="0" fillId="13" borderId="29" xfId="0" applyFont="1" applyFill="1" applyBorder="1" applyAlignment="1"/>
  </cellXfs>
  <cellStyles count="1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Normal" xfId="0" builtinId="0"/>
    <cellStyle name="Note" xfId="1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Text &amp; Visual Search</a:t>
            </a:r>
            <a:r>
              <a:rPr lang="en-US" baseline="0">
                <a:latin typeface="Times"/>
                <a:cs typeface="Times"/>
              </a:rPr>
              <a:t> Task</a:t>
            </a:r>
            <a:endParaRPr lang="en-US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'Search Task (Remove incorrect)'!$E$57:$G$57</c:f>
                <c:numCache>
                  <c:formatCode>General</c:formatCode>
                  <c:ptCount val="3"/>
                  <c:pt idx="0">
                    <c:v>12.0</c:v>
                  </c:pt>
                  <c:pt idx="1">
                    <c:v>9.0</c:v>
                  </c:pt>
                  <c:pt idx="2">
                    <c:v>3.25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incorrect)'!$E$46:$G$46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incorrect)'!$E$54:$G$54</c:f>
              <c:numCache>
                <c:formatCode>General</c:formatCode>
                <c:ptCount val="3"/>
                <c:pt idx="0">
                  <c:v>19.0</c:v>
                </c:pt>
                <c:pt idx="1">
                  <c:v>13.0</c:v>
                </c:pt>
                <c:pt idx="2">
                  <c:v>9.25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effectLst/>
          </c:spPr>
          <c:invertIfNegative val="0"/>
          <c:cat>
            <c:strRef>
              <c:f>'Search Task (Remove incorrect)'!$E$46:$G$46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incorrect)'!$E$55:$G$55</c:f>
              <c:numCache>
                <c:formatCode>General</c:formatCode>
                <c:ptCount val="3"/>
                <c:pt idx="0">
                  <c:v>11.0</c:v>
                </c:pt>
                <c:pt idx="1">
                  <c:v>9.0</c:v>
                </c:pt>
                <c:pt idx="2">
                  <c:v>8.75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'Search Task (Remove incorrect)'!$E$58:$G$58</c:f>
                <c:numCache>
                  <c:formatCode>General</c:formatCode>
                  <c:ptCount val="3"/>
                  <c:pt idx="0">
                    <c:v>53.0</c:v>
                  </c:pt>
                  <c:pt idx="1">
                    <c:v>46.0</c:v>
                  </c:pt>
                  <c:pt idx="2">
                    <c:v>80.5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incorrect)'!$E$46:$G$46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incorrect)'!$E$56:$G$56</c:f>
              <c:numCache>
                <c:formatCode>General</c:formatCode>
                <c:ptCount val="3"/>
                <c:pt idx="0">
                  <c:v>2.0</c:v>
                </c:pt>
                <c:pt idx="1">
                  <c:v>12.0</c:v>
                </c:pt>
                <c:pt idx="2">
                  <c:v>35.5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121038536"/>
        <c:axId val="2120781416"/>
      </c:barChart>
      <c:catAx>
        <c:axId val="212103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781416"/>
        <c:crosses val="autoZero"/>
        <c:auto val="1"/>
        <c:lblAlgn val="ctr"/>
        <c:lblOffset val="100"/>
        <c:noMultiLvlLbl val="0"/>
      </c:catAx>
      <c:valAx>
        <c:axId val="2120781416"/>
        <c:scaling>
          <c:orientation val="minMax"/>
          <c:max val="14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21038536"/>
        <c:crosses val="autoZero"/>
        <c:crossBetween val="between"/>
        <c:maj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Visual Search</a:t>
            </a:r>
            <a:r>
              <a:rPr lang="en-US" baseline="0">
                <a:latin typeface="Times"/>
                <a:cs typeface="Times"/>
              </a:rPr>
              <a:t> Task</a:t>
            </a:r>
            <a:endParaRPr lang="en-US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'Search Task (Remove incorrect)'!$J$57:$L$57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4.0</c:v>
                  </c:pt>
                  <c:pt idx="2">
                    <c:v>4.25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incorrect)'!$J$46:$L$46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incorrect)'!$J$54:$L$54</c:f>
              <c:numCache>
                <c:formatCode>General</c:formatCode>
                <c:ptCount val="3"/>
                <c:pt idx="0">
                  <c:v>12.0</c:v>
                </c:pt>
                <c:pt idx="1">
                  <c:v>6.0</c:v>
                </c:pt>
                <c:pt idx="2">
                  <c:v>10.25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effectLst/>
          </c:spPr>
          <c:invertIfNegative val="0"/>
          <c:cat>
            <c:strRef>
              <c:f>'Search Task (Remove incorrect)'!$J$46:$L$46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incorrect)'!$J$55:$L$55</c:f>
              <c:numCache>
                <c:formatCode>General</c:formatCode>
                <c:ptCount val="3"/>
                <c:pt idx="0">
                  <c:v>6.0</c:v>
                </c:pt>
                <c:pt idx="1">
                  <c:v>3.0</c:v>
                </c:pt>
                <c:pt idx="2">
                  <c:v>3.75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'Search Task (Remove incorrect)'!$J$58:$L$58</c:f>
                <c:numCache>
                  <c:formatCode>General</c:formatCode>
                  <c:ptCount val="3"/>
                  <c:pt idx="0">
                    <c:v>110.25</c:v>
                  </c:pt>
                  <c:pt idx="1">
                    <c:v>45.0</c:v>
                  </c:pt>
                  <c:pt idx="2">
                    <c:v>83.0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incorrect)'!$J$46:$L$46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incorrect)'!$J$56:$L$56</c:f>
              <c:numCache>
                <c:formatCode>General</c:formatCode>
                <c:ptCount val="3"/>
                <c:pt idx="0">
                  <c:v>10.75</c:v>
                </c:pt>
                <c:pt idx="1">
                  <c:v>6.0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121103848"/>
        <c:axId val="2121106968"/>
      </c:barChart>
      <c:catAx>
        <c:axId val="212110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06968"/>
        <c:crosses val="autoZero"/>
        <c:auto val="1"/>
        <c:lblAlgn val="ctr"/>
        <c:lblOffset val="100"/>
        <c:noMultiLvlLbl val="0"/>
      </c:catAx>
      <c:valAx>
        <c:axId val="2121106968"/>
        <c:scaling>
          <c:orientation val="minMax"/>
          <c:max val="14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21103848"/>
        <c:crosses val="autoZero"/>
        <c:crossBetween val="between"/>
        <c:maj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Visual or Text Search </a:t>
            </a:r>
            <a:r>
              <a:rPr lang="en-US" baseline="0">
                <a:latin typeface="Times"/>
                <a:cs typeface="Times"/>
              </a:rPr>
              <a:t>Task</a:t>
            </a:r>
            <a:endParaRPr lang="en-US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'Search Task (Remove incorrect)'!$O$57:$Q$57</c:f>
                <c:numCache>
                  <c:formatCode>General</c:formatCode>
                  <c:ptCount val="3"/>
                  <c:pt idx="0">
                    <c:v>10.75</c:v>
                  </c:pt>
                  <c:pt idx="1">
                    <c:v>4.0</c:v>
                  </c:pt>
                  <c:pt idx="2">
                    <c:v>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incorrect)'!$O$46:$Q$46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incorrect)'!$O$54:$Q$54</c:f>
              <c:numCache>
                <c:formatCode>General</c:formatCode>
                <c:ptCount val="3"/>
                <c:pt idx="0">
                  <c:v>14.75</c:v>
                </c:pt>
                <c:pt idx="1">
                  <c:v>7.0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effectLst/>
          </c:spPr>
          <c:invertIfNegative val="0"/>
          <c:cat>
            <c:strRef>
              <c:f>'Search Task (Remove incorrect)'!$O$46:$Q$46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incorrect)'!$O$55:$Q$55</c:f>
              <c:numCache>
                <c:formatCode>General</c:formatCode>
                <c:ptCount val="3"/>
                <c:pt idx="0">
                  <c:v>12.75</c:v>
                </c:pt>
                <c:pt idx="1">
                  <c:v>9.0</c:v>
                </c:pt>
                <c:pt idx="2">
                  <c:v>9.0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'Search Task (Remove incorrect)'!$O$58:$Q$58</c:f>
                <c:numCache>
                  <c:formatCode>General</c:formatCode>
                  <c:ptCount val="3"/>
                  <c:pt idx="0">
                    <c:v>45.0</c:v>
                  </c:pt>
                  <c:pt idx="1">
                    <c:v>166.5</c:v>
                  </c:pt>
                  <c:pt idx="2">
                    <c:v>143.0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incorrect)'!$O$46:$Q$46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incorrect)'!$O$56:$Q$56</c:f>
              <c:numCache>
                <c:formatCode>General</c:formatCode>
                <c:ptCount val="3"/>
                <c:pt idx="0">
                  <c:v>30.5</c:v>
                </c:pt>
                <c:pt idx="1">
                  <c:v>8.5</c:v>
                </c:pt>
                <c:pt idx="2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121144424"/>
        <c:axId val="2121147544"/>
      </c:barChart>
      <c:catAx>
        <c:axId val="212114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47544"/>
        <c:crosses val="autoZero"/>
        <c:auto val="1"/>
        <c:lblAlgn val="ctr"/>
        <c:lblOffset val="100"/>
        <c:noMultiLvlLbl val="0"/>
      </c:catAx>
      <c:valAx>
        <c:axId val="2121147544"/>
        <c:scaling>
          <c:orientation val="minMax"/>
          <c:max val="20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21144424"/>
        <c:crosses val="autoZero"/>
        <c:crossBetween val="between"/>
        <c:maj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'Search Task (Remove incorrect)'!$D$97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'Search Task (Remove incorrect)'!$E$100:$H$100</c:f>
                <c:numCache>
                  <c:formatCode>General</c:formatCode>
                  <c:ptCount val="4"/>
                  <c:pt idx="0">
                    <c:v>10.75</c:v>
                  </c:pt>
                  <c:pt idx="1">
                    <c:v>30.5</c:v>
                  </c:pt>
                  <c:pt idx="2">
                    <c:v>2.0</c:v>
                  </c:pt>
                  <c:pt idx="3">
                    <c:v>13.0</c:v>
                  </c:pt>
                </c:numCache>
              </c:numRef>
            </c:plus>
            <c:minus>
              <c:numRef>
                <c:f>'Search Task (Remove incorrect)'!$E$101:$H$101</c:f>
                <c:numCache>
                  <c:formatCode>General</c:formatCode>
                  <c:ptCount val="4"/>
                  <c:pt idx="0">
                    <c:v>6.0</c:v>
                  </c:pt>
                  <c:pt idx="1">
                    <c:v>12.75</c:v>
                  </c:pt>
                  <c:pt idx="2">
                    <c:v>11.0</c:v>
                  </c:pt>
                  <c:pt idx="3">
                    <c:v>8.0</c:v>
                  </c:pt>
                </c:numCache>
              </c:numRef>
            </c:minus>
          </c:errBars>
          <c:cat>
            <c:strRef>
              <c:f>'Search Task (Remove incorrect)'!$E$96:$H$96</c:f>
              <c:strCache>
                <c:ptCount val="4"/>
                <c:pt idx="0">
                  <c:v>visual</c:v>
                </c:pt>
                <c:pt idx="1">
                  <c:v>text or visual</c:v>
                </c:pt>
                <c:pt idx="2">
                  <c:v>contextual</c:v>
                </c:pt>
                <c:pt idx="3">
                  <c:v>overall</c:v>
                </c:pt>
              </c:strCache>
            </c:strRef>
          </c:cat>
          <c:val>
            <c:numRef>
              <c:f>'Search Task (Remove incorrect)'!$E$97:$H$97</c:f>
              <c:numCache>
                <c:formatCode>General</c:formatCode>
                <c:ptCount val="4"/>
                <c:pt idx="0">
                  <c:v>18.0</c:v>
                </c:pt>
                <c:pt idx="1">
                  <c:v>30.0</c:v>
                </c:pt>
                <c:pt idx="2">
                  <c:v>27.5</c:v>
                </c:pt>
                <c:pt idx="3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'Search Task (Remove incorrect)'!$D$98</c:f>
              <c:strCache>
                <c:ptCount val="1"/>
                <c:pt idx="0">
                  <c:v>NoteVideo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'Search Task (Remove incorrect)'!$E$102:$H$102</c:f>
                <c:numCache>
                  <c:formatCode>General</c:formatCode>
                  <c:ptCount val="4"/>
                  <c:pt idx="0">
                    <c:v>6.0</c:v>
                  </c:pt>
                  <c:pt idx="1">
                    <c:v>25.0</c:v>
                  </c:pt>
                  <c:pt idx="2">
                    <c:v>12.0</c:v>
                  </c:pt>
                  <c:pt idx="3">
                    <c:v>14.5</c:v>
                  </c:pt>
                </c:numCache>
              </c:numRef>
            </c:plus>
            <c:minus>
              <c:numRef>
                <c:f>'Search Task (Remove incorrect)'!$E$103:$H$103</c:f>
                <c:numCache>
                  <c:formatCode>General</c:formatCode>
                  <c:ptCount val="4"/>
                  <c:pt idx="0">
                    <c:v>3.0</c:v>
                  </c:pt>
                  <c:pt idx="1">
                    <c:v>4.0</c:v>
                  </c:pt>
                  <c:pt idx="2">
                    <c:v>9.0</c:v>
                  </c:pt>
                  <c:pt idx="3">
                    <c:v>7.0</c:v>
                  </c:pt>
                </c:numCache>
              </c:numRef>
            </c:minus>
          </c:errBars>
          <c:cat>
            <c:strRef>
              <c:f>'Search Task (Remove incorrect)'!$E$96:$H$96</c:f>
              <c:strCache>
                <c:ptCount val="4"/>
                <c:pt idx="0">
                  <c:v>visual</c:v>
                </c:pt>
                <c:pt idx="1">
                  <c:v>text or visual</c:v>
                </c:pt>
                <c:pt idx="2">
                  <c:v>contextual</c:v>
                </c:pt>
                <c:pt idx="3">
                  <c:v>overall</c:v>
                </c:pt>
              </c:strCache>
            </c:strRef>
          </c:cat>
          <c:val>
            <c:numRef>
              <c:f>'Search Task (Remove incorrect)'!$E$98:$H$98</c:f>
              <c:numCache>
                <c:formatCode>General</c:formatCode>
                <c:ptCount val="4"/>
                <c:pt idx="0">
                  <c:v>9.0</c:v>
                </c:pt>
                <c:pt idx="1">
                  <c:v>16.0</c:v>
                </c:pt>
                <c:pt idx="2">
                  <c:v>22.0</c:v>
                </c:pt>
                <c:pt idx="3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'Search Task (Remove incorrect)'!$D$99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'Search Task (Remove incorrect)'!$E$104:$H$104</c:f>
                <c:numCache>
                  <c:formatCode>General</c:formatCode>
                  <c:ptCount val="4"/>
                  <c:pt idx="0">
                    <c:v>14.0</c:v>
                  </c:pt>
                  <c:pt idx="1">
                    <c:v>25.0</c:v>
                  </c:pt>
                  <c:pt idx="2">
                    <c:v>35.5</c:v>
                  </c:pt>
                  <c:pt idx="3">
                    <c:v>17.5</c:v>
                  </c:pt>
                </c:numCache>
              </c:numRef>
            </c:plus>
            <c:minus>
              <c:numRef>
                <c:f>'Search Task (Remove incorrect)'!$E$105:$H$105</c:f>
                <c:numCache>
                  <c:formatCode>General</c:formatCode>
                  <c:ptCount val="4"/>
                  <c:pt idx="0">
                    <c:v>4.25</c:v>
                  </c:pt>
                  <c:pt idx="1">
                    <c:v>4.0</c:v>
                  </c:pt>
                  <c:pt idx="2">
                    <c:v>3.25</c:v>
                  </c:pt>
                  <c:pt idx="3">
                    <c:v>6.0</c:v>
                  </c:pt>
                </c:numCache>
              </c:numRef>
            </c:minus>
          </c:errBars>
          <c:cat>
            <c:strRef>
              <c:f>'Search Task (Remove incorrect)'!$E$96:$H$96</c:f>
              <c:strCache>
                <c:ptCount val="4"/>
                <c:pt idx="0">
                  <c:v>visual</c:v>
                </c:pt>
                <c:pt idx="1">
                  <c:v>text or visual</c:v>
                </c:pt>
                <c:pt idx="2">
                  <c:v>contextual</c:v>
                </c:pt>
                <c:pt idx="3">
                  <c:v>overall</c:v>
                </c:pt>
              </c:strCache>
            </c:strRef>
          </c:cat>
          <c:val>
            <c:numRef>
              <c:f>'Search Task (Remove incorrect)'!$E$99:$H$99</c:f>
              <c:numCache>
                <c:formatCode>General</c:formatCode>
                <c:ptCount val="4"/>
                <c:pt idx="0">
                  <c:v>14.0</c:v>
                </c:pt>
                <c:pt idx="1">
                  <c:v>18.0</c:v>
                </c:pt>
                <c:pt idx="2">
                  <c:v>18.0</c:v>
                </c:pt>
                <c:pt idx="3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15"/>
        <c:axId val="2121189960"/>
        <c:axId val="2121193048"/>
      </c:barChart>
      <c:catAx>
        <c:axId val="2121189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 b="0" i="0"/>
            </a:pPr>
            <a:endParaRPr lang="en-US"/>
          </a:p>
        </c:txPr>
        <c:crossAx val="2121193048"/>
        <c:crosses val="autoZero"/>
        <c:auto val="0"/>
        <c:lblAlgn val="ctr"/>
        <c:lblOffset val="10"/>
        <c:noMultiLvlLbl val="0"/>
      </c:catAx>
      <c:valAx>
        <c:axId val="2121193048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0" i="0"/>
                </a:pPr>
                <a:r>
                  <a:rPr lang="en-US" sz="800" b="0" i="0"/>
                  <a:t>Search 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1899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Sheet1!$L$50:$O$50</c:f>
                <c:numCache>
                  <c:formatCode>General</c:formatCode>
                  <c:ptCount val="4"/>
                  <c:pt idx="0">
                    <c:v>51.5</c:v>
                  </c:pt>
                  <c:pt idx="1">
                    <c:v>12.0</c:v>
                  </c:pt>
                  <c:pt idx="2">
                    <c:v>11.5</c:v>
                  </c:pt>
                  <c:pt idx="3">
                    <c:v>13.0</c:v>
                  </c:pt>
                </c:numCache>
              </c:numRef>
            </c:plus>
            <c:minus>
              <c:numRef>
                <c:f>Sheet1!$L$53:$O$53</c:f>
                <c:numCache>
                  <c:formatCode>General</c:formatCode>
                  <c:ptCount val="4"/>
                  <c:pt idx="0">
                    <c:v>9.5</c:v>
                  </c:pt>
                  <c:pt idx="1">
                    <c:v>4.0</c:v>
                  </c:pt>
                  <c:pt idx="2">
                    <c:v>9.75</c:v>
                  </c:pt>
                  <c:pt idx="3">
                    <c:v>8.0</c:v>
                  </c:pt>
                </c:numCache>
              </c:numRef>
            </c:minus>
          </c:errBars>
          <c:cat>
            <c:strRef>
              <c:f>Sheet1!$L$46:$O$46</c:f>
              <c:strCache>
                <c:ptCount val="4"/>
                <c:pt idx="0">
                  <c:v>Textual</c:v>
                </c:pt>
                <c:pt idx="1">
                  <c:v>Visual</c:v>
                </c:pt>
                <c:pt idx="2">
                  <c:v>Contextual</c:v>
                </c:pt>
                <c:pt idx="3">
                  <c:v>Overall</c:v>
                </c:pt>
              </c:strCache>
            </c:strRef>
          </c:cat>
          <c:val>
            <c:numRef>
              <c:f>Sheet1!$L$47:$O$47</c:f>
              <c:numCache>
                <c:formatCode>General</c:formatCode>
                <c:ptCount val="4"/>
                <c:pt idx="0">
                  <c:v>36.0</c:v>
                </c:pt>
                <c:pt idx="1">
                  <c:v>16.0</c:v>
                </c:pt>
                <c:pt idx="2">
                  <c:v>31.0</c:v>
                </c:pt>
                <c:pt idx="3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Sheet1!$K$48</c:f>
              <c:strCache>
                <c:ptCount val="1"/>
                <c:pt idx="0">
                  <c:v>NoteVideo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Sheet1!$L$51:$O$51</c:f>
                <c:numCache>
                  <c:formatCode>General</c:formatCode>
                  <c:ptCount val="4"/>
                  <c:pt idx="0">
                    <c:v>30.25</c:v>
                  </c:pt>
                  <c:pt idx="1">
                    <c:v>7.0</c:v>
                  </c:pt>
                  <c:pt idx="2">
                    <c:v>8.0</c:v>
                  </c:pt>
                  <c:pt idx="3">
                    <c:v>14.5</c:v>
                  </c:pt>
                </c:numCache>
              </c:numRef>
            </c:plus>
            <c:minus>
              <c:numRef>
                <c:f>Sheet1!$L$54:$O$54</c:f>
                <c:numCache>
                  <c:formatCode>General</c:formatCode>
                  <c:ptCount val="4"/>
                  <c:pt idx="0">
                    <c:v>26.5</c:v>
                  </c:pt>
                  <c:pt idx="1">
                    <c:v>4.25</c:v>
                  </c:pt>
                  <c:pt idx="2">
                    <c:v>10.5</c:v>
                  </c:pt>
                  <c:pt idx="3">
                    <c:v>7.0</c:v>
                  </c:pt>
                </c:numCache>
              </c:numRef>
            </c:minus>
          </c:errBars>
          <c:cat>
            <c:strRef>
              <c:f>Sheet1!$L$46:$O$46</c:f>
              <c:strCache>
                <c:ptCount val="4"/>
                <c:pt idx="0">
                  <c:v>Textual</c:v>
                </c:pt>
                <c:pt idx="1">
                  <c:v>Visual</c:v>
                </c:pt>
                <c:pt idx="2">
                  <c:v>Contextual</c:v>
                </c:pt>
                <c:pt idx="3">
                  <c:v>Overall</c:v>
                </c:pt>
              </c:strCache>
            </c:strRef>
          </c:cat>
          <c:val>
            <c:numRef>
              <c:f>Sheet1!$L$48:$O$48</c:f>
              <c:numCache>
                <c:formatCode>General</c:formatCode>
                <c:ptCount val="4"/>
                <c:pt idx="0">
                  <c:v>32.5</c:v>
                </c:pt>
                <c:pt idx="1">
                  <c:v>9.5</c:v>
                </c:pt>
                <c:pt idx="2">
                  <c:v>22.0</c:v>
                </c:pt>
                <c:pt idx="3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Sheet1!$K$49</c:f>
              <c:strCache>
                <c:ptCount val="1"/>
                <c:pt idx="0">
                  <c:v>Visual Transcript (Ours)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Sheet1!$L$52:$O$52</c:f>
                <c:numCache>
                  <c:formatCode>General</c:formatCode>
                  <c:ptCount val="4"/>
                  <c:pt idx="0">
                    <c:v>30.0</c:v>
                  </c:pt>
                  <c:pt idx="1">
                    <c:v>15.75</c:v>
                  </c:pt>
                  <c:pt idx="2">
                    <c:v>14.5</c:v>
                  </c:pt>
                  <c:pt idx="3">
                    <c:v>13.0</c:v>
                  </c:pt>
                </c:numCache>
              </c:numRef>
            </c:plus>
            <c:minus>
              <c:numRef>
                <c:f>Sheet1!$L$55:$O$55</c:f>
                <c:numCache>
                  <c:formatCode>General</c:formatCode>
                  <c:ptCount val="4"/>
                  <c:pt idx="0">
                    <c:v>7.0</c:v>
                  </c:pt>
                  <c:pt idx="1">
                    <c:v>5.0</c:v>
                  </c:pt>
                  <c:pt idx="2">
                    <c:v>8.5</c:v>
                  </c:pt>
                  <c:pt idx="3">
                    <c:v>5.75</c:v>
                  </c:pt>
                </c:numCache>
              </c:numRef>
            </c:minus>
          </c:errBars>
          <c:cat>
            <c:strRef>
              <c:f>Sheet1!$L$46:$O$46</c:f>
              <c:strCache>
                <c:ptCount val="4"/>
                <c:pt idx="0">
                  <c:v>Textual</c:v>
                </c:pt>
                <c:pt idx="1">
                  <c:v>Visual</c:v>
                </c:pt>
                <c:pt idx="2">
                  <c:v>Contextual</c:v>
                </c:pt>
                <c:pt idx="3">
                  <c:v>Overall</c:v>
                </c:pt>
              </c:strCache>
            </c:strRef>
          </c:cat>
          <c:val>
            <c:numRef>
              <c:f>Sheet1!$L$49:$O$49</c:f>
              <c:numCache>
                <c:formatCode>General</c:formatCode>
                <c:ptCount val="4"/>
                <c:pt idx="0">
                  <c:v>18.0</c:v>
                </c:pt>
                <c:pt idx="1">
                  <c:v>13.0</c:v>
                </c:pt>
                <c:pt idx="2">
                  <c:v>18.0</c:v>
                </c:pt>
                <c:pt idx="3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-2111160264"/>
        <c:axId val="-2117697848"/>
      </c:barChart>
      <c:catAx>
        <c:axId val="-2111160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"/>
                <a:cs typeface="Times"/>
              </a:defRPr>
            </a:pPr>
            <a:endParaRPr lang="en-US"/>
          </a:p>
        </c:txPr>
        <c:crossAx val="-2117697848"/>
        <c:crosses val="autoZero"/>
        <c:auto val="1"/>
        <c:lblAlgn val="ctr"/>
        <c:lblOffset val="100"/>
        <c:noMultiLvlLbl val="0"/>
      </c:catAx>
      <c:valAx>
        <c:axId val="-2117697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116026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>
              <a:latin typeface="Times"/>
              <a:cs typeface="Time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Task'!$F$68</c:f>
              <c:strCache>
                <c:ptCount val="1"/>
                <c:pt idx="0">
                  <c:v>Basline</c:v>
                </c:pt>
              </c:strCache>
            </c:strRef>
          </c:tx>
          <c:marker>
            <c:symbol val="none"/>
          </c:marker>
          <c:val>
            <c:numRef>
              <c:f>'Summary Task'!$G$68:$O$68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Task'!$F$69</c:f>
              <c:strCache>
                <c:ptCount val="1"/>
                <c:pt idx="0">
                  <c:v>NoteVideo</c:v>
                </c:pt>
              </c:strCache>
            </c:strRef>
          </c:tx>
          <c:marker>
            <c:symbol val="none"/>
          </c:marker>
          <c:val>
            <c:numRef>
              <c:f>'Summary Task'!$G$69:$O$69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Task'!$F$70</c:f>
              <c:strCache>
                <c:ptCount val="1"/>
                <c:pt idx="0">
                  <c:v>Ours</c:v>
                </c:pt>
              </c:strCache>
            </c:strRef>
          </c:tx>
          <c:marker>
            <c:symbol val="none"/>
          </c:marker>
          <c:val>
            <c:numRef>
              <c:f>'Summary Task'!$G$70:$O$70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53224"/>
        <c:axId val="2120550232"/>
      </c:lineChart>
      <c:catAx>
        <c:axId val="21205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550232"/>
        <c:crosses val="autoZero"/>
        <c:auto val="1"/>
        <c:lblAlgn val="ctr"/>
        <c:lblOffset val="100"/>
        <c:noMultiLvlLbl val="0"/>
      </c:catAx>
      <c:valAx>
        <c:axId val="2120550232"/>
        <c:scaling>
          <c:orientation val="minMax"/>
          <c:max val="3.0"/>
        </c:scaling>
        <c:delete val="0"/>
        <c:axPos val="l"/>
        <c:numFmt formatCode="General" sourceLinked="1"/>
        <c:majorTickMark val="out"/>
        <c:minorTickMark val="none"/>
        <c:tickLblPos val="nextTo"/>
        <c:crossAx val="2120553224"/>
        <c:crosses val="autoZero"/>
        <c:crossBetween val="between"/>
        <c:majorUnit val="1.0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Task'!$F$82</c:f>
              <c:strCache>
                <c:ptCount val="1"/>
                <c:pt idx="0">
                  <c:v>Basline</c:v>
                </c:pt>
              </c:strCache>
            </c:strRef>
          </c:tx>
          <c:marker>
            <c:symbol val="none"/>
          </c:marker>
          <c:val>
            <c:numRef>
              <c:f>'Summary Task'!$G$82:$Q$82</c:f>
              <c:numCache>
                <c:formatCode>General</c:formatCode>
                <c:ptCount val="11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Task'!$F$83</c:f>
              <c:strCache>
                <c:ptCount val="1"/>
                <c:pt idx="0">
                  <c:v>NoteVideo</c:v>
                </c:pt>
              </c:strCache>
            </c:strRef>
          </c:tx>
          <c:marker>
            <c:symbol val="none"/>
          </c:marker>
          <c:val>
            <c:numRef>
              <c:f>'Summary Task'!$G$83:$Q$83</c:f>
              <c:numCache>
                <c:formatCode>General</c:formatCode>
                <c:ptCount val="11"/>
                <c:pt idx="0">
                  <c:v>3.0</c:v>
                </c:pt>
                <c:pt idx="1">
                  <c:v>2.0</c:v>
                </c:pt>
                <c:pt idx="2">
                  <c:v>0.0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Task'!$F$84</c:f>
              <c:strCache>
                <c:ptCount val="1"/>
                <c:pt idx="0">
                  <c:v>Ours</c:v>
                </c:pt>
              </c:strCache>
            </c:strRef>
          </c:tx>
          <c:marker>
            <c:symbol val="none"/>
          </c:marker>
          <c:val>
            <c:numRef>
              <c:f>'Summary Task'!$G$84:$Q$84</c:f>
              <c:numCache>
                <c:formatCode>General</c:formatCode>
                <c:ptCount val="11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18360"/>
        <c:axId val="2120515368"/>
      </c:lineChart>
      <c:catAx>
        <c:axId val="212051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515368"/>
        <c:crosses val="autoZero"/>
        <c:auto val="1"/>
        <c:lblAlgn val="ctr"/>
        <c:lblOffset val="100"/>
        <c:noMultiLvlLbl val="0"/>
      </c:catAx>
      <c:valAx>
        <c:axId val="2120515368"/>
        <c:scaling>
          <c:orientation val="minMax"/>
          <c:max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518360"/>
        <c:crosses val="autoZero"/>
        <c:crossBetween val="between"/>
        <c:majorUnit val="1.0"/>
        <c:minorUnit val="0.1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'Summary Task'!$F$96</c:f>
              <c:strCache>
                <c:ptCount val="1"/>
                <c:pt idx="0">
                  <c:v>Basline</c:v>
                </c:pt>
              </c:strCache>
            </c:strRef>
          </c:tx>
          <c:marker>
            <c:symbol val="none"/>
          </c:marker>
          <c:val>
            <c:numRef>
              <c:f>'Summary Task'!$G$96:$P$96</c:f>
              <c:numCache>
                <c:formatCode>General</c:formatCode>
                <c:ptCount val="10"/>
                <c:pt idx="0">
                  <c:v>9.0</c:v>
                </c:pt>
                <c:pt idx="1">
                  <c:v>6.0</c:v>
                </c:pt>
                <c:pt idx="2">
                  <c:v>2.0</c:v>
                </c:pt>
                <c:pt idx="3">
                  <c:v>6.0</c:v>
                </c:pt>
                <c:pt idx="4">
                  <c:v>3.0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Task'!$F$97</c:f>
              <c:strCache>
                <c:ptCount val="1"/>
                <c:pt idx="0">
                  <c:v>NoteVideo</c:v>
                </c:pt>
              </c:strCache>
            </c:strRef>
          </c:tx>
          <c:marker>
            <c:symbol val="none"/>
          </c:marker>
          <c:val>
            <c:numRef>
              <c:f>'Summary Task'!$G$97:$P$97</c:f>
              <c:numCache>
                <c:formatCode>General</c:formatCode>
                <c:ptCount val="10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Task'!$F$98</c:f>
              <c:strCache>
                <c:ptCount val="1"/>
                <c:pt idx="0">
                  <c:v>Ours</c:v>
                </c:pt>
              </c:strCache>
            </c:strRef>
          </c:tx>
          <c:marker>
            <c:symbol val="none"/>
          </c:marker>
          <c:val>
            <c:numRef>
              <c:f>'Summary Task'!$G$98:$P$98</c:f>
              <c:numCache>
                <c:formatCode>General</c:formatCode>
                <c:ptCount val="10"/>
                <c:pt idx="0">
                  <c:v>3.0</c:v>
                </c:pt>
                <c:pt idx="1">
                  <c:v>3.0</c:v>
                </c:pt>
                <c:pt idx="2">
                  <c:v>0.0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85064"/>
        <c:axId val="2120482072"/>
      </c:lineChart>
      <c:catAx>
        <c:axId val="212048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482072"/>
        <c:crosses val="autoZero"/>
        <c:auto val="1"/>
        <c:lblAlgn val="ctr"/>
        <c:lblOffset val="100"/>
        <c:noMultiLvlLbl val="0"/>
      </c:catAx>
      <c:valAx>
        <c:axId val="212048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485064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64</xdr:row>
      <xdr:rowOff>6350</xdr:rowOff>
    </xdr:from>
    <xdr:to>
      <xdr:col>7</xdr:col>
      <xdr:colOff>609600</xdr:colOff>
      <xdr:row>87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64</xdr:row>
      <xdr:rowOff>12700</xdr:rowOff>
    </xdr:from>
    <xdr:to>
      <xdr:col>13</xdr:col>
      <xdr:colOff>82551</xdr:colOff>
      <xdr:row>87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0</xdr:rowOff>
    </xdr:from>
    <xdr:to>
      <xdr:col>18</xdr:col>
      <xdr:colOff>590551</xdr:colOff>
      <xdr:row>87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897465</xdr:colOff>
      <xdr:row>93</xdr:row>
      <xdr:rowOff>93133</xdr:rowOff>
    </xdr:from>
    <xdr:to>
      <xdr:col>12</xdr:col>
      <xdr:colOff>897466</xdr:colOff>
      <xdr:row>105</xdr:row>
      <xdr:rowOff>110067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812799</xdr:colOff>
      <xdr:row>55</xdr:row>
      <xdr:rowOff>97366</xdr:rowOff>
    </xdr:from>
    <xdr:to>
      <xdr:col>16</xdr:col>
      <xdr:colOff>287867</xdr:colOff>
      <xdr:row>77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228598</xdr:colOff>
      <xdr:row>57</xdr:row>
      <xdr:rowOff>97366</xdr:rowOff>
    </xdr:from>
    <xdr:to>
      <xdr:col>22</xdr:col>
      <xdr:colOff>515446</xdr:colOff>
      <xdr:row>70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643466</xdr:colOff>
      <xdr:row>70</xdr:row>
      <xdr:rowOff>148167</xdr:rowOff>
    </xdr:from>
    <xdr:to>
      <xdr:col>24</xdr:col>
      <xdr:colOff>778933</xdr:colOff>
      <xdr:row>84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694267</xdr:colOff>
      <xdr:row>85</xdr:row>
      <xdr:rowOff>165101</xdr:rowOff>
    </xdr:from>
    <xdr:to>
      <xdr:col>24</xdr:col>
      <xdr:colOff>829734</xdr:colOff>
      <xdr:row>99</xdr:row>
      <xdr:rowOff>182034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0"/>
  <sheetViews>
    <sheetView topLeftCell="A82" zoomScale="150" zoomScaleNormal="150" zoomScalePageLayoutView="150" workbookViewId="0">
      <selection activeCell="C96" sqref="C96:H105"/>
    </sheetView>
  </sheetViews>
  <sheetFormatPr baseColWidth="10" defaultColWidth="14.5" defaultRowHeight="15.75" customHeight="1" x14ac:dyDescent="0"/>
  <cols>
    <col min="1" max="9" width="14.5" style="10" customWidth="1"/>
    <col min="10" max="16384" width="14.5" style="10"/>
  </cols>
  <sheetData>
    <row r="1" spans="1:20" ht="15.75" customHeight="1">
      <c r="A1" s="1"/>
      <c r="B1" s="2"/>
      <c r="C1" s="2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5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7" t="s">
        <v>13</v>
      </c>
      <c r="Q1" s="8" t="s">
        <v>14</v>
      </c>
      <c r="R1" s="8"/>
      <c r="S1" s="9"/>
      <c r="T1" s="9"/>
    </row>
    <row r="2" spans="1:20" ht="15.75" customHeight="1">
      <c r="A2" s="1">
        <v>42138</v>
      </c>
      <c r="B2" s="2" t="s">
        <v>57</v>
      </c>
      <c r="C2" s="2" t="s">
        <v>15</v>
      </c>
      <c r="D2" s="11">
        <v>0</v>
      </c>
      <c r="E2" s="12">
        <v>15</v>
      </c>
      <c r="F2" s="12">
        <v>0</v>
      </c>
      <c r="G2" s="12">
        <v>1</v>
      </c>
      <c r="H2" s="13">
        <v>87</v>
      </c>
      <c r="I2" s="14">
        <v>12</v>
      </c>
      <c r="J2" s="149">
        <v>15</v>
      </c>
      <c r="K2" s="149">
        <v>113</v>
      </c>
      <c r="L2" s="139">
        <v>17</v>
      </c>
      <c r="M2" s="139">
        <v>45</v>
      </c>
      <c r="N2" s="13">
        <v>49</v>
      </c>
      <c r="O2" s="143">
        <v>39</v>
      </c>
      <c r="P2" s="16">
        <f>1/6</f>
        <v>0.16666666666666666</v>
      </c>
      <c r="Q2" s="17">
        <f t="shared" ref="Q2:Q4" si="0">AVERAGE(P2,P5,P8,P11,P14,P17,P20,P23,P26)</f>
        <v>0.14814814814814814</v>
      </c>
      <c r="S2" s="8" t="s">
        <v>15</v>
      </c>
      <c r="T2" s="18"/>
    </row>
    <row r="3" spans="1:20" ht="15.75" customHeight="1">
      <c r="C3" s="2" t="s">
        <v>16</v>
      </c>
      <c r="D3" s="19">
        <v>10</v>
      </c>
      <c r="E3" s="2">
        <v>7</v>
      </c>
      <c r="F3" s="2">
        <v>0</v>
      </c>
      <c r="G3" s="2">
        <v>6</v>
      </c>
      <c r="H3" s="2">
        <v>1</v>
      </c>
      <c r="I3" s="20">
        <v>4</v>
      </c>
      <c r="J3" s="138">
        <v>119</v>
      </c>
      <c r="K3" s="140">
        <v>21</v>
      </c>
      <c r="L3" s="138">
        <v>32</v>
      </c>
      <c r="M3" s="140">
        <v>6</v>
      </c>
      <c r="N3" s="146">
        <v>21</v>
      </c>
      <c r="O3" s="142">
        <v>11</v>
      </c>
      <c r="P3" s="21">
        <f>0</f>
        <v>0</v>
      </c>
      <c r="Q3" s="17">
        <f t="shared" si="0"/>
        <v>7.407407407407407E-2</v>
      </c>
      <c r="S3" s="8" t="s">
        <v>16</v>
      </c>
      <c r="T3" s="18"/>
    </row>
    <row r="4" spans="1:20" ht="15.75" customHeight="1">
      <c r="C4" s="2" t="s">
        <v>17</v>
      </c>
      <c r="D4" s="135">
        <v>4</v>
      </c>
      <c r="E4" s="23">
        <v>7</v>
      </c>
      <c r="F4" s="136">
        <v>2</v>
      </c>
      <c r="G4" s="23">
        <v>5</v>
      </c>
      <c r="H4" s="24"/>
      <c r="I4" s="25">
        <v>1</v>
      </c>
      <c r="J4" s="136">
        <v>48</v>
      </c>
      <c r="K4" s="141">
        <v>31</v>
      </c>
      <c r="L4" s="152">
        <v>15</v>
      </c>
      <c r="M4" s="141">
        <v>10</v>
      </c>
      <c r="N4" s="26"/>
      <c r="O4" s="144">
        <v>25</v>
      </c>
      <c r="P4" s="27">
        <f>1/6</f>
        <v>0.16666666666666666</v>
      </c>
      <c r="Q4" s="17">
        <f t="shared" si="0"/>
        <v>5.5555555555555552E-2</v>
      </c>
      <c r="S4" s="8" t="s">
        <v>17</v>
      </c>
      <c r="T4" s="18"/>
    </row>
    <row r="5" spans="1:20" ht="15" customHeight="1">
      <c r="A5" s="1">
        <v>42138</v>
      </c>
      <c r="B5" s="2" t="s">
        <v>56</v>
      </c>
      <c r="C5" s="2" t="s">
        <v>15</v>
      </c>
      <c r="D5" s="133">
        <v>9</v>
      </c>
      <c r="E5" s="12">
        <v>0</v>
      </c>
      <c r="F5" s="134">
        <v>2</v>
      </c>
      <c r="G5" s="12">
        <v>7</v>
      </c>
      <c r="H5" s="12">
        <v>19</v>
      </c>
      <c r="I5" s="14">
        <v>15</v>
      </c>
      <c r="J5" s="134">
        <v>8</v>
      </c>
      <c r="K5" s="139">
        <v>12</v>
      </c>
      <c r="L5" s="149">
        <v>17</v>
      </c>
      <c r="M5" s="139">
        <v>10</v>
      </c>
      <c r="N5" s="145">
        <v>96</v>
      </c>
      <c r="O5" s="143">
        <v>53</v>
      </c>
      <c r="P5" s="16">
        <f t="shared" ref="P5:P7" si="1">0</f>
        <v>0</v>
      </c>
      <c r="R5" s="18"/>
      <c r="S5" s="18"/>
      <c r="T5" s="18"/>
    </row>
    <row r="6" spans="1:20" ht="15.75" customHeight="1">
      <c r="C6" s="2" t="s">
        <v>16</v>
      </c>
      <c r="D6" s="19">
        <v>1</v>
      </c>
      <c r="E6" s="2">
        <v>13</v>
      </c>
      <c r="F6" s="2">
        <v>7</v>
      </c>
      <c r="G6" s="2">
        <v>0</v>
      </c>
      <c r="H6" s="2">
        <v>10</v>
      </c>
      <c r="I6" s="20">
        <v>17</v>
      </c>
      <c r="J6" s="150">
        <v>5</v>
      </c>
      <c r="K6" s="150">
        <v>7</v>
      </c>
      <c r="L6" s="140">
        <v>29</v>
      </c>
      <c r="M6" s="140">
        <v>10</v>
      </c>
      <c r="N6" s="146">
        <v>27</v>
      </c>
      <c r="O6" s="142">
        <v>35</v>
      </c>
      <c r="P6" s="21">
        <f t="shared" si="1"/>
        <v>0</v>
      </c>
      <c r="R6" s="18"/>
      <c r="S6" s="18"/>
      <c r="T6" s="18"/>
    </row>
    <row r="7" spans="1:20" ht="15.75" customHeight="1">
      <c r="C7" s="2" t="s">
        <v>17</v>
      </c>
      <c r="D7" s="22">
        <v>8</v>
      </c>
      <c r="E7" s="23">
        <v>2</v>
      </c>
      <c r="F7" s="23">
        <v>0</v>
      </c>
      <c r="G7" s="23">
        <v>2</v>
      </c>
      <c r="H7" s="23">
        <v>2</v>
      </c>
      <c r="I7" s="25">
        <v>2</v>
      </c>
      <c r="J7" s="136">
        <v>18</v>
      </c>
      <c r="K7" s="141">
        <v>43</v>
      </c>
      <c r="L7" s="136">
        <v>11</v>
      </c>
      <c r="M7" s="141">
        <v>34</v>
      </c>
      <c r="N7" s="147">
        <v>12</v>
      </c>
      <c r="O7" s="144">
        <v>8</v>
      </c>
      <c r="P7" s="27">
        <f t="shared" si="1"/>
        <v>0</v>
      </c>
      <c r="R7" s="18"/>
      <c r="S7" s="18"/>
      <c r="T7" s="18"/>
    </row>
    <row r="8" spans="1:20" ht="15.75" customHeight="1">
      <c r="A8" s="1">
        <v>42139</v>
      </c>
      <c r="B8" s="2" t="s">
        <v>58</v>
      </c>
      <c r="C8" s="2" t="s">
        <v>15</v>
      </c>
      <c r="D8" s="28"/>
      <c r="E8" s="12">
        <v>0</v>
      </c>
      <c r="F8" s="12">
        <v>9</v>
      </c>
      <c r="G8" s="12">
        <v>16</v>
      </c>
      <c r="H8" s="12">
        <v>1</v>
      </c>
      <c r="I8" s="14">
        <v>4</v>
      </c>
      <c r="J8" s="26"/>
      <c r="K8" s="139">
        <v>32</v>
      </c>
      <c r="L8" s="134">
        <v>139</v>
      </c>
      <c r="M8" s="139">
        <v>18</v>
      </c>
      <c r="N8" s="145">
        <v>85</v>
      </c>
      <c r="O8" s="143">
        <v>32</v>
      </c>
      <c r="P8" s="21">
        <f>1/6</f>
        <v>0.16666666666666666</v>
      </c>
      <c r="R8" s="18"/>
      <c r="S8" s="18"/>
      <c r="T8" s="18"/>
    </row>
    <row r="9" spans="1:20" ht="15.75" customHeight="1">
      <c r="C9" s="2" t="s">
        <v>16</v>
      </c>
      <c r="D9" s="30">
        <v>168</v>
      </c>
      <c r="E9" s="2">
        <v>1</v>
      </c>
      <c r="F9" s="2">
        <v>2</v>
      </c>
      <c r="G9" s="2">
        <v>4</v>
      </c>
      <c r="H9" s="31"/>
      <c r="I9" s="20">
        <v>0</v>
      </c>
      <c r="J9" s="31">
        <v>17</v>
      </c>
      <c r="K9" s="140">
        <v>5</v>
      </c>
      <c r="L9" s="150">
        <v>7</v>
      </c>
      <c r="M9" s="140">
        <v>4</v>
      </c>
      <c r="N9" s="32"/>
      <c r="O9" s="142">
        <v>80</v>
      </c>
      <c r="P9" s="21">
        <f>2/6</f>
        <v>0.33333333333333331</v>
      </c>
      <c r="R9" s="18"/>
      <c r="S9" s="18"/>
      <c r="T9" s="18"/>
    </row>
    <row r="10" spans="1:20" ht="15.75" customHeight="1">
      <c r="C10" s="2" t="s">
        <v>17</v>
      </c>
      <c r="D10" s="22">
        <v>1</v>
      </c>
      <c r="E10" s="23">
        <v>15</v>
      </c>
      <c r="F10" s="23">
        <v>15</v>
      </c>
      <c r="G10" s="23">
        <v>0</v>
      </c>
      <c r="H10" s="23">
        <v>2</v>
      </c>
      <c r="I10" s="25">
        <v>0</v>
      </c>
      <c r="J10" s="152">
        <v>122</v>
      </c>
      <c r="K10" s="152">
        <v>103</v>
      </c>
      <c r="L10" s="141">
        <v>111</v>
      </c>
      <c r="M10" s="141">
        <v>20</v>
      </c>
      <c r="N10" s="147">
        <v>134</v>
      </c>
      <c r="O10" s="144">
        <v>8</v>
      </c>
      <c r="P10" s="21">
        <f>0</f>
        <v>0</v>
      </c>
      <c r="R10" s="18"/>
      <c r="S10" s="18"/>
      <c r="T10" s="18"/>
    </row>
    <row r="11" spans="1:20" ht="15.75" customHeight="1">
      <c r="A11" s="1">
        <v>42139</v>
      </c>
      <c r="B11" s="2" t="s">
        <v>59</v>
      </c>
      <c r="C11" s="2" t="s">
        <v>15</v>
      </c>
      <c r="D11" s="133">
        <v>3</v>
      </c>
      <c r="E11" s="12">
        <v>0</v>
      </c>
      <c r="F11" s="134">
        <v>0</v>
      </c>
      <c r="G11" s="12">
        <v>9</v>
      </c>
      <c r="H11" s="13">
        <v>300</v>
      </c>
      <c r="I11" s="12">
        <v>9</v>
      </c>
      <c r="J11" s="151">
        <v>36</v>
      </c>
      <c r="K11" s="139">
        <v>14</v>
      </c>
      <c r="L11" s="149">
        <v>11</v>
      </c>
      <c r="M11" s="139">
        <v>15</v>
      </c>
      <c r="N11" s="13">
        <v>14</v>
      </c>
      <c r="O11" s="143">
        <v>19</v>
      </c>
      <c r="P11" s="16">
        <f>1/6</f>
        <v>0.16666666666666666</v>
      </c>
      <c r="R11" s="18"/>
      <c r="S11" s="18"/>
      <c r="T11" s="18"/>
    </row>
    <row r="12" spans="1:20" ht="15.75" customHeight="1">
      <c r="C12" s="2" t="s">
        <v>16</v>
      </c>
      <c r="D12" s="19">
        <v>1</v>
      </c>
      <c r="E12" s="2">
        <v>53</v>
      </c>
      <c r="F12" s="2">
        <v>0</v>
      </c>
      <c r="G12" s="2">
        <v>0</v>
      </c>
      <c r="H12" s="2">
        <v>84</v>
      </c>
      <c r="I12" s="2">
        <v>12</v>
      </c>
      <c r="J12" s="153">
        <v>5</v>
      </c>
      <c r="K12" s="150">
        <v>16</v>
      </c>
      <c r="L12" s="140">
        <v>11</v>
      </c>
      <c r="M12" s="140">
        <v>10</v>
      </c>
      <c r="N12" s="146">
        <v>7</v>
      </c>
      <c r="O12" s="142">
        <v>4</v>
      </c>
      <c r="P12" s="21">
        <f t="shared" ref="P12:P15" si="2">0</f>
        <v>0</v>
      </c>
      <c r="R12" s="18"/>
      <c r="S12" s="18"/>
      <c r="T12" s="18"/>
    </row>
    <row r="13" spans="1:20" ht="15.75" customHeight="1">
      <c r="C13" s="2" t="s">
        <v>17</v>
      </c>
      <c r="D13" s="22">
        <v>1</v>
      </c>
      <c r="E13" s="23">
        <v>0</v>
      </c>
      <c r="F13" s="23">
        <v>0</v>
      </c>
      <c r="G13" s="23">
        <v>31</v>
      </c>
      <c r="H13" s="23">
        <v>37</v>
      </c>
      <c r="I13" s="23">
        <v>1</v>
      </c>
      <c r="J13" s="148">
        <v>20</v>
      </c>
      <c r="K13" s="141">
        <v>7</v>
      </c>
      <c r="L13" s="136">
        <v>8</v>
      </c>
      <c r="M13" s="141">
        <v>11</v>
      </c>
      <c r="N13" s="147">
        <v>27</v>
      </c>
      <c r="O13" s="144">
        <v>9</v>
      </c>
      <c r="P13" s="27">
        <f t="shared" si="2"/>
        <v>0</v>
      </c>
      <c r="R13" s="18"/>
      <c r="S13" s="18"/>
      <c r="T13" s="18"/>
    </row>
    <row r="14" spans="1:20" ht="15.75" customHeight="1">
      <c r="A14" s="1">
        <v>42142</v>
      </c>
      <c r="B14" s="2" t="s">
        <v>60</v>
      </c>
      <c r="C14" s="2" t="s">
        <v>15</v>
      </c>
      <c r="D14" s="11">
        <v>4</v>
      </c>
      <c r="E14" s="12">
        <v>27</v>
      </c>
      <c r="F14" s="12">
        <v>0</v>
      </c>
      <c r="G14" s="12">
        <v>7</v>
      </c>
      <c r="H14" s="12">
        <v>10</v>
      </c>
      <c r="I14" s="14">
        <v>1</v>
      </c>
      <c r="J14" s="149">
        <v>23</v>
      </c>
      <c r="K14" s="149">
        <v>34</v>
      </c>
      <c r="L14" s="139">
        <v>23</v>
      </c>
      <c r="M14" s="139">
        <v>33</v>
      </c>
      <c r="N14" s="145">
        <v>22</v>
      </c>
      <c r="O14" s="143">
        <v>26</v>
      </c>
      <c r="P14" s="16">
        <f t="shared" si="2"/>
        <v>0</v>
      </c>
      <c r="R14" s="18"/>
      <c r="S14" s="18"/>
      <c r="T14" s="18"/>
    </row>
    <row r="15" spans="1:20" ht="15.75" customHeight="1">
      <c r="C15" s="2" t="s">
        <v>16</v>
      </c>
      <c r="D15" s="19">
        <v>0</v>
      </c>
      <c r="E15" s="2">
        <v>0</v>
      </c>
      <c r="F15" s="2">
        <v>0</v>
      </c>
      <c r="G15" s="2">
        <v>6</v>
      </c>
      <c r="H15" s="2">
        <v>1</v>
      </c>
      <c r="I15" s="20">
        <v>4</v>
      </c>
      <c r="J15" s="138">
        <v>44</v>
      </c>
      <c r="K15" s="140">
        <v>32</v>
      </c>
      <c r="L15" s="138">
        <v>33</v>
      </c>
      <c r="M15" s="140">
        <v>5</v>
      </c>
      <c r="N15" s="146">
        <v>26</v>
      </c>
      <c r="O15" s="142">
        <v>22</v>
      </c>
      <c r="P15" s="21">
        <f t="shared" si="2"/>
        <v>0</v>
      </c>
      <c r="R15" s="18"/>
      <c r="S15" s="18"/>
      <c r="T15" s="18"/>
    </row>
    <row r="16" spans="1:20" ht="15.75" customHeight="1">
      <c r="C16" s="2" t="s">
        <v>17</v>
      </c>
      <c r="D16" s="135">
        <v>10</v>
      </c>
      <c r="E16" s="23">
        <v>1</v>
      </c>
      <c r="F16" s="136">
        <v>3</v>
      </c>
      <c r="G16" s="23">
        <v>5</v>
      </c>
      <c r="H16" s="35">
        <f>240+49</f>
        <v>289</v>
      </c>
      <c r="I16" s="25">
        <v>7</v>
      </c>
      <c r="J16" s="138">
        <v>11</v>
      </c>
      <c r="K16" s="140">
        <v>6</v>
      </c>
      <c r="L16" s="150">
        <v>15</v>
      </c>
      <c r="M16" s="140">
        <v>8</v>
      </c>
      <c r="N16" s="31">
        <v>60</v>
      </c>
      <c r="O16" s="142">
        <v>18</v>
      </c>
      <c r="P16" s="27">
        <f t="shared" ref="P16:P18" si="3">1/6</f>
        <v>0.16666666666666666</v>
      </c>
      <c r="R16" s="18"/>
      <c r="S16" s="18"/>
      <c r="T16" s="18"/>
    </row>
    <row r="17" spans="1:28" ht="15.75" customHeight="1">
      <c r="A17" s="1">
        <v>42142</v>
      </c>
      <c r="B17" s="2" t="s">
        <v>61</v>
      </c>
      <c r="C17" s="2" t="s">
        <v>15</v>
      </c>
      <c r="D17" s="11">
        <v>0</v>
      </c>
      <c r="E17" s="12">
        <v>0</v>
      </c>
      <c r="F17" s="12">
        <v>0</v>
      </c>
      <c r="G17" s="12">
        <v>7</v>
      </c>
      <c r="H17" s="13">
        <v>42</v>
      </c>
      <c r="I17" s="14">
        <v>3</v>
      </c>
      <c r="J17" s="134">
        <v>72</v>
      </c>
      <c r="K17" s="139">
        <v>4</v>
      </c>
      <c r="L17" s="134">
        <v>31</v>
      </c>
      <c r="M17" s="139">
        <v>6</v>
      </c>
      <c r="N17" s="13">
        <v>19</v>
      </c>
      <c r="O17" s="143">
        <v>7</v>
      </c>
      <c r="P17" s="16">
        <f t="shared" si="3"/>
        <v>0.16666666666666666</v>
      </c>
      <c r="R17" s="18"/>
      <c r="S17" s="18"/>
      <c r="T17" s="18"/>
    </row>
    <row r="18" spans="1:28" ht="15.75" customHeight="1">
      <c r="C18" s="2" t="s">
        <v>16</v>
      </c>
      <c r="D18" s="19">
        <v>0</v>
      </c>
      <c r="E18" s="2">
        <v>0</v>
      </c>
      <c r="F18" s="2">
        <v>0</v>
      </c>
      <c r="G18" s="2">
        <v>5</v>
      </c>
      <c r="H18" s="2">
        <v>5</v>
      </c>
      <c r="I18" s="36">
        <v>147</v>
      </c>
      <c r="J18" s="138">
        <v>22</v>
      </c>
      <c r="K18" s="140">
        <v>9</v>
      </c>
      <c r="L18" s="150">
        <v>16</v>
      </c>
      <c r="M18" s="140">
        <v>6</v>
      </c>
      <c r="N18" s="146">
        <v>33</v>
      </c>
      <c r="O18" s="37">
        <v>12</v>
      </c>
      <c r="P18" s="21">
        <f t="shared" si="3"/>
        <v>0.16666666666666666</v>
      </c>
      <c r="R18" s="18"/>
      <c r="S18" s="18"/>
      <c r="T18" s="18"/>
    </row>
    <row r="19" spans="1:28" ht="15.75" customHeight="1">
      <c r="C19" s="2" t="s">
        <v>17</v>
      </c>
      <c r="D19" s="22">
        <v>0</v>
      </c>
      <c r="E19" s="23">
        <v>0</v>
      </c>
      <c r="F19" s="23">
        <v>0</v>
      </c>
      <c r="G19" s="23">
        <v>57</v>
      </c>
      <c r="H19" s="23">
        <v>10</v>
      </c>
      <c r="I19" s="25">
        <v>50</v>
      </c>
      <c r="J19" s="150">
        <v>9</v>
      </c>
      <c r="K19" s="150">
        <v>18</v>
      </c>
      <c r="L19" s="140">
        <v>6</v>
      </c>
      <c r="M19" s="140">
        <v>14</v>
      </c>
      <c r="N19" s="146">
        <v>6</v>
      </c>
      <c r="O19" s="142">
        <v>14</v>
      </c>
      <c r="P19" s="27">
        <f t="shared" ref="P19:P20" si="4">0</f>
        <v>0</v>
      </c>
      <c r="R19" s="18"/>
      <c r="S19" s="18"/>
      <c r="T19" s="18"/>
    </row>
    <row r="20" spans="1:28" ht="15.75" customHeight="1">
      <c r="A20" s="1">
        <v>42143</v>
      </c>
      <c r="B20" s="2" t="s">
        <v>62</v>
      </c>
      <c r="C20" s="2" t="s">
        <v>15</v>
      </c>
      <c r="D20" s="133">
        <v>13</v>
      </c>
      <c r="E20" s="12">
        <v>1</v>
      </c>
      <c r="F20" s="134">
        <v>2</v>
      </c>
      <c r="G20" s="12">
        <v>7</v>
      </c>
      <c r="H20" s="12">
        <v>2</v>
      </c>
      <c r="I20" s="12">
        <v>2</v>
      </c>
      <c r="J20" s="137">
        <v>103</v>
      </c>
      <c r="K20" s="139">
        <v>66</v>
      </c>
      <c r="L20" s="149">
        <v>36</v>
      </c>
      <c r="M20" s="139">
        <v>12</v>
      </c>
      <c r="N20" s="145">
        <v>18</v>
      </c>
      <c r="O20" s="143">
        <v>32</v>
      </c>
      <c r="P20" s="16">
        <f t="shared" si="4"/>
        <v>0</v>
      </c>
      <c r="R20" s="18"/>
      <c r="S20" s="18"/>
      <c r="T20" s="18"/>
    </row>
    <row r="21" spans="1:28" ht="15.75" customHeight="1">
      <c r="C21" s="2" t="s">
        <v>16</v>
      </c>
      <c r="D21" s="19">
        <v>1</v>
      </c>
      <c r="E21" s="2">
        <v>0</v>
      </c>
      <c r="F21" s="2">
        <v>4</v>
      </c>
      <c r="G21" s="2">
        <v>0</v>
      </c>
      <c r="H21" s="31">
        <v>71</v>
      </c>
      <c r="I21" s="2">
        <v>6</v>
      </c>
      <c r="J21" s="153">
        <v>16</v>
      </c>
      <c r="K21" s="150">
        <v>33</v>
      </c>
      <c r="L21" s="140">
        <v>60</v>
      </c>
      <c r="M21" s="140">
        <v>15</v>
      </c>
      <c r="N21" s="31">
        <v>63</v>
      </c>
      <c r="O21" s="142">
        <v>13</v>
      </c>
      <c r="P21" s="21">
        <f>1/6</f>
        <v>0.16666666666666666</v>
      </c>
      <c r="R21" s="18"/>
      <c r="S21" s="18"/>
      <c r="T21" s="18"/>
    </row>
    <row r="22" spans="1:28" ht="15.75" customHeight="1">
      <c r="C22" s="2" t="s">
        <v>17</v>
      </c>
      <c r="D22" s="22">
        <v>14</v>
      </c>
      <c r="E22" s="23">
        <v>0</v>
      </c>
      <c r="F22" s="23">
        <v>1</v>
      </c>
      <c r="G22" s="23">
        <v>5</v>
      </c>
      <c r="H22" s="23">
        <v>2</v>
      </c>
      <c r="I22" s="23">
        <v>2</v>
      </c>
      <c r="J22" s="148">
        <v>186</v>
      </c>
      <c r="K22" s="141">
        <v>5</v>
      </c>
      <c r="L22" s="136">
        <v>14</v>
      </c>
      <c r="M22" s="141">
        <v>12</v>
      </c>
      <c r="N22" s="147">
        <v>105</v>
      </c>
      <c r="O22" s="144">
        <v>34</v>
      </c>
      <c r="P22" s="27">
        <f>0</f>
        <v>0</v>
      </c>
      <c r="R22" s="18"/>
      <c r="S22" s="18"/>
      <c r="T22" s="18"/>
    </row>
    <row r="23" spans="1:28" ht="15.75" customHeight="1">
      <c r="A23" s="1">
        <v>42143</v>
      </c>
      <c r="B23" s="2" t="s">
        <v>63</v>
      </c>
      <c r="C23" s="2" t="s">
        <v>15</v>
      </c>
      <c r="D23" s="11">
        <v>6</v>
      </c>
      <c r="E23" s="12">
        <v>18</v>
      </c>
      <c r="F23" s="13">
        <v>181</v>
      </c>
      <c r="G23" s="12">
        <v>2</v>
      </c>
      <c r="H23" s="13">
        <v>94</v>
      </c>
      <c r="I23" s="14">
        <v>13</v>
      </c>
      <c r="J23" s="150">
        <v>19</v>
      </c>
      <c r="K23" s="150">
        <v>69</v>
      </c>
      <c r="L23" s="31">
        <v>27</v>
      </c>
      <c r="M23" s="140">
        <v>28</v>
      </c>
      <c r="N23" s="31">
        <v>50</v>
      </c>
      <c r="O23" s="142">
        <v>30</v>
      </c>
      <c r="P23" s="16">
        <f>2/6</f>
        <v>0.33333333333333331</v>
      </c>
      <c r="R23" s="18"/>
      <c r="S23" s="18"/>
      <c r="T23" s="18"/>
    </row>
    <row r="24" spans="1:28" ht="15.75" customHeight="1">
      <c r="C24" s="2" t="s">
        <v>16</v>
      </c>
      <c r="D24" s="19">
        <v>14</v>
      </c>
      <c r="E24" s="2">
        <v>3</v>
      </c>
      <c r="F24" s="2">
        <v>0</v>
      </c>
      <c r="G24" s="2">
        <v>6</v>
      </c>
      <c r="H24" s="2">
        <v>4</v>
      </c>
      <c r="I24" s="20">
        <v>7</v>
      </c>
      <c r="J24" s="138">
        <v>191</v>
      </c>
      <c r="K24" s="140">
        <v>17</v>
      </c>
      <c r="L24" s="138">
        <v>8</v>
      </c>
      <c r="M24" s="140">
        <v>8</v>
      </c>
      <c r="N24" s="146">
        <v>37</v>
      </c>
      <c r="O24" s="142">
        <v>24</v>
      </c>
      <c r="P24" s="21">
        <f t="shared" ref="P24:P25" si="5">0</f>
        <v>0</v>
      </c>
      <c r="R24" s="18"/>
      <c r="S24" s="18"/>
      <c r="T24" s="18"/>
    </row>
    <row r="25" spans="1:28" ht="15.75" customHeight="1">
      <c r="C25" s="2" t="s">
        <v>17</v>
      </c>
      <c r="D25" s="135">
        <v>10</v>
      </c>
      <c r="E25" s="23">
        <v>4</v>
      </c>
      <c r="F25" s="136">
        <v>3</v>
      </c>
      <c r="G25" s="23">
        <v>5</v>
      </c>
      <c r="H25" s="23">
        <v>11</v>
      </c>
      <c r="I25" s="25">
        <v>4</v>
      </c>
      <c r="J25" s="136">
        <v>120</v>
      </c>
      <c r="K25" s="141">
        <v>14</v>
      </c>
      <c r="L25" s="152">
        <v>63</v>
      </c>
      <c r="M25" s="141">
        <v>28</v>
      </c>
      <c r="N25" s="147">
        <v>83</v>
      </c>
      <c r="O25" s="144">
        <v>10</v>
      </c>
      <c r="P25" s="27">
        <f t="shared" si="5"/>
        <v>0</v>
      </c>
      <c r="R25" s="18"/>
      <c r="S25" s="18"/>
      <c r="T25" s="18"/>
    </row>
    <row r="26" spans="1:28" ht="15.75" customHeight="1">
      <c r="A26" s="1">
        <v>42144</v>
      </c>
      <c r="B26" s="2" t="s">
        <v>88</v>
      </c>
      <c r="C26" s="2" t="s">
        <v>18</v>
      </c>
      <c r="D26" s="38"/>
      <c r="E26" s="12">
        <v>14</v>
      </c>
      <c r="F26" s="12">
        <v>0</v>
      </c>
      <c r="G26" s="12">
        <v>7</v>
      </c>
      <c r="H26" s="13">
        <v>43</v>
      </c>
      <c r="I26" s="14">
        <v>10</v>
      </c>
      <c r="J26" s="29"/>
      <c r="K26" s="139">
        <v>16</v>
      </c>
      <c r="L26" s="134">
        <v>22</v>
      </c>
      <c r="M26" s="139">
        <v>11</v>
      </c>
      <c r="N26" s="13">
        <v>16</v>
      </c>
      <c r="O26" s="145">
        <v>10</v>
      </c>
      <c r="P26" s="16">
        <f>2/6</f>
        <v>0.33333333333333331</v>
      </c>
      <c r="R26" s="18"/>
      <c r="S26" s="18"/>
      <c r="T26" s="18"/>
    </row>
    <row r="27" spans="1:28" ht="15.75" customHeight="1">
      <c r="C27" s="2" t="s">
        <v>19</v>
      </c>
      <c r="D27" s="19">
        <v>0</v>
      </c>
      <c r="E27" s="2">
        <v>0</v>
      </c>
      <c r="F27" s="2">
        <v>0</v>
      </c>
      <c r="G27" s="2">
        <v>0</v>
      </c>
      <c r="H27" s="2">
        <v>0</v>
      </c>
      <c r="I27" s="20">
        <v>0</v>
      </c>
      <c r="J27" s="138">
        <v>7</v>
      </c>
      <c r="K27" s="140">
        <v>3</v>
      </c>
      <c r="L27" s="150">
        <v>3</v>
      </c>
      <c r="M27" s="140">
        <v>2</v>
      </c>
      <c r="N27" s="146">
        <v>12</v>
      </c>
      <c r="O27" s="146">
        <v>7</v>
      </c>
      <c r="P27" s="21">
        <f>0</f>
        <v>0</v>
      </c>
      <c r="R27" s="18"/>
      <c r="S27" s="18"/>
      <c r="T27" s="18"/>
    </row>
    <row r="28" spans="1:28" ht="15.75" customHeight="1">
      <c r="C28" s="2" t="s">
        <v>20</v>
      </c>
      <c r="D28" s="39">
        <v>1</v>
      </c>
      <c r="E28" s="40">
        <v>2</v>
      </c>
      <c r="F28" s="40">
        <v>26</v>
      </c>
      <c r="G28" s="40">
        <v>0</v>
      </c>
      <c r="H28" s="41">
        <v>95</v>
      </c>
      <c r="I28" s="42">
        <v>13</v>
      </c>
      <c r="J28" s="152">
        <v>9</v>
      </c>
      <c r="K28" s="152">
        <v>7</v>
      </c>
      <c r="L28" s="141">
        <v>8</v>
      </c>
      <c r="M28" s="141">
        <v>29</v>
      </c>
      <c r="N28" s="35">
        <v>7</v>
      </c>
      <c r="O28" s="147">
        <v>31</v>
      </c>
      <c r="P28" s="27">
        <f>1/6</f>
        <v>0.16666666666666666</v>
      </c>
      <c r="R28" s="18"/>
      <c r="S28" s="18"/>
      <c r="T28" s="18"/>
    </row>
    <row r="29" spans="1:28" ht="15.75" customHeight="1">
      <c r="A29" s="18"/>
      <c r="B29" s="18"/>
      <c r="C29" s="18"/>
      <c r="D29" s="18"/>
      <c r="E29" s="18"/>
      <c r="F29" s="18"/>
      <c r="G29" s="18"/>
      <c r="H29" s="18"/>
      <c r="I29" s="8" t="s">
        <v>21</v>
      </c>
      <c r="J29" s="8" t="s">
        <v>22</v>
      </c>
      <c r="K29" s="17">
        <f>MEDIAN(J2:K2,J5:K5,K8,J11:K11,J14:K14,J17:K17,J20:K20,J23:K23,K26)</f>
        <v>27.5</v>
      </c>
      <c r="L29" s="8" t="s">
        <v>23</v>
      </c>
      <c r="M29" s="17">
        <f>MEDIAN(L2:M2,L5:M5,L8:M8,L11:M11,L14:M14,L17:M17,L20:M20,M23,L26:M26)</f>
        <v>18</v>
      </c>
      <c r="N29" s="8" t="s">
        <v>24</v>
      </c>
      <c r="O29" s="17">
        <f>MEDIAN(O2,N5:O5,N8:O8,O11,N14:O14,O17,N20:O20,O23,O26)</f>
        <v>30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15.75" customHeight="1">
      <c r="A30" s="2"/>
      <c r="B30" s="18"/>
      <c r="C30" s="18"/>
      <c r="D30" s="18"/>
      <c r="I30" s="17"/>
      <c r="J30" s="8" t="s">
        <v>25</v>
      </c>
      <c r="K30" s="17">
        <f>MEDIAN(J3:K3,J6:K6,K9,J12:K12,J15:K15,J18:K18,J21:K21,J24:K24,J27:K27)</f>
        <v>16</v>
      </c>
      <c r="L30" s="8" t="s">
        <v>26</v>
      </c>
      <c r="M30" s="17">
        <f>MEDIAN(L3:M3,L6:M6,L9:M9,L12:M12,L15:M15,L18:M18,L21:M21,L24:M24,L27:M27)</f>
        <v>9</v>
      </c>
      <c r="N30" s="8" t="s">
        <v>27</v>
      </c>
      <c r="O30" s="17">
        <f>MEDIAN(N27:O27,N24:O24,O21,N18,N15:O15,N12:O12,O9,N6:O6,N3:O3)</f>
        <v>22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5.75" customHeight="1">
      <c r="A31" s="2"/>
      <c r="B31" s="18"/>
      <c r="C31" s="18"/>
      <c r="D31" s="18"/>
      <c r="I31" s="17"/>
      <c r="J31" s="8" t="s">
        <v>28</v>
      </c>
      <c r="K31" s="17">
        <f>MEDIAN(J4:K4,J7:K7,J10:K10,J13:K13,J16:K16,J19:K19,J22:K22,J25:K25,J28:K28)</f>
        <v>18</v>
      </c>
      <c r="L31" s="8" t="s">
        <v>29</v>
      </c>
      <c r="M31" s="17">
        <f>MEDIAN(L28:M28,L25:M25,L22:M22,L19:M19,L16:M16,L13:M13,L10:M10,L7:M7,L4:M4)</f>
        <v>14</v>
      </c>
      <c r="N31" s="8" t="s">
        <v>30</v>
      </c>
      <c r="O31" s="17">
        <f>MEDIAN(O28,N25:O25,N22:O22,N19:O19,O16,N13:O13,N10:O10,N7:O7,O4)</f>
        <v>18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5.75" customHeight="1">
      <c r="A32" s="2"/>
      <c r="B32" s="18"/>
      <c r="C32" s="18"/>
      <c r="D32" s="18"/>
      <c r="I32" s="43" t="s">
        <v>31</v>
      </c>
      <c r="J32" s="43" t="s">
        <v>22</v>
      </c>
      <c r="K32" s="43">
        <f>QUARTILE((J2:K2,J5:K5,K8,J11:K11,J14:K14,J17:K17,J20:K20,J23:K23,K26),1)</f>
        <v>14.75</v>
      </c>
      <c r="L32" s="43" t="s">
        <v>23</v>
      </c>
      <c r="M32" s="43">
        <f>QUARTILE((L2:M2,L5:M5,L8:M8,L11:M11,L14:M14,L17:M17,L20:M20,M23,L26:M26),1)</f>
        <v>12</v>
      </c>
      <c r="N32" s="43" t="s">
        <v>24</v>
      </c>
      <c r="O32" s="43">
        <f>QUARTILE((O2,N5:O5,N8:O8,O11,N14:O14,O17,N20:O20,O23,O26),1)</f>
        <v>19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0" ht="15.75" customHeight="1">
      <c r="A33" s="2"/>
      <c r="I33" s="44"/>
      <c r="J33" s="45" t="s">
        <v>25</v>
      </c>
      <c r="K33" s="44">
        <f>QUARTILE((J3:K3,J6:K6,K9,J12:K12,J15:K15,J18:K18,J21:K21,J24:K24,J27:K27),1)</f>
        <v>7</v>
      </c>
      <c r="L33" s="44" t="s">
        <v>26</v>
      </c>
      <c r="M33" s="44">
        <f>QUARTILE((L3:M3,L6:M6,L9:M9,L12:M12,L15:M15,L18:M18,L21:M21,L24:M24,L27:M27),1)</f>
        <v>6</v>
      </c>
      <c r="N33" s="44" t="s">
        <v>27</v>
      </c>
      <c r="O33" s="44">
        <f>QUARTILE((N3:O3,N6:O6,O9,N15:O15,N18,O21,N24:O24,N27:O27),1)</f>
        <v>13</v>
      </c>
      <c r="R33" s="18"/>
      <c r="S33" s="18"/>
      <c r="T33" s="18"/>
    </row>
    <row r="34" spans="1:20" ht="15.75" customHeight="1">
      <c r="A34" s="2"/>
      <c r="I34" s="44"/>
      <c r="J34" s="44" t="s">
        <v>28</v>
      </c>
      <c r="K34" s="43">
        <f>QUARTILE((J4:K4,J7:K7,J10:K10,J13:K13,J16:K16,J19:K19,J22:K22,J25:K25,J28:K28),1)</f>
        <v>9</v>
      </c>
      <c r="L34" s="43" t="s">
        <v>29</v>
      </c>
      <c r="M34" s="43">
        <f>QUARTILE((L4:M4,L7:M7,L10:M10,L13:M13,L16:M16,L19:M19,L22:M22,L25:M25,L28:M28),1)</f>
        <v>10.25</v>
      </c>
      <c r="N34" s="44" t="s">
        <v>30</v>
      </c>
      <c r="O34" s="44">
        <f>QUARTILE((O28,N25:O25,N22:O22,N19:O19,N13:O13,N10:O10,N7:O7,O4),1)</f>
        <v>9.25</v>
      </c>
      <c r="R34" s="18"/>
      <c r="S34" s="18"/>
      <c r="T34" s="18"/>
    </row>
    <row r="35" spans="1:20" ht="15.75" customHeight="1">
      <c r="A35" s="2"/>
      <c r="I35" s="46" t="s">
        <v>32</v>
      </c>
      <c r="J35" s="46" t="s">
        <v>22</v>
      </c>
      <c r="K35" s="46">
        <f>QUARTILE((J5:K5,J8:K8,K11,J14:K14,J17:K17,J20:K20,J23:K23,J26:K26,K29),3)</f>
        <v>58</v>
      </c>
      <c r="L35" s="46" t="s">
        <v>23</v>
      </c>
      <c r="M35" s="46">
        <f>QUARTILE((L5:M5,L8:M8,L11:M11,L14:M14,L17:M17,L20:M20,L23:M23,M26,L29:M29),3)</f>
        <v>28.75</v>
      </c>
      <c r="N35" s="46" t="s">
        <v>24</v>
      </c>
      <c r="O35" s="46">
        <f>QUARTILE((O5,N8:O8,N11:O11,O14,N17:O17,O20,N23:O23,O26,O29),3)</f>
        <v>32</v>
      </c>
      <c r="R35" s="18"/>
      <c r="S35" s="18"/>
      <c r="T35" s="18"/>
    </row>
    <row r="36" spans="1:20" ht="15.75" customHeight="1">
      <c r="A36" s="2"/>
      <c r="I36" s="47"/>
      <c r="J36" s="48" t="s">
        <v>25</v>
      </c>
      <c r="K36" s="47">
        <f>QUARTILE((J6:K6,J9:K9,K12,J15:K15,J18:K18,J21:K21,J24:K24,J27:K27,J30:K30),3)</f>
        <v>24.5</v>
      </c>
      <c r="L36" s="47" t="s">
        <v>26</v>
      </c>
      <c r="M36" s="47">
        <f>QUARTILE((L6:M6,L9:M9,L12:M12,L15:M15,L18:M18,L21:M21,L24:M24,L27:M27,L30:M30),3)</f>
        <v>15</v>
      </c>
      <c r="N36" s="47" t="s">
        <v>27</v>
      </c>
      <c r="O36" s="47">
        <f>QUARTILE((N6:O6,N9:O9,O12,N18:O18,N21,O24,N27:O27,N30:O30),3)</f>
        <v>34</v>
      </c>
      <c r="R36" s="18"/>
      <c r="S36" s="18"/>
      <c r="T36" s="18"/>
    </row>
    <row r="37" spans="1:20" ht="15.75" customHeight="1">
      <c r="A37" s="2"/>
      <c r="I37" s="47"/>
      <c r="J37" s="47" t="s">
        <v>28</v>
      </c>
      <c r="K37" s="46">
        <f>QUARTILE((J7:K7,J10:K10,J13:K13,J16:K16,J19:K19,J22:K22,J25:K25,J28:K28,J31:K31),3)</f>
        <v>43</v>
      </c>
      <c r="L37" s="46" t="s">
        <v>29</v>
      </c>
      <c r="M37" s="46">
        <f>QUARTILE((L7:M7,L10:M10,L13:M13,L16:M16,L19:M19,L22:M22,L25:M25,L28:M28,L31:M31),3)</f>
        <v>28</v>
      </c>
      <c r="N37" s="47" t="s">
        <v>30</v>
      </c>
      <c r="O37" s="47">
        <f>QUARTILE((O31,N28:O28,N25:O25,N22:O22,N16:O16,N13:O13,N10:O10,O7),3)</f>
        <v>53.5</v>
      </c>
      <c r="R37" s="18"/>
      <c r="S37" s="18"/>
      <c r="T37" s="18"/>
    </row>
    <row r="38" spans="1:20" ht="15.75" customHeight="1">
      <c r="A38" s="2"/>
      <c r="I38" s="49" t="s">
        <v>33</v>
      </c>
      <c r="J38" s="49"/>
      <c r="K38" s="49">
        <f>MIN(J2:K2,J5:K5,K8,J11:K11,J14:K14,J17:K17,J20:K20,J23:K23,K26)</f>
        <v>4</v>
      </c>
      <c r="L38" s="49"/>
      <c r="M38" s="49">
        <f>MIN(L2:M2,L5:M5,L8:M8,L11:M11,L14:M14,L17:M17,L20:M20,M23,L26:M26)</f>
        <v>6</v>
      </c>
      <c r="N38" s="49"/>
      <c r="O38" s="49">
        <f>MIN(O2,N5:O5,N8:O8,O11,N14:O14,O17,N20:O20,O23,O26)</f>
        <v>7</v>
      </c>
      <c r="R38" s="18"/>
      <c r="S38" s="18"/>
      <c r="T38" s="18"/>
    </row>
    <row r="39" spans="1:20" ht="15.75" customHeight="1">
      <c r="I39" s="49"/>
      <c r="J39" s="49"/>
      <c r="K39" s="49">
        <f>MIN(J3:K3,J6:K6,K9,J12:K12,J15:K15,J18:K18,J21:K21,J24:K24,J27:K27)</f>
        <v>3</v>
      </c>
      <c r="L39" s="49"/>
      <c r="M39" s="49">
        <f>MIN(L3:M3,L6:M6,L9:M9,L12:M12,L15:M15,L18:M18,L21:M21,L24:M24,L27:M27)</f>
        <v>2</v>
      </c>
      <c r="N39" s="49"/>
      <c r="O39" s="49">
        <f>MIN(N27:O27,N24:O24,O21,N18,N15:O15,N12:O12,O9,N6:O6,N3:O3)</f>
        <v>4</v>
      </c>
      <c r="R39" s="18"/>
      <c r="S39" s="18"/>
      <c r="T39" s="18"/>
    </row>
    <row r="40" spans="1:20" ht="15.75" customHeight="1">
      <c r="I40" s="49"/>
      <c r="J40" s="49"/>
      <c r="K40" s="49">
        <f>MIN(J4:K4,J7:K7,J10:K10,J13:K13,J16:K16,J19:K19,J22:K22,J25:K25,J28:K28)</f>
        <v>5</v>
      </c>
      <c r="L40" s="49"/>
      <c r="M40" s="49">
        <f>MIN(L28:M28,L25:M25,L22:M22,L19:M19,L16:M16,L13:M13,L10:M10,L7:M7,L4:M4)</f>
        <v>6</v>
      </c>
      <c r="N40" s="49"/>
      <c r="O40" s="49">
        <f>MIN(O28,N25:O25,N22:O22,N19:O19,O16,N13:O13,N10:O10,N7:O7,O4)</f>
        <v>6</v>
      </c>
      <c r="R40" s="18"/>
      <c r="S40" s="18"/>
      <c r="T40" s="18"/>
    </row>
    <row r="41" spans="1:20" ht="15.75" customHeight="1">
      <c r="I41" s="44" t="s">
        <v>34</v>
      </c>
      <c r="J41" s="44"/>
      <c r="K41" s="44">
        <f>MAX(J5:K5,J8:K8,K11,J14:K14,J17:K17,J20:K20,J23:K23,J26:K26,K29)</f>
        <v>103</v>
      </c>
      <c r="L41" s="44"/>
      <c r="M41" s="44">
        <f>MAX(L5:M5,L8:M8,L11:M11,L14:M14,L17:M17,L20:M20,L23:M23,M26,L29:M29)</f>
        <v>139</v>
      </c>
      <c r="N41" s="44"/>
      <c r="O41" s="44">
        <f>MAX(O5,N8:O8,N11:O11,O14,N17:O17,O20,N23:O23,O26,O29)</f>
        <v>85</v>
      </c>
      <c r="R41" s="18"/>
      <c r="S41" s="18"/>
      <c r="T41" s="18"/>
    </row>
    <row r="42" spans="1:20" ht="15.75" customHeight="1">
      <c r="I42" s="44"/>
      <c r="J42" s="44"/>
      <c r="K42" s="44">
        <f>MAX(J6:K6,J9:K9,K12,J15:K15,J18:K18,J21:K21,J24:K24,J27:K27,J30:K30)</f>
        <v>191</v>
      </c>
      <c r="L42" s="44"/>
      <c r="M42" s="44">
        <f>MAX(L6:M6,L9:M9,L12:M12,L15:M15,L18:M18,L21:M21,L24:M24,L27:M27,L30:M30)</f>
        <v>60</v>
      </c>
      <c r="N42" s="44"/>
      <c r="O42" s="44">
        <f>MAX(N30:O30,N27:O27,O24,N21,N18:O18,N15:O15,O12,N9:O9,N6:O6)</f>
        <v>80</v>
      </c>
      <c r="R42" s="18"/>
      <c r="S42" s="18"/>
      <c r="T42" s="18"/>
    </row>
    <row r="43" spans="1:20" ht="15.75" customHeight="1">
      <c r="I43" s="44"/>
      <c r="J43" s="44"/>
      <c r="K43" s="44">
        <f>MAX(J7:K7,J10:K10,J13:K13,J16:K16,J19:K19,J22:K22,J25:K25,J28:K28,J31:K31)</f>
        <v>186</v>
      </c>
      <c r="L43" s="44"/>
      <c r="M43" s="44">
        <f>MAX(L31:M31,L28:M28,L25:M25,L22:M22,L19:M19,L16:M16,L13:M13,L10:M10,L7:M7)</f>
        <v>111</v>
      </c>
      <c r="N43" s="44"/>
      <c r="O43" s="44">
        <f>MAX(O31,N28:O28,N25:O25,N22:O22,O19,N16:O16,N13:O13,N10:O10,O7)</f>
        <v>134</v>
      </c>
      <c r="R43" s="18"/>
      <c r="S43" s="18"/>
      <c r="T43" s="18"/>
    </row>
    <row r="44" spans="1:20" ht="15.75" customHeight="1">
      <c r="R44" s="18"/>
      <c r="S44" s="18"/>
      <c r="T44" s="18"/>
    </row>
    <row r="45" spans="1:20" ht="15.75" customHeight="1">
      <c r="R45" s="18"/>
      <c r="S45" s="18"/>
      <c r="T45" s="18"/>
    </row>
    <row r="46" spans="1:20" ht="15.75" customHeight="1">
      <c r="D46" s="50" t="s">
        <v>35</v>
      </c>
      <c r="E46" s="51" t="s">
        <v>15</v>
      </c>
      <c r="F46" s="51" t="s">
        <v>16</v>
      </c>
      <c r="G46" s="52" t="s">
        <v>17</v>
      </c>
      <c r="I46" s="50" t="s">
        <v>36</v>
      </c>
      <c r="J46" s="51" t="s">
        <v>15</v>
      </c>
      <c r="K46" s="51" t="s">
        <v>16</v>
      </c>
      <c r="L46" s="52" t="s">
        <v>17</v>
      </c>
      <c r="N46" s="50" t="s">
        <v>37</v>
      </c>
      <c r="O46" s="51" t="s">
        <v>15</v>
      </c>
      <c r="P46" s="51" t="s">
        <v>16</v>
      </c>
      <c r="Q46" s="52" t="s">
        <v>17</v>
      </c>
      <c r="R46" s="18"/>
      <c r="S46" s="18"/>
      <c r="T46" s="18"/>
    </row>
    <row r="47" spans="1:20" ht="15.75" customHeight="1">
      <c r="D47" s="53" t="s">
        <v>38</v>
      </c>
      <c r="E47" s="54">
        <f>O32</f>
        <v>19</v>
      </c>
      <c r="F47" s="54">
        <f>O33</f>
        <v>13</v>
      </c>
      <c r="G47" s="55">
        <f>O34</f>
        <v>9.25</v>
      </c>
      <c r="I47" s="53"/>
      <c r="J47" s="54">
        <f>M32</f>
        <v>12</v>
      </c>
      <c r="K47" s="54">
        <f>M33</f>
        <v>6</v>
      </c>
      <c r="L47" s="55">
        <f>M34</f>
        <v>10.25</v>
      </c>
      <c r="N47" s="53"/>
      <c r="O47" s="54">
        <f>K32</f>
        <v>14.75</v>
      </c>
      <c r="P47" s="54">
        <f>K33</f>
        <v>7</v>
      </c>
      <c r="Q47" s="55">
        <f>K34</f>
        <v>9</v>
      </c>
      <c r="R47" s="18"/>
      <c r="S47" s="18"/>
      <c r="T47" s="18"/>
    </row>
    <row r="48" spans="1:20" ht="15.75" customHeight="1">
      <c r="D48" s="53" t="s">
        <v>39</v>
      </c>
      <c r="E48" s="54">
        <f>O29</f>
        <v>30</v>
      </c>
      <c r="F48" s="54">
        <f>O30</f>
        <v>22</v>
      </c>
      <c r="G48" s="55">
        <f>O31</f>
        <v>18</v>
      </c>
      <c r="I48" s="53"/>
      <c r="J48" s="54">
        <f>M29</f>
        <v>18</v>
      </c>
      <c r="K48" s="54">
        <f>M30</f>
        <v>9</v>
      </c>
      <c r="L48" s="55">
        <f>M31</f>
        <v>14</v>
      </c>
      <c r="N48" s="53"/>
      <c r="O48" s="54">
        <f>K29</f>
        <v>27.5</v>
      </c>
      <c r="P48" s="54">
        <f>K30</f>
        <v>16</v>
      </c>
      <c r="Q48" s="55">
        <f>K31</f>
        <v>18</v>
      </c>
      <c r="R48" s="18"/>
      <c r="S48" s="18"/>
      <c r="T48" s="18"/>
    </row>
    <row r="49" spans="4:20" ht="15.75" customHeight="1">
      <c r="D49" s="53" t="s">
        <v>40</v>
      </c>
      <c r="E49" s="54">
        <f>O35</f>
        <v>32</v>
      </c>
      <c r="F49" s="54">
        <f>O36</f>
        <v>34</v>
      </c>
      <c r="G49" s="55">
        <f>O37</f>
        <v>53.5</v>
      </c>
      <c r="I49" s="53"/>
      <c r="J49" s="54">
        <f>M35</f>
        <v>28.75</v>
      </c>
      <c r="K49" s="54">
        <f>M36</f>
        <v>15</v>
      </c>
      <c r="L49" s="55">
        <f>M37</f>
        <v>28</v>
      </c>
      <c r="N49" s="53"/>
      <c r="O49" s="54">
        <f>K35</f>
        <v>58</v>
      </c>
      <c r="P49" s="54">
        <f>K36</f>
        <v>24.5</v>
      </c>
      <c r="Q49" s="55">
        <f>K37</f>
        <v>43</v>
      </c>
      <c r="R49" s="18"/>
      <c r="S49" s="18"/>
      <c r="T49" s="18"/>
    </row>
    <row r="50" spans="4:20" ht="15.75" customHeight="1">
      <c r="D50" s="53" t="s">
        <v>41</v>
      </c>
      <c r="E50" s="54">
        <f>O38</f>
        <v>7</v>
      </c>
      <c r="F50" s="54">
        <f>O39</f>
        <v>4</v>
      </c>
      <c r="G50" s="55">
        <f>O40</f>
        <v>6</v>
      </c>
      <c r="I50" s="53"/>
      <c r="J50" s="54">
        <f>M38</f>
        <v>6</v>
      </c>
      <c r="K50" s="54">
        <f>M39</f>
        <v>2</v>
      </c>
      <c r="L50" s="55">
        <f>M40</f>
        <v>6</v>
      </c>
      <c r="N50" s="53"/>
      <c r="O50" s="54">
        <f>K38</f>
        <v>4</v>
      </c>
      <c r="P50" s="54">
        <f>K39</f>
        <v>3</v>
      </c>
      <c r="Q50" s="55">
        <f>K40</f>
        <v>5</v>
      </c>
      <c r="R50" s="18"/>
      <c r="S50" s="18"/>
      <c r="T50" s="18"/>
    </row>
    <row r="51" spans="4:20" ht="15.75" customHeight="1">
      <c r="D51" s="53" t="s">
        <v>42</v>
      </c>
      <c r="E51" s="54">
        <f>O41</f>
        <v>85</v>
      </c>
      <c r="F51" s="54">
        <f>O42</f>
        <v>80</v>
      </c>
      <c r="G51" s="55">
        <f>O43</f>
        <v>134</v>
      </c>
      <c r="I51" s="53"/>
      <c r="J51" s="54">
        <f>M41</f>
        <v>139</v>
      </c>
      <c r="K51" s="54">
        <f>M42</f>
        <v>60</v>
      </c>
      <c r="L51" s="55">
        <f>M43</f>
        <v>111</v>
      </c>
      <c r="N51" s="53"/>
      <c r="O51" s="54">
        <f>K41</f>
        <v>103</v>
      </c>
      <c r="P51" s="54">
        <f>K42</f>
        <v>191</v>
      </c>
      <c r="Q51" s="55">
        <f>K43</f>
        <v>186</v>
      </c>
      <c r="R51" s="18"/>
      <c r="S51" s="18"/>
      <c r="T51" s="18"/>
    </row>
    <row r="52" spans="4:20" ht="15.75" customHeight="1">
      <c r="D52" s="53"/>
      <c r="E52" s="54"/>
      <c r="F52" s="54"/>
      <c r="G52" s="55"/>
      <c r="I52" s="53"/>
      <c r="J52" s="54"/>
      <c r="K52" s="54"/>
      <c r="L52" s="55"/>
      <c r="N52" s="53"/>
      <c r="O52" s="54"/>
      <c r="P52" s="54"/>
      <c r="Q52" s="55"/>
      <c r="R52" s="18"/>
      <c r="S52" s="18"/>
      <c r="T52" s="18"/>
    </row>
    <row r="53" spans="4:20" ht="15.75" customHeight="1">
      <c r="D53" s="53"/>
      <c r="E53" s="54"/>
      <c r="F53" s="54"/>
      <c r="G53" s="55"/>
      <c r="I53" s="53"/>
      <c r="J53" s="54"/>
      <c r="K53" s="54"/>
      <c r="L53" s="55"/>
      <c r="N53" s="53"/>
      <c r="O53" s="54"/>
      <c r="P53" s="54"/>
      <c r="Q53" s="55"/>
      <c r="R53" s="18"/>
      <c r="S53" s="18"/>
      <c r="T53" s="18"/>
    </row>
    <row r="54" spans="4:20" ht="15.75" customHeight="1">
      <c r="D54" s="53" t="s">
        <v>38</v>
      </c>
      <c r="E54" s="54">
        <f>E47</f>
        <v>19</v>
      </c>
      <c r="F54" s="54">
        <f t="shared" ref="F54:G54" si="6">F47</f>
        <v>13</v>
      </c>
      <c r="G54" s="55">
        <f t="shared" si="6"/>
        <v>9.25</v>
      </c>
      <c r="I54" s="53"/>
      <c r="J54" s="54">
        <f t="shared" ref="J54:L54" si="7">J47</f>
        <v>12</v>
      </c>
      <c r="K54" s="54">
        <f t="shared" si="7"/>
        <v>6</v>
      </c>
      <c r="L54" s="55">
        <f t="shared" si="7"/>
        <v>10.25</v>
      </c>
      <c r="M54" s="54"/>
      <c r="N54" s="53"/>
      <c r="O54" s="54">
        <f t="shared" ref="O54:Q54" si="8">O47</f>
        <v>14.75</v>
      </c>
      <c r="P54" s="54">
        <f t="shared" si="8"/>
        <v>7</v>
      </c>
      <c r="Q54" s="55">
        <f t="shared" si="8"/>
        <v>9</v>
      </c>
      <c r="R54" s="18"/>
      <c r="S54" s="18"/>
      <c r="T54" s="18"/>
    </row>
    <row r="55" spans="4:20" ht="15.75" customHeight="1">
      <c r="D55" s="53" t="s">
        <v>43</v>
      </c>
      <c r="E55" s="54">
        <f>E48-E47</f>
        <v>11</v>
      </c>
      <c r="F55" s="54">
        <f t="shared" ref="F55:G56" si="9">F48-F47</f>
        <v>9</v>
      </c>
      <c r="G55" s="55">
        <f t="shared" si="9"/>
        <v>8.75</v>
      </c>
      <c r="I55" s="53"/>
      <c r="J55" s="54">
        <f t="shared" ref="J55:L56" si="10">J48-J47</f>
        <v>6</v>
      </c>
      <c r="K55" s="54">
        <f t="shared" si="10"/>
        <v>3</v>
      </c>
      <c r="L55" s="55">
        <f t="shared" si="10"/>
        <v>3.75</v>
      </c>
      <c r="M55" s="54"/>
      <c r="N55" s="53"/>
      <c r="O55" s="54">
        <f t="shared" ref="O55:Q56" si="11">O48-O47</f>
        <v>12.75</v>
      </c>
      <c r="P55" s="54">
        <f t="shared" si="11"/>
        <v>9</v>
      </c>
      <c r="Q55" s="55">
        <f t="shared" si="11"/>
        <v>9</v>
      </c>
      <c r="R55" s="18"/>
      <c r="S55" s="18"/>
      <c r="T55" s="18"/>
    </row>
    <row r="56" spans="4:20" ht="15.75" customHeight="1">
      <c r="D56" s="53" t="s">
        <v>44</v>
      </c>
      <c r="E56" s="54">
        <f>E49-E48</f>
        <v>2</v>
      </c>
      <c r="F56" s="54">
        <f t="shared" si="9"/>
        <v>12</v>
      </c>
      <c r="G56" s="55">
        <f t="shared" si="9"/>
        <v>35.5</v>
      </c>
      <c r="I56" s="53"/>
      <c r="J56" s="54">
        <f t="shared" si="10"/>
        <v>10.75</v>
      </c>
      <c r="K56" s="54">
        <f t="shared" si="10"/>
        <v>6</v>
      </c>
      <c r="L56" s="55">
        <f t="shared" si="10"/>
        <v>14</v>
      </c>
      <c r="M56" s="54"/>
      <c r="N56" s="53"/>
      <c r="O56" s="54">
        <f t="shared" si="11"/>
        <v>30.5</v>
      </c>
      <c r="P56" s="54">
        <f t="shared" si="11"/>
        <v>8.5</v>
      </c>
      <c r="Q56" s="55">
        <f t="shared" si="11"/>
        <v>25</v>
      </c>
      <c r="R56" s="18"/>
      <c r="S56" s="18"/>
      <c r="T56" s="18"/>
    </row>
    <row r="57" spans="4:20" ht="15.75" customHeight="1">
      <c r="D57" s="53" t="s">
        <v>45</v>
      </c>
      <c r="E57" s="54">
        <f>E47-E50</f>
        <v>12</v>
      </c>
      <c r="F57" s="54">
        <f>F47-F50</f>
        <v>9</v>
      </c>
      <c r="G57" s="55">
        <f>G47-G50</f>
        <v>3.25</v>
      </c>
      <c r="I57" s="53"/>
      <c r="J57" s="54">
        <f t="shared" ref="J57:L57" si="12">J47-J50</f>
        <v>6</v>
      </c>
      <c r="K57" s="54">
        <f t="shared" si="12"/>
        <v>4</v>
      </c>
      <c r="L57" s="55">
        <f t="shared" si="12"/>
        <v>4.25</v>
      </c>
      <c r="M57" s="54"/>
      <c r="N57" s="53"/>
      <c r="O57" s="54">
        <f t="shared" ref="O57:Q57" si="13">O47-O50</f>
        <v>10.75</v>
      </c>
      <c r="P57" s="54">
        <f t="shared" si="13"/>
        <v>4</v>
      </c>
      <c r="Q57" s="55">
        <f t="shared" si="13"/>
        <v>4</v>
      </c>
      <c r="R57" s="18"/>
      <c r="S57" s="18"/>
      <c r="T57" s="18"/>
    </row>
    <row r="58" spans="4:20" ht="15.75" customHeight="1">
      <c r="D58" s="56" t="s">
        <v>46</v>
      </c>
      <c r="E58" s="57">
        <f>E51-E49</f>
        <v>53</v>
      </c>
      <c r="F58" s="57">
        <f>F51-F49</f>
        <v>46</v>
      </c>
      <c r="G58" s="58">
        <f>G51-G49</f>
        <v>80.5</v>
      </c>
      <c r="I58" s="56"/>
      <c r="J58" s="57">
        <f t="shared" ref="J58:L58" si="14">J51-J49</f>
        <v>110.25</v>
      </c>
      <c r="K58" s="57">
        <f t="shared" si="14"/>
        <v>45</v>
      </c>
      <c r="L58" s="58">
        <f t="shared" si="14"/>
        <v>83</v>
      </c>
      <c r="M58" s="54"/>
      <c r="N58" s="56"/>
      <c r="O58" s="57">
        <f t="shared" ref="O58:Q58" si="15">O51-O49</f>
        <v>45</v>
      </c>
      <c r="P58" s="57">
        <f t="shared" si="15"/>
        <v>166.5</v>
      </c>
      <c r="Q58" s="58">
        <f t="shared" si="15"/>
        <v>143</v>
      </c>
      <c r="R58" s="18"/>
      <c r="S58" s="18"/>
      <c r="T58" s="18"/>
    </row>
    <row r="59" spans="4:20" ht="15.75" customHeight="1">
      <c r="M59" s="54"/>
      <c r="N59" s="54"/>
      <c r="R59" s="18"/>
      <c r="S59" s="18"/>
      <c r="T59" s="18"/>
    </row>
    <row r="60" spans="4:20" ht="15.75" customHeight="1">
      <c r="M60" s="54"/>
      <c r="N60" s="54"/>
      <c r="R60" s="18"/>
      <c r="S60" s="18"/>
      <c r="T60" s="18"/>
    </row>
    <row r="61" spans="4:20" ht="15.75" customHeight="1">
      <c r="R61" s="18"/>
      <c r="S61" s="18"/>
      <c r="T61" s="18"/>
    </row>
    <row r="62" spans="4:20" ht="15.75" customHeight="1">
      <c r="R62" s="18"/>
      <c r="S62" s="18"/>
      <c r="T62" s="18"/>
    </row>
    <row r="63" spans="4:20" ht="15.75" customHeight="1">
      <c r="R63" s="18"/>
      <c r="S63" s="18"/>
      <c r="T63" s="18"/>
    </row>
    <row r="64" spans="4:20" ht="15.75" customHeight="1">
      <c r="R64" s="18"/>
      <c r="S64" s="18"/>
      <c r="T64" s="18"/>
    </row>
    <row r="65" spans="18:20" ht="15.75" customHeight="1">
      <c r="R65" s="18"/>
      <c r="S65" s="18"/>
      <c r="T65" s="18"/>
    </row>
    <row r="66" spans="18:20" ht="15.75" customHeight="1">
      <c r="R66" s="18"/>
      <c r="S66" s="18"/>
      <c r="T66" s="18"/>
    </row>
    <row r="67" spans="18:20" ht="15.75" customHeight="1">
      <c r="R67" s="18"/>
      <c r="S67" s="18"/>
      <c r="T67" s="18"/>
    </row>
    <row r="68" spans="18:20" ht="15.75" customHeight="1">
      <c r="R68" s="18"/>
      <c r="S68" s="18"/>
      <c r="T68" s="18"/>
    </row>
    <row r="69" spans="18:20" ht="15.75" customHeight="1">
      <c r="R69" s="18"/>
      <c r="S69" s="18"/>
      <c r="T69" s="18"/>
    </row>
    <row r="70" spans="18:20" ht="15.75" customHeight="1">
      <c r="R70" s="18"/>
      <c r="S70" s="18"/>
      <c r="T70" s="18"/>
    </row>
    <row r="71" spans="18:20" ht="15.75" customHeight="1">
      <c r="R71" s="18"/>
      <c r="S71" s="18"/>
      <c r="T71" s="18"/>
    </row>
    <row r="72" spans="18:20" ht="15.75" customHeight="1">
      <c r="R72" s="18"/>
      <c r="S72" s="18"/>
      <c r="T72" s="18"/>
    </row>
    <row r="73" spans="18:20" ht="15.75" customHeight="1">
      <c r="R73" s="18"/>
      <c r="S73" s="18"/>
      <c r="T73" s="18"/>
    </row>
    <row r="74" spans="18:20" ht="15.75" customHeight="1">
      <c r="R74" s="18"/>
      <c r="S74" s="18"/>
      <c r="T74" s="18"/>
    </row>
    <row r="75" spans="18:20" ht="15.75" customHeight="1">
      <c r="R75" s="18"/>
      <c r="S75" s="18"/>
      <c r="T75" s="18"/>
    </row>
    <row r="76" spans="18:20" ht="15.75" customHeight="1">
      <c r="R76" s="18"/>
      <c r="S76" s="18"/>
      <c r="T76" s="18"/>
    </row>
    <row r="77" spans="18:20" ht="15.75" customHeight="1">
      <c r="R77" s="18"/>
      <c r="S77" s="18"/>
      <c r="T77" s="18"/>
    </row>
    <row r="78" spans="18:20" ht="15.75" customHeight="1">
      <c r="R78" s="18"/>
      <c r="S78" s="18"/>
      <c r="T78" s="18"/>
    </row>
    <row r="79" spans="18:20" ht="15.75" customHeight="1">
      <c r="R79" s="18"/>
      <c r="S79" s="18"/>
      <c r="T79" s="18"/>
    </row>
    <row r="80" spans="18:20" ht="15.75" customHeight="1">
      <c r="R80" s="18"/>
      <c r="S80" s="18"/>
      <c r="T80" s="18"/>
    </row>
    <row r="81" spans="4:20" ht="15.75" customHeight="1">
      <c r="R81" s="18"/>
      <c r="S81" s="18"/>
      <c r="T81" s="18"/>
    </row>
    <row r="82" spans="4:20" ht="15.75" customHeight="1">
      <c r="R82" s="18"/>
      <c r="S82" s="18"/>
      <c r="T82" s="18"/>
    </row>
    <row r="83" spans="4:20" ht="15.75" customHeight="1">
      <c r="R83" s="18"/>
      <c r="S83" s="18"/>
      <c r="T83" s="18"/>
    </row>
    <row r="84" spans="4:20" ht="15.75" customHeight="1">
      <c r="R84" s="18"/>
      <c r="S84" s="18"/>
      <c r="T84" s="18"/>
    </row>
    <row r="85" spans="4:20" ht="15.75" customHeight="1">
      <c r="R85" s="18"/>
      <c r="S85" s="18"/>
      <c r="T85" s="18"/>
    </row>
    <row r="86" spans="4:20" ht="15.75" customHeight="1">
      <c r="R86" s="18"/>
      <c r="S86" s="18"/>
      <c r="T86" s="18"/>
    </row>
    <row r="87" spans="4:20" ht="15.75" customHeight="1">
      <c r="R87" s="18"/>
      <c r="S87" s="18"/>
      <c r="T87" s="18"/>
    </row>
    <row r="88" spans="4:20" ht="15.75" customHeight="1">
      <c r="R88" s="18"/>
      <c r="S88" s="18"/>
      <c r="T88" s="18"/>
    </row>
    <row r="89" spans="4:20" ht="15.75" customHeight="1">
      <c r="R89" s="18"/>
      <c r="S89" s="18"/>
      <c r="T89" s="18"/>
    </row>
    <row r="90" spans="4:20" ht="15.75" customHeight="1">
      <c r="D90" s="88"/>
      <c r="E90" s="88" t="s">
        <v>15</v>
      </c>
      <c r="F90" s="88" t="s">
        <v>16</v>
      </c>
      <c r="G90" s="88" t="s">
        <v>17</v>
      </c>
      <c r="R90" s="18"/>
      <c r="S90" s="18"/>
      <c r="T90" s="18"/>
    </row>
    <row r="91" spans="4:20" ht="15.75" customHeight="1">
      <c r="D91" s="88" t="s">
        <v>105</v>
      </c>
      <c r="E91" s="88">
        <f>MEDIAN(J2:M2,O2,J5:O5,K8:O8,J11:M11,O11,J14:O14,J17:M17,O17,J20:O20,J23:K23,M23,O23,O26,K26:M26)</f>
        <v>23</v>
      </c>
      <c r="F91" s="88">
        <f>MEDIAN(J3:O3,J6:O6,K9:M9,O9,J12:O12,J15:O15,J18:N18,J21:M21,O21,J24:O24,J27:O27)</f>
        <v>14</v>
      </c>
      <c r="G91" s="88">
        <f>MEDIAN(J28:M28,O28,J25:O25,J22:O22,J19:O19,J16:M16,O16,J13:O13,J10:O10,J7:O7,J4:M4,O4)</f>
        <v>15</v>
      </c>
      <c r="R91" s="18"/>
      <c r="S91" s="18"/>
      <c r="T91" s="18"/>
    </row>
    <row r="92" spans="4:20" ht="15.75" customHeight="1">
      <c r="D92" s="88" t="s">
        <v>38</v>
      </c>
      <c r="E92" s="88">
        <f>QUARTILE((J2:M2,O2,J5:O5,K8:O8,J11:M11,O11,J14:O14,J17:M17,O17,J20:O20,J23:K23,M23,O23,K26:M26,O26),1)</f>
        <v>15</v>
      </c>
      <c r="F92" s="88">
        <f>QUARTILE((J3:O3,J6:O6,J12:O12,K9:M9,O9,J15:O15,J18:N18,J21:M21,O21,J24:O24,J27:O27),1)</f>
        <v>7</v>
      </c>
      <c r="G92" s="88">
        <f>QUARTILE((J4:M4,O4,J7:O7,J10:O10,J13:O13,O16,J16:M16,J19:O19,J22:O22,J25:O25,O28,J28:M28),1)</f>
        <v>9</v>
      </c>
      <c r="R92" s="18"/>
      <c r="S92" s="18"/>
      <c r="T92" s="18"/>
    </row>
    <row r="93" spans="4:20" ht="15.75" customHeight="1">
      <c r="D93" s="88" t="s">
        <v>40</v>
      </c>
      <c r="E93" s="88">
        <f>QUARTILE((J2:M2,O2,J5:O5,K8:O8,J11:M11,O11,J14:O14,J17:M17,O17,J20:O20,J23:K23,M23,O23,K26:M26,O26),3)</f>
        <v>36</v>
      </c>
      <c r="F93" s="88">
        <f>QUARTILE((J3:O3,J6:O6,J12:O12,K9:M9,O9,J15:O15,J18:N18,J21:M21,O21,J24:O24,J27:O27),3)</f>
        <v>28.5</v>
      </c>
      <c r="G93" s="88">
        <f>QUARTILE((J4:M4,O4,J7:O7,J10:O10,J13:O13,O16,J16:M16,J19:O19,J22:O22,J25:O25,O28,J28:M28),3)</f>
        <v>32.5</v>
      </c>
      <c r="R93" s="18"/>
      <c r="S93" s="18"/>
      <c r="T93" s="18"/>
    </row>
    <row r="94" spans="4:20" ht="15.75" customHeight="1">
      <c r="R94" s="18"/>
      <c r="S94" s="18"/>
      <c r="T94" s="18"/>
    </row>
    <row r="95" spans="4:20" ht="15.75" customHeight="1">
      <c r="R95" s="18"/>
      <c r="S95" s="18"/>
      <c r="T95" s="18"/>
    </row>
    <row r="96" spans="4:20" ht="15.75" customHeight="1">
      <c r="D96" s="88"/>
      <c r="E96" s="88" t="s">
        <v>107</v>
      </c>
      <c r="F96" s="88" t="s">
        <v>106</v>
      </c>
      <c r="G96" s="88" t="s">
        <v>108</v>
      </c>
      <c r="H96" s="88" t="s">
        <v>113</v>
      </c>
      <c r="R96" s="18"/>
      <c r="S96" s="18"/>
      <c r="T96" s="18"/>
    </row>
    <row r="97" spans="3:20" ht="15.75" customHeight="1">
      <c r="D97" s="88" t="s">
        <v>91</v>
      </c>
      <c r="E97" s="88">
        <f>J48</f>
        <v>18</v>
      </c>
      <c r="F97" s="88">
        <f>E48</f>
        <v>30</v>
      </c>
      <c r="G97" s="88">
        <f>O48</f>
        <v>27.5</v>
      </c>
      <c r="H97" s="88">
        <v>23</v>
      </c>
      <c r="R97" s="18"/>
      <c r="S97" s="18"/>
      <c r="T97" s="18"/>
    </row>
    <row r="98" spans="3:20" ht="15.75" customHeight="1">
      <c r="D98" s="88" t="s">
        <v>92</v>
      </c>
      <c r="E98" s="88">
        <f>K48</f>
        <v>9</v>
      </c>
      <c r="F98" s="88">
        <f>P48</f>
        <v>16</v>
      </c>
      <c r="G98" s="88">
        <f>F48</f>
        <v>22</v>
      </c>
      <c r="H98" s="10">
        <v>14</v>
      </c>
      <c r="R98" s="18"/>
      <c r="S98" s="18"/>
      <c r="T98" s="18"/>
    </row>
    <row r="99" spans="3:20" ht="15.75" customHeight="1">
      <c r="D99" s="88" t="s">
        <v>93</v>
      </c>
      <c r="E99" s="88">
        <f>L48</f>
        <v>14</v>
      </c>
      <c r="F99" s="88">
        <f>Q48</f>
        <v>18</v>
      </c>
      <c r="G99" s="88">
        <f>G48</f>
        <v>18</v>
      </c>
      <c r="H99" s="10">
        <v>15</v>
      </c>
      <c r="R99" s="18"/>
      <c r="S99" s="18"/>
      <c r="T99" s="18"/>
    </row>
    <row r="100" spans="3:20" ht="15.75" customHeight="1">
      <c r="C100" s="10" t="s">
        <v>15</v>
      </c>
      <c r="D100" s="88" t="s">
        <v>109</v>
      </c>
      <c r="E100" s="10">
        <f>J56</f>
        <v>10.75</v>
      </c>
      <c r="F100" s="10">
        <f>O56</f>
        <v>30.5</v>
      </c>
      <c r="G100" s="10">
        <f>E56</f>
        <v>2</v>
      </c>
      <c r="H100" s="10">
        <f>36-23</f>
        <v>13</v>
      </c>
      <c r="R100" s="18"/>
      <c r="S100" s="18"/>
      <c r="T100" s="18"/>
    </row>
    <row r="101" spans="3:20" ht="15.75" customHeight="1">
      <c r="D101" s="88" t="s">
        <v>110</v>
      </c>
      <c r="E101" s="10">
        <f>J55</f>
        <v>6</v>
      </c>
      <c r="F101" s="10">
        <f>O55</f>
        <v>12.75</v>
      </c>
      <c r="G101" s="10">
        <f>E55</f>
        <v>11</v>
      </c>
      <c r="H101" s="10">
        <f>23-15</f>
        <v>8</v>
      </c>
      <c r="R101" s="18"/>
      <c r="S101" s="18"/>
      <c r="T101" s="18"/>
    </row>
    <row r="102" spans="3:20" ht="15.75" customHeight="1">
      <c r="C102" s="10" t="s">
        <v>16</v>
      </c>
      <c r="D102" s="88" t="s">
        <v>109</v>
      </c>
      <c r="E102" s="10">
        <f>K56</f>
        <v>6</v>
      </c>
      <c r="F102" s="10">
        <f>Q56</f>
        <v>25</v>
      </c>
      <c r="G102" s="10">
        <f>F56</f>
        <v>12</v>
      </c>
      <c r="H102" s="10">
        <f>28.5-14</f>
        <v>14.5</v>
      </c>
      <c r="R102" s="18"/>
      <c r="S102" s="18"/>
      <c r="T102" s="18"/>
    </row>
    <row r="103" spans="3:20" ht="15.75" customHeight="1">
      <c r="D103" s="88" t="s">
        <v>111</v>
      </c>
      <c r="E103" s="10">
        <f>K55</f>
        <v>3</v>
      </c>
      <c r="F103" s="10">
        <f>P57</f>
        <v>4</v>
      </c>
      <c r="G103" s="10">
        <f>F57</f>
        <v>9</v>
      </c>
      <c r="H103" s="10">
        <f>14-7</f>
        <v>7</v>
      </c>
      <c r="R103" s="18"/>
      <c r="S103" s="18"/>
      <c r="T103" s="18"/>
    </row>
    <row r="104" spans="3:20" ht="15.75" customHeight="1">
      <c r="C104" s="10" t="s">
        <v>17</v>
      </c>
      <c r="D104" s="88" t="s">
        <v>109</v>
      </c>
      <c r="E104" s="10">
        <f>L56</f>
        <v>14</v>
      </c>
      <c r="F104" s="10">
        <f>Q56</f>
        <v>25</v>
      </c>
      <c r="G104" s="10">
        <f>G56</f>
        <v>35.5</v>
      </c>
      <c r="H104" s="10">
        <f>32.5-15</f>
        <v>17.5</v>
      </c>
      <c r="R104" s="18"/>
      <c r="S104" s="18"/>
      <c r="T104" s="18"/>
    </row>
    <row r="105" spans="3:20" ht="15.75" customHeight="1">
      <c r="D105" s="88" t="s">
        <v>112</v>
      </c>
      <c r="E105" s="10">
        <f>L57</f>
        <v>4.25</v>
      </c>
      <c r="F105" s="10">
        <f>Q57</f>
        <v>4</v>
      </c>
      <c r="G105" s="10">
        <f>G57</f>
        <v>3.25</v>
      </c>
      <c r="H105" s="10">
        <f>15-9</f>
        <v>6</v>
      </c>
      <c r="R105" s="18"/>
      <c r="S105" s="18"/>
      <c r="T105" s="18"/>
    </row>
    <row r="106" spans="3:20" ht="15.75" customHeight="1">
      <c r="R106" s="18"/>
      <c r="S106" s="18"/>
      <c r="T106" s="18"/>
    </row>
    <row r="107" spans="3:20" ht="15.75" customHeight="1">
      <c r="R107" s="18"/>
      <c r="S107" s="18"/>
      <c r="T107" s="18"/>
    </row>
    <row r="108" spans="3:20" ht="15.75" customHeight="1">
      <c r="R108" s="18"/>
      <c r="S108" s="18"/>
      <c r="T108" s="18"/>
    </row>
    <row r="109" spans="3:20" ht="15.75" customHeight="1">
      <c r="R109" s="18"/>
      <c r="S109" s="18"/>
      <c r="T109" s="18"/>
    </row>
    <row r="110" spans="3:20" ht="15.75" customHeight="1">
      <c r="R110" s="18"/>
      <c r="S110" s="18"/>
      <c r="T110" s="18"/>
    </row>
    <row r="111" spans="3:20" ht="15.75" customHeight="1">
      <c r="R111" s="18"/>
      <c r="S111" s="18"/>
      <c r="T111" s="18"/>
    </row>
    <row r="112" spans="3:20" ht="15.75" customHeight="1">
      <c r="R112" s="18"/>
      <c r="S112" s="18"/>
      <c r="T112" s="18"/>
    </row>
    <row r="113" spans="18:20" ht="15.75" customHeight="1">
      <c r="R113" s="18"/>
      <c r="S113" s="18"/>
      <c r="T113" s="18"/>
    </row>
    <row r="114" spans="18:20" ht="15.75" customHeight="1">
      <c r="R114" s="18"/>
      <c r="S114" s="18"/>
      <c r="T114" s="18"/>
    </row>
    <row r="115" spans="18:20" ht="15.75" customHeight="1">
      <c r="R115" s="18"/>
      <c r="S115" s="18"/>
      <c r="T115" s="18"/>
    </row>
    <row r="116" spans="18:20" ht="15.75" customHeight="1">
      <c r="R116" s="18"/>
      <c r="S116" s="18"/>
      <c r="T116" s="18"/>
    </row>
    <row r="117" spans="18:20" ht="15.75" customHeight="1">
      <c r="R117" s="18"/>
      <c r="S117" s="18"/>
      <c r="T117" s="18"/>
    </row>
    <row r="118" spans="18:20" ht="15.75" customHeight="1">
      <c r="R118" s="18"/>
      <c r="S118" s="18"/>
      <c r="T118" s="18"/>
    </row>
    <row r="119" spans="18:20" ht="15.75" customHeight="1">
      <c r="R119" s="18"/>
      <c r="S119" s="18"/>
      <c r="T119" s="18"/>
    </row>
    <row r="120" spans="18:20" ht="15.75" customHeight="1">
      <c r="R120" s="18"/>
      <c r="S120" s="18"/>
      <c r="T120" s="18"/>
    </row>
    <row r="121" spans="18:20" ht="15.75" customHeight="1">
      <c r="R121" s="18"/>
      <c r="S121" s="18"/>
      <c r="T121" s="18"/>
    </row>
    <row r="122" spans="18:20" ht="15.75" customHeight="1">
      <c r="R122" s="18"/>
      <c r="S122" s="18"/>
      <c r="T122" s="18"/>
    </row>
    <row r="123" spans="18:20" ht="15.75" customHeight="1">
      <c r="R123" s="18"/>
      <c r="S123" s="18"/>
      <c r="T123" s="18"/>
    </row>
    <row r="124" spans="18:20" ht="15.75" customHeight="1">
      <c r="R124" s="18"/>
      <c r="S124" s="18"/>
      <c r="T124" s="18"/>
    </row>
    <row r="125" spans="18:20" ht="15.75" customHeight="1">
      <c r="R125" s="18"/>
      <c r="S125" s="18"/>
      <c r="T125" s="18"/>
    </row>
    <row r="126" spans="18:20" ht="15.75" customHeight="1">
      <c r="R126" s="18"/>
      <c r="S126" s="18"/>
      <c r="T126" s="18"/>
    </row>
    <row r="127" spans="18:20" ht="15.75" customHeight="1">
      <c r="R127" s="18"/>
      <c r="S127" s="18"/>
      <c r="T127" s="18"/>
    </row>
    <row r="128" spans="18:20" ht="15.75" customHeight="1">
      <c r="R128" s="18"/>
      <c r="S128" s="18"/>
      <c r="T128" s="18"/>
    </row>
    <row r="129" spans="18:20" ht="15.75" customHeight="1">
      <c r="R129" s="18"/>
      <c r="S129" s="18"/>
      <c r="T129" s="18"/>
    </row>
    <row r="130" spans="18:20" ht="15.75" customHeight="1">
      <c r="R130" s="18"/>
      <c r="S130" s="18"/>
      <c r="T130" s="18"/>
    </row>
    <row r="131" spans="18:20" ht="15.75" customHeight="1">
      <c r="R131" s="18"/>
      <c r="S131" s="18"/>
      <c r="T131" s="18"/>
    </row>
    <row r="132" spans="18:20" ht="15.75" customHeight="1">
      <c r="R132" s="18"/>
      <c r="S132" s="18"/>
      <c r="T132" s="18"/>
    </row>
    <row r="133" spans="18:20" ht="15.75" customHeight="1">
      <c r="R133" s="18"/>
      <c r="S133" s="18"/>
      <c r="T133" s="18"/>
    </row>
    <row r="134" spans="18:20" ht="15.75" customHeight="1">
      <c r="R134" s="18"/>
      <c r="S134" s="18"/>
      <c r="T134" s="18"/>
    </row>
    <row r="135" spans="18:20" ht="15.75" customHeight="1">
      <c r="R135" s="18"/>
      <c r="S135" s="18"/>
      <c r="T135" s="18"/>
    </row>
    <row r="136" spans="18:20" ht="15.75" customHeight="1">
      <c r="R136" s="18"/>
      <c r="S136" s="18"/>
      <c r="T136" s="18"/>
    </row>
    <row r="137" spans="18:20" ht="15.75" customHeight="1">
      <c r="R137" s="18"/>
      <c r="S137" s="18"/>
      <c r="T137" s="18"/>
    </row>
    <row r="138" spans="18:20" ht="15.75" customHeight="1">
      <c r="R138" s="18"/>
      <c r="S138" s="18"/>
      <c r="T138" s="18"/>
    </row>
    <row r="139" spans="18:20" ht="15.75" customHeight="1">
      <c r="R139" s="18"/>
      <c r="S139" s="18"/>
      <c r="T139" s="18"/>
    </row>
    <row r="140" spans="18:20" ht="15.75" customHeight="1">
      <c r="R140" s="18"/>
      <c r="S140" s="18"/>
      <c r="T140" s="18"/>
    </row>
    <row r="141" spans="18:20" ht="15.75" customHeight="1">
      <c r="R141" s="18"/>
      <c r="S141" s="18"/>
      <c r="T141" s="18"/>
    </row>
    <row r="142" spans="18:20" ht="15.75" customHeight="1">
      <c r="R142" s="18"/>
      <c r="S142" s="18"/>
      <c r="T142" s="18"/>
    </row>
    <row r="143" spans="18:20" ht="15.75" customHeight="1">
      <c r="R143" s="18"/>
      <c r="S143" s="18"/>
      <c r="T143" s="18"/>
    </row>
    <row r="144" spans="18:20" ht="15.75" customHeight="1">
      <c r="R144" s="18"/>
      <c r="S144" s="18"/>
      <c r="T144" s="18"/>
    </row>
    <row r="145" spans="18:20" ht="15.75" customHeight="1">
      <c r="R145" s="18"/>
      <c r="S145" s="18"/>
      <c r="T145" s="18"/>
    </row>
    <row r="146" spans="18:20" ht="15.75" customHeight="1">
      <c r="R146" s="18"/>
      <c r="S146" s="18"/>
      <c r="T146" s="18"/>
    </row>
    <row r="147" spans="18:20" ht="15.75" customHeight="1">
      <c r="R147" s="18"/>
      <c r="S147" s="18"/>
      <c r="T147" s="18"/>
    </row>
    <row r="148" spans="18:20" ht="15.75" customHeight="1">
      <c r="R148" s="18"/>
      <c r="S148" s="18"/>
      <c r="T148" s="18"/>
    </row>
    <row r="149" spans="18:20" ht="15.75" customHeight="1">
      <c r="R149" s="18"/>
      <c r="S149" s="18"/>
      <c r="T149" s="18"/>
    </row>
    <row r="150" spans="18:20" ht="15.75" customHeight="1">
      <c r="R150" s="18"/>
      <c r="S150" s="18"/>
      <c r="T150" s="18"/>
    </row>
    <row r="151" spans="18:20" ht="15.75" customHeight="1">
      <c r="R151" s="18"/>
      <c r="S151" s="18"/>
      <c r="T151" s="18"/>
    </row>
    <row r="152" spans="18:20" ht="15.75" customHeight="1">
      <c r="R152" s="18"/>
      <c r="S152" s="18"/>
      <c r="T152" s="18"/>
    </row>
    <row r="153" spans="18:20" ht="15.75" customHeight="1">
      <c r="R153" s="18"/>
      <c r="S153" s="18"/>
      <c r="T153" s="18"/>
    </row>
    <row r="154" spans="18:20" ht="15.75" customHeight="1">
      <c r="R154" s="18"/>
      <c r="S154" s="18"/>
      <c r="T154" s="18"/>
    </row>
    <row r="155" spans="18:20" ht="15.75" customHeight="1">
      <c r="R155" s="18"/>
      <c r="S155" s="18"/>
      <c r="T155" s="18"/>
    </row>
    <row r="156" spans="18:20" ht="15.75" customHeight="1">
      <c r="R156" s="18"/>
      <c r="S156" s="18"/>
      <c r="T156" s="18"/>
    </row>
    <row r="157" spans="18:20" ht="15.75" customHeight="1">
      <c r="R157" s="18"/>
      <c r="S157" s="18"/>
      <c r="T157" s="18"/>
    </row>
    <row r="158" spans="18:20" ht="15.75" customHeight="1">
      <c r="R158" s="18"/>
      <c r="S158" s="18"/>
      <c r="T158" s="18"/>
    </row>
    <row r="159" spans="18:20" ht="15.75" customHeight="1">
      <c r="R159" s="18"/>
      <c r="S159" s="18"/>
      <c r="T159" s="18"/>
    </row>
    <row r="160" spans="18:20" ht="15.75" customHeight="1">
      <c r="R160" s="18"/>
      <c r="S160" s="18"/>
      <c r="T160" s="18"/>
    </row>
    <row r="161" spans="18:20" ht="15.75" customHeight="1">
      <c r="R161" s="18"/>
      <c r="S161" s="18"/>
      <c r="T161" s="18"/>
    </row>
    <row r="162" spans="18:20" ht="15.75" customHeight="1">
      <c r="R162" s="18"/>
      <c r="S162" s="18"/>
      <c r="T162" s="18"/>
    </row>
    <row r="163" spans="18:20" ht="15.75" customHeight="1">
      <c r="R163" s="18"/>
      <c r="S163" s="18"/>
      <c r="T163" s="18"/>
    </row>
    <row r="164" spans="18:20" ht="15.75" customHeight="1">
      <c r="R164" s="18"/>
      <c r="S164" s="18"/>
      <c r="T164" s="18"/>
    </row>
    <row r="165" spans="18:20" ht="15.75" customHeight="1">
      <c r="R165" s="18"/>
      <c r="S165" s="18"/>
      <c r="T165" s="18"/>
    </row>
    <row r="166" spans="18:20" ht="15.75" customHeight="1">
      <c r="R166" s="18"/>
      <c r="S166" s="18"/>
      <c r="T166" s="18"/>
    </row>
    <row r="167" spans="18:20" ht="15.75" customHeight="1">
      <c r="R167" s="18"/>
      <c r="S167" s="18"/>
      <c r="T167" s="18"/>
    </row>
    <row r="168" spans="18:20" ht="15.75" customHeight="1">
      <c r="R168" s="18"/>
      <c r="S168" s="18"/>
      <c r="T168" s="18"/>
    </row>
    <row r="169" spans="18:20" ht="15.75" customHeight="1">
      <c r="R169" s="18"/>
      <c r="S169" s="18"/>
      <c r="T169" s="18"/>
    </row>
    <row r="170" spans="18:20" ht="15.75" customHeight="1">
      <c r="R170" s="18"/>
      <c r="S170" s="18"/>
      <c r="T170" s="18"/>
    </row>
    <row r="171" spans="18:20" ht="15.75" customHeight="1">
      <c r="R171" s="18"/>
      <c r="S171" s="18"/>
      <c r="T171" s="18"/>
    </row>
    <row r="172" spans="18:20" ht="15.75" customHeight="1">
      <c r="R172" s="18"/>
      <c r="S172" s="18"/>
      <c r="T172" s="18"/>
    </row>
    <row r="173" spans="18:20" ht="15.75" customHeight="1">
      <c r="R173" s="18"/>
      <c r="S173" s="18"/>
      <c r="T173" s="18"/>
    </row>
    <row r="174" spans="18:20" ht="15.75" customHeight="1">
      <c r="R174" s="18"/>
      <c r="S174" s="18"/>
      <c r="T174" s="18"/>
    </row>
    <row r="175" spans="18:20" ht="15.75" customHeight="1">
      <c r="R175" s="18"/>
      <c r="S175" s="18"/>
      <c r="T175" s="18"/>
    </row>
    <row r="176" spans="18:20" ht="15.75" customHeight="1">
      <c r="R176" s="18"/>
      <c r="S176" s="18"/>
      <c r="T176" s="18"/>
    </row>
    <row r="177" spans="18:20" ht="15.75" customHeight="1">
      <c r="R177" s="18"/>
      <c r="S177" s="18"/>
      <c r="T177" s="18"/>
    </row>
    <row r="178" spans="18:20" ht="15.75" customHeight="1">
      <c r="R178" s="18"/>
      <c r="S178" s="18"/>
      <c r="T178" s="18"/>
    </row>
    <row r="179" spans="18:20" ht="15.75" customHeight="1">
      <c r="R179" s="18"/>
      <c r="S179" s="18"/>
      <c r="T179" s="18"/>
    </row>
    <row r="180" spans="18:20" ht="15.75" customHeight="1">
      <c r="R180" s="18"/>
      <c r="S180" s="18"/>
      <c r="T180" s="18"/>
    </row>
    <row r="181" spans="18:20" ht="15.75" customHeight="1">
      <c r="R181" s="18"/>
      <c r="S181" s="18"/>
      <c r="T181" s="18"/>
    </row>
    <row r="182" spans="18:20" ht="15.75" customHeight="1">
      <c r="R182" s="18"/>
      <c r="S182" s="18"/>
      <c r="T182" s="18"/>
    </row>
    <row r="183" spans="18:20" ht="15.75" customHeight="1">
      <c r="R183" s="18"/>
      <c r="S183" s="18"/>
      <c r="T183" s="18"/>
    </row>
    <row r="184" spans="18:20" ht="15.75" customHeight="1">
      <c r="R184" s="18"/>
      <c r="S184" s="18"/>
      <c r="T184" s="18"/>
    </row>
    <row r="185" spans="18:20" ht="15.75" customHeight="1">
      <c r="R185" s="18"/>
      <c r="S185" s="18"/>
      <c r="T185" s="18"/>
    </row>
    <row r="186" spans="18:20" ht="15.75" customHeight="1">
      <c r="R186" s="18"/>
      <c r="S186" s="18"/>
      <c r="T186" s="18"/>
    </row>
    <row r="187" spans="18:20" ht="15.75" customHeight="1">
      <c r="R187" s="18"/>
      <c r="S187" s="18"/>
      <c r="T187" s="18"/>
    </row>
    <row r="188" spans="18:20" ht="15.75" customHeight="1">
      <c r="R188" s="18"/>
      <c r="S188" s="18"/>
      <c r="T188" s="18"/>
    </row>
    <row r="189" spans="18:20" ht="15.75" customHeight="1">
      <c r="R189" s="18"/>
      <c r="S189" s="18"/>
      <c r="T189" s="18"/>
    </row>
    <row r="190" spans="18:20" ht="15.75" customHeight="1">
      <c r="R190" s="18"/>
      <c r="S190" s="18"/>
      <c r="T190" s="18"/>
    </row>
    <row r="191" spans="18:20" ht="15.75" customHeight="1">
      <c r="R191" s="18"/>
      <c r="S191" s="18"/>
      <c r="T191" s="18"/>
    </row>
    <row r="192" spans="18:20" ht="15.75" customHeight="1">
      <c r="R192" s="18"/>
      <c r="S192" s="18"/>
      <c r="T192" s="18"/>
    </row>
    <row r="193" spans="18:20" ht="15.75" customHeight="1">
      <c r="R193" s="18"/>
      <c r="S193" s="18"/>
      <c r="T193" s="18"/>
    </row>
    <row r="194" spans="18:20" ht="15.75" customHeight="1">
      <c r="R194" s="18"/>
      <c r="S194" s="18"/>
      <c r="T194" s="18"/>
    </row>
    <row r="195" spans="18:20" ht="15.75" customHeight="1">
      <c r="R195" s="18"/>
      <c r="S195" s="18"/>
      <c r="T195" s="18"/>
    </row>
    <row r="196" spans="18:20" ht="15.75" customHeight="1">
      <c r="R196" s="18"/>
      <c r="S196" s="18"/>
      <c r="T196" s="18"/>
    </row>
    <row r="197" spans="18:20" ht="15.75" customHeight="1">
      <c r="R197" s="18"/>
      <c r="S197" s="18"/>
      <c r="T197" s="18"/>
    </row>
    <row r="198" spans="18:20" ht="15.75" customHeight="1">
      <c r="R198" s="18"/>
      <c r="S198" s="18"/>
      <c r="T198" s="18"/>
    </row>
    <row r="199" spans="18:20" ht="15.75" customHeight="1">
      <c r="R199" s="18"/>
      <c r="S199" s="18"/>
      <c r="T199" s="18"/>
    </row>
    <row r="200" spans="18:20" ht="15.75" customHeight="1">
      <c r="R200" s="18"/>
      <c r="S200" s="18"/>
      <c r="T200" s="18"/>
    </row>
    <row r="201" spans="18:20" ht="15.75" customHeight="1">
      <c r="R201" s="18"/>
      <c r="S201" s="18"/>
      <c r="T201" s="18"/>
    </row>
    <row r="202" spans="18:20" ht="15.75" customHeight="1">
      <c r="R202" s="18"/>
      <c r="S202" s="18"/>
      <c r="T202" s="18"/>
    </row>
    <row r="203" spans="18:20" ht="15.75" customHeight="1">
      <c r="R203" s="18"/>
      <c r="S203" s="18"/>
      <c r="T203" s="18"/>
    </row>
    <row r="204" spans="18:20" ht="15.75" customHeight="1">
      <c r="R204" s="18"/>
      <c r="S204" s="18"/>
      <c r="T204" s="18"/>
    </row>
    <row r="205" spans="18:20" ht="15.75" customHeight="1">
      <c r="R205" s="18"/>
      <c r="S205" s="18"/>
      <c r="T205" s="18"/>
    </row>
    <row r="206" spans="18:20" ht="15.75" customHeight="1">
      <c r="R206" s="18"/>
      <c r="S206" s="18"/>
      <c r="T206" s="18"/>
    </row>
    <row r="207" spans="18:20" ht="15.75" customHeight="1">
      <c r="R207" s="18"/>
      <c r="S207" s="18"/>
      <c r="T207" s="18"/>
    </row>
    <row r="208" spans="18:20" ht="15.75" customHeight="1">
      <c r="R208" s="18"/>
      <c r="S208" s="18"/>
      <c r="T208" s="18"/>
    </row>
    <row r="209" spans="18:20" ht="15.75" customHeight="1">
      <c r="R209" s="18"/>
      <c r="S209" s="18"/>
      <c r="T209" s="18"/>
    </row>
    <row r="210" spans="18:20" ht="15.75" customHeight="1">
      <c r="R210" s="18"/>
      <c r="S210" s="18"/>
      <c r="T210" s="18"/>
    </row>
    <row r="211" spans="18:20" ht="15.75" customHeight="1">
      <c r="R211" s="18"/>
      <c r="S211" s="18"/>
      <c r="T211" s="18"/>
    </row>
    <row r="212" spans="18:20" ht="15.75" customHeight="1">
      <c r="R212" s="18"/>
      <c r="S212" s="18"/>
      <c r="T212" s="18"/>
    </row>
    <row r="213" spans="18:20" ht="15.75" customHeight="1">
      <c r="R213" s="18"/>
      <c r="S213" s="18"/>
      <c r="T213" s="18"/>
    </row>
    <row r="214" spans="18:20" ht="15.75" customHeight="1">
      <c r="R214" s="18"/>
      <c r="S214" s="18"/>
      <c r="T214" s="18"/>
    </row>
    <row r="215" spans="18:20" ht="15.75" customHeight="1">
      <c r="R215" s="18"/>
      <c r="S215" s="18"/>
      <c r="T215" s="18"/>
    </row>
    <row r="216" spans="18:20" ht="15.75" customHeight="1">
      <c r="R216" s="18"/>
      <c r="S216" s="18"/>
      <c r="T216" s="18"/>
    </row>
    <row r="217" spans="18:20" ht="15.75" customHeight="1">
      <c r="R217" s="18"/>
      <c r="S217" s="18"/>
      <c r="T217" s="18"/>
    </row>
    <row r="218" spans="18:20" ht="15.75" customHeight="1">
      <c r="R218" s="18"/>
      <c r="S218" s="18"/>
      <c r="T218" s="18"/>
    </row>
    <row r="219" spans="18:20" ht="15.75" customHeight="1">
      <c r="R219" s="18"/>
      <c r="S219" s="18"/>
      <c r="T219" s="18"/>
    </row>
    <row r="220" spans="18:20" ht="15.75" customHeight="1">
      <c r="R220" s="18"/>
      <c r="S220" s="18"/>
      <c r="T220" s="18"/>
    </row>
    <row r="221" spans="18:20" ht="15.75" customHeight="1">
      <c r="R221" s="18"/>
      <c r="S221" s="18"/>
      <c r="T221" s="18"/>
    </row>
    <row r="222" spans="18:20" ht="15.75" customHeight="1">
      <c r="R222" s="18"/>
      <c r="S222" s="18"/>
      <c r="T222" s="18"/>
    </row>
    <row r="223" spans="18:20" ht="15.75" customHeight="1">
      <c r="R223" s="18"/>
      <c r="S223" s="18"/>
      <c r="T223" s="18"/>
    </row>
    <row r="224" spans="18:20" ht="15.75" customHeight="1">
      <c r="R224" s="18"/>
      <c r="S224" s="18"/>
      <c r="T224" s="18"/>
    </row>
    <row r="225" spans="18:20" ht="15.75" customHeight="1">
      <c r="R225" s="18"/>
      <c r="S225" s="18"/>
      <c r="T225" s="18"/>
    </row>
    <row r="226" spans="18:20" ht="15.75" customHeight="1">
      <c r="R226" s="18"/>
      <c r="S226" s="18"/>
      <c r="T226" s="18"/>
    </row>
    <row r="227" spans="18:20" ht="15.75" customHeight="1">
      <c r="R227" s="18"/>
      <c r="S227" s="18"/>
      <c r="T227" s="18"/>
    </row>
    <row r="228" spans="18:20" ht="15.75" customHeight="1">
      <c r="R228" s="18"/>
      <c r="S228" s="18"/>
      <c r="T228" s="18"/>
    </row>
    <row r="229" spans="18:20" ht="15.75" customHeight="1">
      <c r="R229" s="18"/>
      <c r="S229" s="18"/>
      <c r="T229" s="18"/>
    </row>
    <row r="230" spans="18:20" ht="15.75" customHeight="1">
      <c r="R230" s="18"/>
      <c r="S230" s="18"/>
      <c r="T230" s="18"/>
    </row>
    <row r="231" spans="18:20" ht="15.75" customHeight="1">
      <c r="R231" s="18"/>
      <c r="S231" s="18"/>
      <c r="T231" s="18"/>
    </row>
    <row r="232" spans="18:20" ht="15.75" customHeight="1">
      <c r="R232" s="18"/>
      <c r="S232" s="18"/>
      <c r="T232" s="18"/>
    </row>
    <row r="233" spans="18:20" ht="15.75" customHeight="1">
      <c r="R233" s="18"/>
      <c r="S233" s="18"/>
      <c r="T233" s="18"/>
    </row>
    <row r="234" spans="18:20" ht="15.75" customHeight="1">
      <c r="R234" s="18"/>
      <c r="S234" s="18"/>
      <c r="T234" s="18"/>
    </row>
    <row r="235" spans="18:20" ht="15.75" customHeight="1">
      <c r="R235" s="18"/>
      <c r="S235" s="18"/>
      <c r="T235" s="18"/>
    </row>
    <row r="236" spans="18:20" ht="15.75" customHeight="1">
      <c r="R236" s="18"/>
      <c r="S236" s="18"/>
      <c r="T236" s="18"/>
    </row>
    <row r="237" spans="18:20" ht="15.75" customHeight="1">
      <c r="R237" s="18"/>
      <c r="S237" s="18"/>
      <c r="T237" s="18"/>
    </row>
    <row r="238" spans="18:20" ht="15.75" customHeight="1">
      <c r="R238" s="18"/>
      <c r="S238" s="18"/>
      <c r="T238" s="18"/>
    </row>
    <row r="239" spans="18:20" ht="15.75" customHeight="1">
      <c r="R239" s="18"/>
      <c r="S239" s="18"/>
      <c r="T239" s="18"/>
    </row>
    <row r="240" spans="18:20" ht="15.75" customHeight="1">
      <c r="R240" s="18"/>
      <c r="S240" s="18"/>
      <c r="T240" s="18"/>
    </row>
    <row r="241" spans="18:20" ht="15.75" customHeight="1">
      <c r="R241" s="18"/>
      <c r="S241" s="18"/>
      <c r="T241" s="18"/>
    </row>
    <row r="242" spans="18:20" ht="15.75" customHeight="1">
      <c r="R242" s="18"/>
      <c r="S242" s="18"/>
      <c r="T242" s="18"/>
    </row>
    <row r="243" spans="18:20" ht="15.75" customHeight="1">
      <c r="R243" s="18"/>
      <c r="S243" s="18"/>
      <c r="T243" s="18"/>
    </row>
    <row r="244" spans="18:20" ht="15.75" customHeight="1">
      <c r="R244" s="18"/>
      <c r="S244" s="18"/>
      <c r="T244" s="18"/>
    </row>
    <row r="245" spans="18:20" ht="15.75" customHeight="1">
      <c r="R245" s="18"/>
      <c r="S245" s="18"/>
      <c r="T245" s="18"/>
    </row>
    <row r="246" spans="18:20" ht="15.75" customHeight="1">
      <c r="R246" s="18"/>
      <c r="S246" s="18"/>
      <c r="T246" s="18"/>
    </row>
    <row r="247" spans="18:20" ht="15.75" customHeight="1">
      <c r="R247" s="18"/>
      <c r="S247" s="18"/>
      <c r="T247" s="18"/>
    </row>
    <row r="248" spans="18:20" ht="15.75" customHeight="1">
      <c r="R248" s="18"/>
      <c r="S248" s="18"/>
      <c r="T248" s="18"/>
    </row>
    <row r="249" spans="18:20" ht="15.75" customHeight="1">
      <c r="R249" s="18"/>
      <c r="S249" s="18"/>
      <c r="T249" s="18"/>
    </row>
    <row r="250" spans="18:20" ht="15.75" customHeight="1">
      <c r="R250" s="18"/>
      <c r="S250" s="18"/>
      <c r="T250" s="18"/>
    </row>
    <row r="251" spans="18:20" ht="15.75" customHeight="1">
      <c r="R251" s="18"/>
      <c r="S251" s="18"/>
      <c r="T251" s="18"/>
    </row>
    <row r="252" spans="18:20" ht="15.75" customHeight="1">
      <c r="R252" s="18"/>
      <c r="S252" s="18"/>
      <c r="T252" s="18"/>
    </row>
    <row r="253" spans="18:20" ht="15.75" customHeight="1">
      <c r="R253" s="18"/>
      <c r="S253" s="18"/>
      <c r="T253" s="18"/>
    </row>
    <row r="254" spans="18:20" ht="15.75" customHeight="1">
      <c r="R254" s="18"/>
      <c r="S254" s="18"/>
      <c r="T254" s="18"/>
    </row>
    <row r="255" spans="18:20" ht="15.75" customHeight="1">
      <c r="R255" s="18"/>
      <c r="S255" s="18"/>
      <c r="T255" s="18"/>
    </row>
    <row r="256" spans="18:20" ht="15.75" customHeight="1">
      <c r="R256" s="18"/>
      <c r="S256" s="18"/>
      <c r="T256" s="18"/>
    </row>
    <row r="257" spans="18:20" ht="15.75" customHeight="1">
      <c r="R257" s="18"/>
      <c r="S257" s="18"/>
      <c r="T257" s="18"/>
    </row>
    <row r="258" spans="18:20" ht="15.75" customHeight="1">
      <c r="R258" s="18"/>
      <c r="S258" s="18"/>
      <c r="T258" s="18"/>
    </row>
    <row r="259" spans="18:20" ht="15.75" customHeight="1">
      <c r="R259" s="18"/>
      <c r="S259" s="18"/>
      <c r="T259" s="18"/>
    </row>
    <row r="260" spans="18:20" ht="15.75" customHeight="1">
      <c r="R260" s="18"/>
      <c r="S260" s="18"/>
      <c r="T260" s="18"/>
    </row>
    <row r="261" spans="18:20" ht="15.75" customHeight="1">
      <c r="R261" s="18"/>
      <c r="S261" s="18"/>
      <c r="T261" s="18"/>
    </row>
    <row r="262" spans="18:20" ht="15.75" customHeight="1">
      <c r="R262" s="18"/>
      <c r="S262" s="18"/>
      <c r="T262" s="18"/>
    </row>
    <row r="263" spans="18:20" ht="15.75" customHeight="1">
      <c r="R263" s="18"/>
      <c r="S263" s="18"/>
      <c r="T263" s="18"/>
    </row>
    <row r="264" spans="18:20" ht="15.75" customHeight="1">
      <c r="R264" s="18"/>
      <c r="S264" s="18"/>
      <c r="T264" s="18"/>
    </row>
    <row r="265" spans="18:20" ht="15.75" customHeight="1">
      <c r="R265" s="18"/>
      <c r="S265" s="18"/>
      <c r="T265" s="18"/>
    </row>
    <row r="266" spans="18:20" ht="15.75" customHeight="1">
      <c r="R266" s="18"/>
      <c r="S266" s="18"/>
      <c r="T266" s="18"/>
    </row>
    <row r="267" spans="18:20" ht="15.75" customHeight="1">
      <c r="R267" s="18"/>
      <c r="S267" s="18"/>
      <c r="T267" s="18"/>
    </row>
    <row r="268" spans="18:20" ht="15.75" customHeight="1">
      <c r="R268" s="18"/>
      <c r="S268" s="18"/>
      <c r="T268" s="18"/>
    </row>
    <row r="269" spans="18:20" ht="15.75" customHeight="1">
      <c r="R269" s="18"/>
      <c r="S269" s="18"/>
      <c r="T269" s="18"/>
    </row>
    <row r="270" spans="18:20" ht="15.75" customHeight="1">
      <c r="R270" s="18"/>
      <c r="S270" s="18"/>
      <c r="T270" s="18"/>
    </row>
    <row r="271" spans="18:20" ht="15.75" customHeight="1">
      <c r="R271" s="18"/>
      <c r="S271" s="18"/>
      <c r="T271" s="18"/>
    </row>
    <row r="272" spans="18:20" ht="15.75" customHeight="1">
      <c r="R272" s="18"/>
      <c r="S272" s="18"/>
      <c r="T272" s="18"/>
    </row>
    <row r="273" spans="18:20" ht="15.75" customHeight="1">
      <c r="R273" s="18"/>
      <c r="S273" s="18"/>
      <c r="T273" s="18"/>
    </row>
    <row r="274" spans="18:20" ht="15.75" customHeight="1">
      <c r="R274" s="18"/>
      <c r="S274" s="18"/>
      <c r="T274" s="18"/>
    </row>
    <row r="275" spans="18:20" ht="15.75" customHeight="1">
      <c r="R275" s="18"/>
      <c r="S275" s="18"/>
      <c r="T275" s="18"/>
    </row>
    <row r="276" spans="18:20" ht="15.75" customHeight="1">
      <c r="R276" s="18"/>
      <c r="S276" s="18"/>
      <c r="T276" s="18"/>
    </row>
    <row r="277" spans="18:20" ht="15.75" customHeight="1">
      <c r="R277" s="18"/>
      <c r="S277" s="18"/>
      <c r="T277" s="18"/>
    </row>
    <row r="278" spans="18:20" ht="15.75" customHeight="1">
      <c r="R278" s="18"/>
      <c r="S278" s="18"/>
      <c r="T278" s="18"/>
    </row>
    <row r="279" spans="18:20" ht="15.75" customHeight="1">
      <c r="R279" s="18"/>
      <c r="S279" s="18"/>
      <c r="T279" s="18"/>
    </row>
    <row r="280" spans="18:20" ht="15.75" customHeight="1">
      <c r="R280" s="18"/>
      <c r="S280" s="18"/>
      <c r="T280" s="18"/>
    </row>
    <row r="281" spans="18:20" ht="15.75" customHeight="1">
      <c r="R281" s="18"/>
      <c r="S281" s="18"/>
      <c r="T281" s="18"/>
    </row>
    <row r="282" spans="18:20" ht="15.75" customHeight="1">
      <c r="R282" s="18"/>
      <c r="S282" s="18"/>
      <c r="T282" s="18"/>
    </row>
    <row r="283" spans="18:20" ht="15.75" customHeight="1">
      <c r="R283" s="18"/>
      <c r="S283" s="18"/>
      <c r="T283" s="18"/>
    </row>
    <row r="284" spans="18:20" ht="15.75" customHeight="1">
      <c r="R284" s="18"/>
      <c r="S284" s="18"/>
      <c r="T284" s="18"/>
    </row>
    <row r="285" spans="18:20" ht="15.75" customHeight="1">
      <c r="R285" s="18"/>
      <c r="S285" s="18"/>
      <c r="T285" s="18"/>
    </row>
    <row r="286" spans="18:20" ht="15.75" customHeight="1">
      <c r="R286" s="18"/>
      <c r="S286" s="18"/>
      <c r="T286" s="18"/>
    </row>
    <row r="287" spans="18:20" ht="15.75" customHeight="1">
      <c r="R287" s="18"/>
      <c r="S287" s="18"/>
      <c r="T287" s="18"/>
    </row>
    <row r="288" spans="18:20" ht="15.75" customHeight="1">
      <c r="R288" s="18"/>
      <c r="S288" s="18"/>
      <c r="T288" s="18"/>
    </row>
    <row r="289" spans="18:20" ht="15.75" customHeight="1">
      <c r="R289" s="18"/>
      <c r="S289" s="18"/>
      <c r="T289" s="18"/>
    </row>
    <row r="290" spans="18:20" ht="15.75" customHeight="1">
      <c r="R290" s="18"/>
      <c r="S290" s="18"/>
      <c r="T290" s="18"/>
    </row>
    <row r="291" spans="18:20" ht="15.75" customHeight="1">
      <c r="R291" s="18"/>
      <c r="S291" s="18"/>
      <c r="T291" s="18"/>
    </row>
    <row r="292" spans="18:20" ht="15.75" customHeight="1">
      <c r="R292" s="18"/>
      <c r="S292" s="18"/>
      <c r="T292" s="18"/>
    </row>
    <row r="293" spans="18:20" ht="15.75" customHeight="1">
      <c r="R293" s="18"/>
      <c r="S293" s="18"/>
      <c r="T293" s="18"/>
    </row>
    <row r="294" spans="18:20" ht="15.75" customHeight="1">
      <c r="R294" s="18"/>
      <c r="S294" s="18"/>
      <c r="T294" s="18"/>
    </row>
    <row r="295" spans="18:20" ht="15.75" customHeight="1">
      <c r="R295" s="18"/>
      <c r="S295" s="18"/>
      <c r="T295" s="18"/>
    </row>
    <row r="296" spans="18:20" ht="15.75" customHeight="1">
      <c r="R296" s="18"/>
      <c r="S296" s="18"/>
      <c r="T296" s="18"/>
    </row>
    <row r="297" spans="18:20" ht="15.75" customHeight="1">
      <c r="R297" s="18"/>
      <c r="S297" s="18"/>
      <c r="T297" s="18"/>
    </row>
    <row r="298" spans="18:20" ht="15.75" customHeight="1">
      <c r="R298" s="18"/>
      <c r="S298" s="18"/>
      <c r="T298" s="18"/>
    </row>
    <row r="299" spans="18:20" ht="15.75" customHeight="1">
      <c r="R299" s="18"/>
      <c r="S299" s="18"/>
      <c r="T299" s="18"/>
    </row>
    <row r="300" spans="18:20" ht="15.75" customHeight="1">
      <c r="R300" s="18"/>
      <c r="S300" s="18"/>
      <c r="T300" s="18"/>
    </row>
    <row r="301" spans="18:20" ht="15.75" customHeight="1">
      <c r="R301" s="18"/>
      <c r="S301" s="18"/>
      <c r="T301" s="18"/>
    </row>
    <row r="302" spans="18:20" ht="15.75" customHeight="1">
      <c r="R302" s="18"/>
      <c r="S302" s="18"/>
      <c r="T302" s="18"/>
    </row>
    <row r="303" spans="18:20" ht="15.75" customHeight="1">
      <c r="R303" s="18"/>
      <c r="S303" s="18"/>
      <c r="T303" s="18"/>
    </row>
    <row r="304" spans="18:20" ht="15.75" customHeight="1">
      <c r="R304" s="18"/>
      <c r="S304" s="18"/>
      <c r="T304" s="18"/>
    </row>
    <row r="305" spans="18:20" ht="15.75" customHeight="1">
      <c r="R305" s="18"/>
      <c r="S305" s="18"/>
      <c r="T305" s="18"/>
    </row>
    <row r="306" spans="18:20" ht="15.75" customHeight="1">
      <c r="R306" s="18"/>
      <c r="S306" s="18"/>
      <c r="T306" s="18"/>
    </row>
    <row r="307" spans="18:20" ht="15.75" customHeight="1">
      <c r="R307" s="18"/>
      <c r="S307" s="18"/>
      <c r="T307" s="18"/>
    </row>
    <row r="308" spans="18:20" ht="15.75" customHeight="1">
      <c r="R308" s="18"/>
      <c r="S308" s="18"/>
      <c r="T308" s="18"/>
    </row>
    <row r="309" spans="18:20" ht="15.75" customHeight="1">
      <c r="R309" s="18"/>
      <c r="S309" s="18"/>
      <c r="T309" s="18"/>
    </row>
    <row r="310" spans="18:20" ht="15.75" customHeight="1">
      <c r="R310" s="18"/>
      <c r="S310" s="18"/>
      <c r="T310" s="18"/>
    </row>
    <row r="311" spans="18:20" ht="15.75" customHeight="1">
      <c r="R311" s="18"/>
      <c r="S311" s="18"/>
      <c r="T311" s="18"/>
    </row>
    <row r="312" spans="18:20" ht="15.75" customHeight="1">
      <c r="R312" s="18"/>
      <c r="S312" s="18"/>
      <c r="T312" s="18"/>
    </row>
    <row r="313" spans="18:20" ht="15.75" customHeight="1">
      <c r="R313" s="18"/>
      <c r="S313" s="18"/>
      <c r="T313" s="18"/>
    </row>
    <row r="314" spans="18:20" ht="15.75" customHeight="1">
      <c r="R314" s="18"/>
      <c r="S314" s="18"/>
      <c r="T314" s="18"/>
    </row>
    <row r="315" spans="18:20" ht="15.75" customHeight="1">
      <c r="R315" s="18"/>
      <c r="S315" s="18"/>
      <c r="T315" s="18"/>
    </row>
    <row r="316" spans="18:20" ht="15.75" customHeight="1">
      <c r="R316" s="18"/>
      <c r="S316" s="18"/>
      <c r="T316" s="18"/>
    </row>
    <row r="317" spans="18:20" ht="15.75" customHeight="1">
      <c r="R317" s="18"/>
      <c r="S317" s="18"/>
      <c r="T317" s="18"/>
    </row>
    <row r="318" spans="18:20" ht="15.75" customHeight="1">
      <c r="R318" s="18"/>
      <c r="S318" s="18"/>
      <c r="T318" s="18"/>
    </row>
    <row r="319" spans="18:20" ht="15.75" customHeight="1">
      <c r="R319" s="18"/>
      <c r="S319" s="18"/>
      <c r="T319" s="18"/>
    </row>
    <row r="320" spans="18:20" ht="15.75" customHeight="1">
      <c r="R320" s="18"/>
      <c r="S320" s="18"/>
      <c r="T320" s="18"/>
    </row>
    <row r="321" spans="18:20" ht="15.75" customHeight="1">
      <c r="R321" s="18"/>
      <c r="S321" s="18"/>
      <c r="T321" s="18"/>
    </row>
    <row r="322" spans="18:20" ht="15.75" customHeight="1">
      <c r="R322" s="18"/>
      <c r="S322" s="18"/>
      <c r="T322" s="18"/>
    </row>
    <row r="323" spans="18:20" ht="15.75" customHeight="1">
      <c r="R323" s="18"/>
      <c r="S323" s="18"/>
      <c r="T323" s="18"/>
    </row>
    <row r="324" spans="18:20" ht="15.75" customHeight="1">
      <c r="R324" s="18"/>
      <c r="S324" s="18"/>
      <c r="T324" s="18"/>
    </row>
    <row r="325" spans="18:20" ht="15.75" customHeight="1">
      <c r="R325" s="18"/>
      <c r="S325" s="18"/>
      <c r="T325" s="18"/>
    </row>
    <row r="326" spans="18:20" ht="15.75" customHeight="1">
      <c r="R326" s="18"/>
      <c r="S326" s="18"/>
      <c r="T326" s="18"/>
    </row>
    <row r="327" spans="18:20" ht="15.75" customHeight="1">
      <c r="R327" s="18"/>
      <c r="S327" s="18"/>
      <c r="T327" s="18"/>
    </row>
    <row r="328" spans="18:20" ht="15.75" customHeight="1">
      <c r="R328" s="18"/>
      <c r="S328" s="18"/>
      <c r="T328" s="18"/>
    </row>
    <row r="329" spans="18:20" ht="15.75" customHeight="1">
      <c r="R329" s="18"/>
      <c r="S329" s="18"/>
      <c r="T329" s="18"/>
    </row>
    <row r="330" spans="18:20" ht="15.75" customHeight="1">
      <c r="R330" s="18"/>
      <c r="S330" s="18"/>
      <c r="T330" s="18"/>
    </row>
    <row r="331" spans="18:20" ht="15.75" customHeight="1">
      <c r="R331" s="18"/>
      <c r="S331" s="18"/>
      <c r="T331" s="18"/>
    </row>
    <row r="332" spans="18:20" ht="15.75" customHeight="1">
      <c r="R332" s="18"/>
      <c r="S332" s="18"/>
      <c r="T332" s="18"/>
    </row>
    <row r="333" spans="18:20" ht="15.75" customHeight="1">
      <c r="R333" s="18"/>
      <c r="S333" s="18"/>
      <c r="T333" s="18"/>
    </row>
    <row r="334" spans="18:20" ht="15.75" customHeight="1">
      <c r="R334" s="18"/>
      <c r="S334" s="18"/>
      <c r="T334" s="18"/>
    </row>
    <row r="335" spans="18:20" ht="15.75" customHeight="1">
      <c r="R335" s="18"/>
      <c r="S335" s="18"/>
      <c r="T335" s="18"/>
    </row>
    <row r="336" spans="18:20" ht="15.75" customHeight="1">
      <c r="R336" s="18"/>
      <c r="S336" s="18"/>
      <c r="T336" s="18"/>
    </row>
    <row r="337" spans="18:20" ht="15.75" customHeight="1">
      <c r="R337" s="18"/>
      <c r="S337" s="18"/>
      <c r="T337" s="18"/>
    </row>
    <row r="338" spans="18:20" ht="15.75" customHeight="1">
      <c r="R338" s="18"/>
      <c r="S338" s="18"/>
      <c r="T338" s="18"/>
    </row>
    <row r="339" spans="18:20" ht="15.75" customHeight="1">
      <c r="R339" s="18"/>
      <c r="S339" s="18"/>
      <c r="T339" s="18"/>
    </row>
    <row r="340" spans="18:20" ht="15.75" customHeight="1">
      <c r="R340" s="18"/>
      <c r="S340" s="18"/>
      <c r="T340" s="18"/>
    </row>
    <row r="341" spans="18:20" ht="15.75" customHeight="1">
      <c r="R341" s="18"/>
      <c r="S341" s="18"/>
      <c r="T341" s="18"/>
    </row>
    <row r="342" spans="18:20" ht="15.75" customHeight="1">
      <c r="R342" s="18"/>
      <c r="S342" s="18"/>
      <c r="T342" s="18"/>
    </row>
    <row r="343" spans="18:20" ht="15.75" customHeight="1">
      <c r="R343" s="18"/>
      <c r="S343" s="18"/>
      <c r="T343" s="18"/>
    </row>
    <row r="344" spans="18:20" ht="15.75" customHeight="1">
      <c r="R344" s="18"/>
      <c r="S344" s="18"/>
      <c r="T344" s="18"/>
    </row>
    <row r="345" spans="18:20" ht="15.75" customHeight="1">
      <c r="R345" s="18"/>
      <c r="S345" s="18"/>
      <c r="T345" s="18"/>
    </row>
    <row r="346" spans="18:20" ht="15.75" customHeight="1">
      <c r="R346" s="18"/>
      <c r="S346" s="18"/>
      <c r="T346" s="18"/>
    </row>
    <row r="347" spans="18:20" ht="15.75" customHeight="1">
      <c r="R347" s="18"/>
      <c r="S347" s="18"/>
      <c r="T347" s="18"/>
    </row>
    <row r="348" spans="18:20" ht="15.75" customHeight="1">
      <c r="R348" s="18"/>
      <c r="S348" s="18"/>
      <c r="T348" s="18"/>
    </row>
    <row r="349" spans="18:20" ht="15.75" customHeight="1">
      <c r="R349" s="18"/>
      <c r="S349" s="18"/>
      <c r="T349" s="18"/>
    </row>
    <row r="350" spans="18:20" ht="15.75" customHeight="1">
      <c r="R350" s="18"/>
      <c r="S350" s="18"/>
      <c r="T350" s="18"/>
    </row>
    <row r="351" spans="18:20" ht="15.75" customHeight="1">
      <c r="R351" s="18"/>
      <c r="S351" s="18"/>
      <c r="T351" s="18"/>
    </row>
    <row r="352" spans="18:20" ht="15.75" customHeight="1">
      <c r="R352" s="18"/>
      <c r="S352" s="18"/>
      <c r="T352" s="18"/>
    </row>
    <row r="353" spans="18:20" ht="15.75" customHeight="1">
      <c r="R353" s="18"/>
      <c r="S353" s="18"/>
      <c r="T353" s="18"/>
    </row>
    <row r="354" spans="18:20" ht="15.75" customHeight="1">
      <c r="R354" s="18"/>
      <c r="S354" s="18"/>
      <c r="T354" s="18"/>
    </row>
    <row r="355" spans="18:20" ht="15.75" customHeight="1">
      <c r="R355" s="18"/>
      <c r="S355" s="18"/>
      <c r="T355" s="18"/>
    </row>
    <row r="356" spans="18:20" ht="15.75" customHeight="1">
      <c r="R356" s="18"/>
      <c r="S356" s="18"/>
      <c r="T356" s="18"/>
    </row>
    <row r="357" spans="18:20" ht="15.75" customHeight="1">
      <c r="R357" s="18"/>
      <c r="S357" s="18"/>
      <c r="T357" s="18"/>
    </row>
    <row r="358" spans="18:20" ht="15.75" customHeight="1">
      <c r="R358" s="18"/>
      <c r="S358" s="18"/>
      <c r="T358" s="18"/>
    </row>
    <row r="359" spans="18:20" ht="15.75" customHeight="1">
      <c r="R359" s="18"/>
      <c r="S359" s="18"/>
      <c r="T359" s="18"/>
    </row>
    <row r="360" spans="18:20" ht="15.75" customHeight="1">
      <c r="R360" s="18"/>
      <c r="S360" s="18"/>
      <c r="T360" s="18"/>
    </row>
    <row r="361" spans="18:20" ht="15.75" customHeight="1">
      <c r="R361" s="18"/>
      <c r="S361" s="18"/>
      <c r="T361" s="18"/>
    </row>
    <row r="362" spans="18:20" ht="15.75" customHeight="1">
      <c r="R362" s="18"/>
      <c r="S362" s="18"/>
      <c r="T362" s="18"/>
    </row>
    <row r="363" spans="18:20" ht="15.75" customHeight="1">
      <c r="R363" s="18"/>
      <c r="S363" s="18"/>
      <c r="T363" s="18"/>
    </row>
    <row r="364" spans="18:20" ht="15.75" customHeight="1">
      <c r="R364" s="18"/>
      <c r="S364" s="18"/>
      <c r="T364" s="18"/>
    </row>
    <row r="365" spans="18:20" ht="15.75" customHeight="1">
      <c r="R365" s="18"/>
      <c r="S365" s="18"/>
      <c r="T365" s="18"/>
    </row>
    <row r="366" spans="18:20" ht="15.75" customHeight="1">
      <c r="R366" s="18"/>
      <c r="S366" s="18"/>
      <c r="T366" s="18"/>
    </row>
    <row r="367" spans="18:20" ht="15.75" customHeight="1">
      <c r="R367" s="18"/>
      <c r="S367" s="18"/>
      <c r="T367" s="18"/>
    </row>
    <row r="368" spans="18:20" ht="15.75" customHeight="1">
      <c r="R368" s="18"/>
      <c r="S368" s="18"/>
      <c r="T368" s="18"/>
    </row>
    <row r="369" spans="18:20" ht="15.75" customHeight="1">
      <c r="R369" s="18"/>
      <c r="S369" s="18"/>
      <c r="T369" s="18"/>
    </row>
    <row r="370" spans="18:20" ht="15.75" customHeight="1">
      <c r="R370" s="18"/>
      <c r="S370" s="18"/>
      <c r="T370" s="18"/>
    </row>
    <row r="371" spans="18:20" ht="15.75" customHeight="1">
      <c r="R371" s="18"/>
      <c r="S371" s="18"/>
      <c r="T371" s="18"/>
    </row>
    <row r="372" spans="18:20" ht="15.75" customHeight="1">
      <c r="R372" s="18"/>
      <c r="S372" s="18"/>
      <c r="T372" s="18"/>
    </row>
    <row r="373" spans="18:20" ht="15.75" customHeight="1">
      <c r="R373" s="18"/>
      <c r="S373" s="18"/>
      <c r="T373" s="18"/>
    </row>
    <row r="374" spans="18:20" ht="15.75" customHeight="1">
      <c r="R374" s="18"/>
      <c r="S374" s="18"/>
      <c r="T374" s="18"/>
    </row>
    <row r="375" spans="18:20" ht="15.75" customHeight="1">
      <c r="R375" s="18"/>
      <c r="S375" s="18"/>
      <c r="T375" s="18"/>
    </row>
    <row r="376" spans="18:20" ht="15.75" customHeight="1">
      <c r="R376" s="18"/>
      <c r="S376" s="18"/>
      <c r="T376" s="18"/>
    </row>
    <row r="377" spans="18:20" ht="15.75" customHeight="1">
      <c r="R377" s="18"/>
      <c r="S377" s="18"/>
      <c r="T377" s="18"/>
    </row>
    <row r="378" spans="18:20" ht="15.75" customHeight="1">
      <c r="R378" s="18"/>
      <c r="S378" s="18"/>
      <c r="T378" s="18"/>
    </row>
    <row r="379" spans="18:20" ht="15.75" customHeight="1">
      <c r="R379" s="18"/>
      <c r="S379" s="18"/>
      <c r="T379" s="18"/>
    </row>
    <row r="380" spans="18:20" ht="15.75" customHeight="1">
      <c r="R380" s="18"/>
      <c r="S380" s="18"/>
      <c r="T380" s="18"/>
    </row>
    <row r="381" spans="18:20" ht="15.75" customHeight="1">
      <c r="R381" s="18"/>
      <c r="S381" s="18"/>
      <c r="T381" s="18"/>
    </row>
    <row r="382" spans="18:20" ht="15.75" customHeight="1">
      <c r="R382" s="18"/>
      <c r="S382" s="18"/>
      <c r="T382" s="18"/>
    </row>
    <row r="383" spans="18:20" ht="15.75" customHeight="1">
      <c r="R383" s="18"/>
      <c r="S383" s="18"/>
      <c r="T383" s="18"/>
    </row>
    <row r="384" spans="18:20" ht="15.75" customHeight="1">
      <c r="R384" s="18"/>
      <c r="S384" s="18"/>
      <c r="T384" s="18"/>
    </row>
    <row r="385" spans="18:20" ht="15.75" customHeight="1">
      <c r="R385" s="18"/>
      <c r="S385" s="18"/>
      <c r="T385" s="18"/>
    </row>
    <row r="386" spans="18:20" ht="15.75" customHeight="1">
      <c r="R386" s="18"/>
      <c r="S386" s="18"/>
      <c r="T386" s="18"/>
    </row>
    <row r="387" spans="18:20" ht="15.75" customHeight="1">
      <c r="R387" s="18"/>
      <c r="S387" s="18"/>
      <c r="T387" s="18"/>
    </row>
    <row r="388" spans="18:20" ht="15.75" customHeight="1">
      <c r="R388" s="18"/>
      <c r="S388" s="18"/>
      <c r="T388" s="18"/>
    </row>
    <row r="389" spans="18:20" ht="15.75" customHeight="1">
      <c r="R389" s="18"/>
      <c r="S389" s="18"/>
      <c r="T389" s="18"/>
    </row>
    <row r="390" spans="18:20" ht="15.75" customHeight="1">
      <c r="R390" s="18"/>
      <c r="S390" s="18"/>
      <c r="T390" s="18"/>
    </row>
    <row r="391" spans="18:20" ht="15.75" customHeight="1">
      <c r="R391" s="18"/>
      <c r="S391" s="18"/>
      <c r="T391" s="18"/>
    </row>
    <row r="392" spans="18:20" ht="15.75" customHeight="1">
      <c r="R392" s="18"/>
      <c r="S392" s="18"/>
      <c r="T392" s="18"/>
    </row>
    <row r="393" spans="18:20" ht="15.75" customHeight="1">
      <c r="R393" s="18"/>
      <c r="S393" s="18"/>
      <c r="T393" s="18"/>
    </row>
    <row r="394" spans="18:20" ht="15.75" customHeight="1">
      <c r="R394" s="18"/>
      <c r="S394" s="18"/>
      <c r="T394" s="18"/>
    </row>
    <row r="395" spans="18:20" ht="15.75" customHeight="1">
      <c r="R395" s="18"/>
      <c r="S395" s="18"/>
      <c r="T395" s="18"/>
    </row>
    <row r="396" spans="18:20" ht="15.75" customHeight="1">
      <c r="R396" s="18"/>
      <c r="S396" s="18"/>
      <c r="T396" s="18"/>
    </row>
    <row r="397" spans="18:20" ht="15.75" customHeight="1">
      <c r="R397" s="18"/>
      <c r="S397" s="18"/>
      <c r="T397" s="18"/>
    </row>
    <row r="398" spans="18:20" ht="15.75" customHeight="1">
      <c r="R398" s="18"/>
      <c r="S398" s="18"/>
      <c r="T398" s="18"/>
    </row>
    <row r="399" spans="18:20" ht="15.75" customHeight="1">
      <c r="R399" s="18"/>
      <c r="S399" s="18"/>
      <c r="T399" s="18"/>
    </row>
    <row r="400" spans="18:20" ht="15.75" customHeight="1">
      <c r="R400" s="18"/>
      <c r="S400" s="18"/>
      <c r="T400" s="18"/>
    </row>
    <row r="401" spans="18:20" ht="15.75" customHeight="1">
      <c r="R401" s="18"/>
      <c r="S401" s="18"/>
      <c r="T401" s="18"/>
    </row>
    <row r="402" spans="18:20" ht="15.75" customHeight="1">
      <c r="R402" s="18"/>
      <c r="S402" s="18"/>
      <c r="T402" s="18"/>
    </row>
    <row r="403" spans="18:20" ht="15.75" customHeight="1">
      <c r="R403" s="18"/>
      <c r="S403" s="18"/>
      <c r="T403" s="18"/>
    </row>
    <row r="404" spans="18:20" ht="15.75" customHeight="1">
      <c r="R404" s="18"/>
      <c r="S404" s="18"/>
      <c r="T404" s="18"/>
    </row>
    <row r="405" spans="18:20" ht="15.75" customHeight="1">
      <c r="R405" s="18"/>
      <c r="S405" s="18"/>
      <c r="T405" s="18"/>
    </row>
    <row r="406" spans="18:20" ht="15.75" customHeight="1">
      <c r="R406" s="18"/>
      <c r="S406" s="18"/>
      <c r="T406" s="18"/>
    </row>
    <row r="407" spans="18:20" ht="15.75" customHeight="1">
      <c r="R407" s="18"/>
      <c r="S407" s="18"/>
      <c r="T407" s="18"/>
    </row>
    <row r="408" spans="18:20" ht="15.75" customHeight="1">
      <c r="R408" s="18"/>
      <c r="S408" s="18"/>
      <c r="T408" s="18"/>
    </row>
    <row r="409" spans="18:20" ht="15.75" customHeight="1">
      <c r="R409" s="18"/>
      <c r="S409" s="18"/>
      <c r="T409" s="18"/>
    </row>
    <row r="410" spans="18:20" ht="15.75" customHeight="1">
      <c r="R410" s="18"/>
      <c r="S410" s="18"/>
      <c r="T410" s="18"/>
    </row>
    <row r="411" spans="18:20" ht="15.75" customHeight="1">
      <c r="R411" s="18"/>
      <c r="S411" s="18"/>
      <c r="T411" s="18"/>
    </row>
    <row r="412" spans="18:20" ht="15.75" customHeight="1">
      <c r="R412" s="18"/>
      <c r="S412" s="18"/>
      <c r="T412" s="18"/>
    </row>
    <row r="413" spans="18:20" ht="15.75" customHeight="1">
      <c r="R413" s="18"/>
      <c r="S413" s="18"/>
      <c r="T413" s="18"/>
    </row>
    <row r="414" spans="18:20" ht="15.75" customHeight="1">
      <c r="R414" s="18"/>
      <c r="S414" s="18"/>
      <c r="T414" s="18"/>
    </row>
    <row r="415" spans="18:20" ht="15.75" customHeight="1">
      <c r="R415" s="18"/>
      <c r="S415" s="18"/>
      <c r="T415" s="18"/>
    </row>
    <row r="416" spans="18:20" ht="15.75" customHeight="1">
      <c r="R416" s="18"/>
      <c r="S416" s="18"/>
      <c r="T416" s="18"/>
    </row>
    <row r="417" spans="18:20" ht="15.75" customHeight="1">
      <c r="R417" s="18"/>
      <c r="S417" s="18"/>
      <c r="T417" s="18"/>
    </row>
    <row r="418" spans="18:20" ht="15.75" customHeight="1">
      <c r="R418" s="18"/>
      <c r="S418" s="18"/>
      <c r="T418" s="18"/>
    </row>
    <row r="419" spans="18:20" ht="15.75" customHeight="1">
      <c r="R419" s="18"/>
      <c r="S419" s="18"/>
      <c r="T419" s="18"/>
    </row>
    <row r="420" spans="18:20" ht="15.75" customHeight="1">
      <c r="R420" s="18"/>
      <c r="S420" s="18"/>
      <c r="T420" s="18"/>
    </row>
    <row r="421" spans="18:20" ht="15.75" customHeight="1">
      <c r="R421" s="18"/>
      <c r="S421" s="18"/>
      <c r="T421" s="18"/>
    </row>
    <row r="422" spans="18:20" ht="15.75" customHeight="1">
      <c r="R422" s="18"/>
      <c r="S422" s="18"/>
      <c r="T422" s="18"/>
    </row>
    <row r="423" spans="18:20" ht="15.75" customHeight="1">
      <c r="R423" s="18"/>
      <c r="S423" s="18"/>
      <c r="T423" s="18"/>
    </row>
    <row r="424" spans="18:20" ht="15.75" customHeight="1">
      <c r="R424" s="18"/>
      <c r="S424" s="18"/>
      <c r="T424" s="18"/>
    </row>
    <row r="425" spans="18:20" ht="15.75" customHeight="1">
      <c r="R425" s="18"/>
      <c r="S425" s="18"/>
      <c r="T425" s="18"/>
    </row>
    <row r="426" spans="18:20" ht="15.75" customHeight="1">
      <c r="R426" s="18"/>
      <c r="S426" s="18"/>
      <c r="T426" s="18"/>
    </row>
    <row r="427" spans="18:20" ht="15.75" customHeight="1">
      <c r="R427" s="18"/>
      <c r="S427" s="18"/>
      <c r="T427" s="18"/>
    </row>
    <row r="428" spans="18:20" ht="15.75" customHeight="1">
      <c r="R428" s="18"/>
      <c r="S428" s="18"/>
      <c r="T428" s="18"/>
    </row>
    <row r="429" spans="18:20" ht="15.75" customHeight="1">
      <c r="R429" s="18"/>
      <c r="S429" s="18"/>
      <c r="T429" s="18"/>
    </row>
    <row r="430" spans="18:20" ht="15.75" customHeight="1">
      <c r="R430" s="18"/>
      <c r="S430" s="18"/>
      <c r="T430" s="18"/>
    </row>
    <row r="431" spans="18:20" ht="15.75" customHeight="1">
      <c r="R431" s="18"/>
      <c r="S431" s="18"/>
      <c r="T431" s="18"/>
    </row>
    <row r="432" spans="18:20" ht="15.75" customHeight="1">
      <c r="R432" s="18"/>
      <c r="S432" s="18"/>
      <c r="T432" s="18"/>
    </row>
    <row r="433" spans="18:20" ht="15.75" customHeight="1">
      <c r="R433" s="18"/>
      <c r="S433" s="18"/>
      <c r="T433" s="18"/>
    </row>
    <row r="434" spans="18:20" ht="15.75" customHeight="1">
      <c r="R434" s="18"/>
      <c r="S434" s="18"/>
      <c r="T434" s="18"/>
    </row>
    <row r="435" spans="18:20" ht="15.75" customHeight="1">
      <c r="R435" s="18"/>
      <c r="S435" s="18"/>
      <c r="T435" s="18"/>
    </row>
    <row r="436" spans="18:20" ht="15.75" customHeight="1">
      <c r="R436" s="18"/>
      <c r="S436" s="18"/>
      <c r="T436" s="18"/>
    </row>
    <row r="437" spans="18:20" ht="15.75" customHeight="1">
      <c r="R437" s="18"/>
      <c r="S437" s="18"/>
      <c r="T437" s="18"/>
    </row>
    <row r="438" spans="18:20" ht="15.75" customHeight="1">
      <c r="R438" s="18"/>
      <c r="S438" s="18"/>
      <c r="T438" s="18"/>
    </row>
    <row r="439" spans="18:20" ht="15.75" customHeight="1">
      <c r="R439" s="18"/>
      <c r="S439" s="18"/>
      <c r="T439" s="18"/>
    </row>
    <row r="440" spans="18:20" ht="15.75" customHeight="1">
      <c r="R440" s="18"/>
      <c r="S440" s="18"/>
      <c r="T440" s="18"/>
    </row>
    <row r="441" spans="18:20" ht="15.75" customHeight="1">
      <c r="R441" s="18"/>
      <c r="S441" s="18"/>
      <c r="T441" s="18"/>
    </row>
    <row r="442" spans="18:20" ht="15.75" customHeight="1">
      <c r="R442" s="18"/>
      <c r="S442" s="18"/>
      <c r="T442" s="18"/>
    </row>
    <row r="443" spans="18:20" ht="15.75" customHeight="1">
      <c r="R443" s="18"/>
      <c r="S443" s="18"/>
      <c r="T443" s="18"/>
    </row>
    <row r="444" spans="18:20" ht="15.75" customHeight="1">
      <c r="R444" s="18"/>
      <c r="S444" s="18"/>
      <c r="T444" s="18"/>
    </row>
    <row r="445" spans="18:20" ht="15.75" customHeight="1">
      <c r="R445" s="18"/>
      <c r="S445" s="18"/>
      <c r="T445" s="18"/>
    </row>
    <row r="446" spans="18:20" ht="15.75" customHeight="1">
      <c r="R446" s="18"/>
      <c r="S446" s="18"/>
      <c r="T446" s="18"/>
    </row>
    <row r="447" spans="18:20" ht="15.75" customHeight="1">
      <c r="R447" s="18"/>
      <c r="S447" s="18"/>
      <c r="T447" s="18"/>
    </row>
    <row r="448" spans="18:20" ht="15.75" customHeight="1">
      <c r="R448" s="18"/>
      <c r="S448" s="18"/>
      <c r="T448" s="18"/>
    </row>
    <row r="449" spans="18:20" ht="15.75" customHeight="1">
      <c r="R449" s="18"/>
      <c r="S449" s="18"/>
      <c r="T449" s="18"/>
    </row>
    <row r="450" spans="18:20" ht="15.75" customHeight="1">
      <c r="R450" s="18"/>
      <c r="S450" s="18"/>
      <c r="T450" s="18"/>
    </row>
    <row r="451" spans="18:20" ht="15.75" customHeight="1">
      <c r="R451" s="18"/>
      <c r="S451" s="18"/>
      <c r="T451" s="18"/>
    </row>
    <row r="452" spans="18:20" ht="15.75" customHeight="1">
      <c r="R452" s="18"/>
      <c r="S452" s="18"/>
      <c r="T452" s="18"/>
    </row>
    <row r="453" spans="18:20" ht="15.75" customHeight="1">
      <c r="R453" s="18"/>
      <c r="S453" s="18"/>
      <c r="T453" s="18"/>
    </row>
    <row r="454" spans="18:20" ht="15.75" customHeight="1">
      <c r="R454" s="18"/>
      <c r="S454" s="18"/>
      <c r="T454" s="18"/>
    </row>
    <row r="455" spans="18:20" ht="15.75" customHeight="1">
      <c r="R455" s="18"/>
      <c r="S455" s="18"/>
      <c r="T455" s="18"/>
    </row>
    <row r="456" spans="18:20" ht="15.75" customHeight="1">
      <c r="R456" s="18"/>
      <c r="S456" s="18"/>
      <c r="T456" s="18"/>
    </row>
    <row r="457" spans="18:20" ht="15.75" customHeight="1">
      <c r="R457" s="18"/>
      <c r="S457" s="18"/>
      <c r="T457" s="18"/>
    </row>
    <row r="458" spans="18:20" ht="15.75" customHeight="1">
      <c r="R458" s="18"/>
      <c r="S458" s="18"/>
      <c r="T458" s="18"/>
    </row>
    <row r="459" spans="18:20" ht="15.75" customHeight="1">
      <c r="R459" s="18"/>
      <c r="S459" s="18"/>
      <c r="T459" s="18"/>
    </row>
    <row r="460" spans="18:20" ht="15.75" customHeight="1">
      <c r="R460" s="18"/>
      <c r="S460" s="18"/>
      <c r="T460" s="18"/>
    </row>
    <row r="461" spans="18:20" ht="15.75" customHeight="1">
      <c r="R461" s="18"/>
      <c r="S461" s="18"/>
      <c r="T461" s="18"/>
    </row>
    <row r="462" spans="18:20" ht="15.75" customHeight="1">
      <c r="R462" s="18"/>
      <c r="S462" s="18"/>
      <c r="T462" s="18"/>
    </row>
    <row r="463" spans="18:20" ht="15.75" customHeight="1">
      <c r="R463" s="18"/>
      <c r="S463" s="18"/>
      <c r="T463" s="18"/>
    </row>
    <row r="464" spans="18:20" ht="15.75" customHeight="1">
      <c r="R464" s="18"/>
      <c r="S464" s="18"/>
      <c r="T464" s="18"/>
    </row>
    <row r="465" spans="18:20" ht="15.75" customHeight="1">
      <c r="R465" s="18"/>
      <c r="S465" s="18"/>
      <c r="T465" s="18"/>
    </row>
    <row r="466" spans="18:20" ht="15.75" customHeight="1">
      <c r="R466" s="18"/>
      <c r="S466" s="18"/>
      <c r="T466" s="18"/>
    </row>
    <row r="467" spans="18:20" ht="15.75" customHeight="1">
      <c r="R467" s="18"/>
      <c r="S467" s="18"/>
      <c r="T467" s="18"/>
    </row>
    <row r="468" spans="18:20" ht="15.75" customHeight="1">
      <c r="R468" s="18"/>
      <c r="S468" s="18"/>
      <c r="T468" s="18"/>
    </row>
    <row r="469" spans="18:20" ht="15.75" customHeight="1">
      <c r="R469" s="18"/>
      <c r="S469" s="18"/>
      <c r="T469" s="18"/>
    </row>
    <row r="470" spans="18:20" ht="15.75" customHeight="1">
      <c r="R470" s="18"/>
      <c r="S470" s="18"/>
      <c r="T470" s="18"/>
    </row>
    <row r="471" spans="18:20" ht="15.75" customHeight="1">
      <c r="R471" s="18"/>
      <c r="S471" s="18"/>
      <c r="T471" s="18"/>
    </row>
    <row r="472" spans="18:20" ht="15.75" customHeight="1">
      <c r="R472" s="18"/>
      <c r="S472" s="18"/>
      <c r="T472" s="18"/>
    </row>
    <row r="473" spans="18:20" ht="15.75" customHeight="1">
      <c r="R473" s="18"/>
      <c r="S473" s="18"/>
      <c r="T473" s="18"/>
    </row>
    <row r="474" spans="18:20" ht="15.75" customHeight="1">
      <c r="R474" s="18"/>
      <c r="S474" s="18"/>
      <c r="T474" s="18"/>
    </row>
    <row r="475" spans="18:20" ht="15.75" customHeight="1">
      <c r="R475" s="18"/>
      <c r="S475" s="18"/>
      <c r="T475" s="18"/>
    </row>
    <row r="476" spans="18:20" ht="15.75" customHeight="1">
      <c r="R476" s="18"/>
      <c r="S476" s="18"/>
      <c r="T476" s="18"/>
    </row>
    <row r="477" spans="18:20" ht="15.75" customHeight="1">
      <c r="R477" s="18"/>
      <c r="S477" s="18"/>
      <c r="T477" s="18"/>
    </row>
    <row r="478" spans="18:20" ht="15.75" customHeight="1">
      <c r="R478" s="18"/>
      <c r="S478" s="18"/>
      <c r="T478" s="18"/>
    </row>
    <row r="479" spans="18:20" ht="15.75" customHeight="1">
      <c r="R479" s="18"/>
      <c r="S479" s="18"/>
      <c r="T479" s="18"/>
    </row>
    <row r="480" spans="18:20" ht="15.75" customHeight="1">
      <c r="R480" s="18"/>
      <c r="S480" s="18"/>
      <c r="T480" s="18"/>
    </row>
    <row r="481" spans="18:20" ht="15.75" customHeight="1">
      <c r="R481" s="18"/>
      <c r="S481" s="18"/>
      <c r="T481" s="18"/>
    </row>
    <row r="482" spans="18:20" ht="15.75" customHeight="1">
      <c r="R482" s="18"/>
      <c r="S482" s="18"/>
      <c r="T482" s="18"/>
    </row>
    <row r="483" spans="18:20" ht="15.75" customHeight="1">
      <c r="R483" s="18"/>
      <c r="S483" s="18"/>
      <c r="T483" s="18"/>
    </row>
    <row r="484" spans="18:20" ht="15.75" customHeight="1">
      <c r="R484" s="18"/>
      <c r="S484" s="18"/>
      <c r="T484" s="18"/>
    </row>
    <row r="485" spans="18:20" ht="15.75" customHeight="1">
      <c r="R485" s="18"/>
      <c r="S485" s="18"/>
      <c r="T485" s="18"/>
    </row>
    <row r="486" spans="18:20" ht="15.75" customHeight="1">
      <c r="R486" s="18"/>
      <c r="S486" s="18"/>
      <c r="T486" s="18"/>
    </row>
    <row r="487" spans="18:20" ht="15.75" customHeight="1">
      <c r="R487" s="18"/>
      <c r="S487" s="18"/>
      <c r="T487" s="18"/>
    </row>
    <row r="488" spans="18:20" ht="15.75" customHeight="1">
      <c r="R488" s="18"/>
      <c r="S488" s="18"/>
      <c r="T488" s="18"/>
    </row>
    <row r="489" spans="18:20" ht="15.75" customHeight="1">
      <c r="R489" s="18"/>
      <c r="S489" s="18"/>
      <c r="T489" s="18"/>
    </row>
    <row r="490" spans="18:20" ht="15.75" customHeight="1">
      <c r="R490" s="18"/>
      <c r="S490" s="18"/>
      <c r="T490" s="18"/>
    </row>
    <row r="491" spans="18:20" ht="15.75" customHeight="1">
      <c r="R491" s="18"/>
      <c r="S491" s="18"/>
      <c r="T491" s="18"/>
    </row>
    <row r="492" spans="18:20" ht="15.75" customHeight="1">
      <c r="R492" s="18"/>
      <c r="S492" s="18"/>
      <c r="T492" s="18"/>
    </row>
    <row r="493" spans="18:20" ht="15.75" customHeight="1">
      <c r="R493" s="18"/>
      <c r="S493" s="18"/>
      <c r="T493" s="18"/>
    </row>
    <row r="494" spans="18:20" ht="15.75" customHeight="1">
      <c r="R494" s="18"/>
      <c r="S494" s="18"/>
      <c r="T494" s="18"/>
    </row>
    <row r="495" spans="18:20" ht="15.75" customHeight="1">
      <c r="R495" s="18"/>
      <c r="S495" s="18"/>
      <c r="T495" s="18"/>
    </row>
    <row r="496" spans="18:20" ht="15.75" customHeight="1">
      <c r="R496" s="18"/>
      <c r="S496" s="18"/>
      <c r="T496" s="18"/>
    </row>
    <row r="497" spans="18:20" ht="15.75" customHeight="1">
      <c r="R497" s="18"/>
      <c r="S497" s="18"/>
      <c r="T497" s="18"/>
    </row>
    <row r="498" spans="18:20" ht="15.75" customHeight="1">
      <c r="R498" s="18"/>
      <c r="S498" s="18"/>
      <c r="T498" s="18"/>
    </row>
    <row r="499" spans="18:20" ht="15.75" customHeight="1">
      <c r="R499" s="18"/>
      <c r="S499" s="18"/>
      <c r="T499" s="18"/>
    </row>
    <row r="500" spans="18:20" ht="15.75" customHeight="1">
      <c r="R500" s="18"/>
      <c r="S500" s="18"/>
      <c r="T500" s="18"/>
    </row>
    <row r="501" spans="18:20" ht="15.75" customHeight="1">
      <c r="R501" s="18"/>
      <c r="S501" s="18"/>
      <c r="T501" s="18"/>
    </row>
    <row r="502" spans="18:20" ht="15.75" customHeight="1">
      <c r="R502" s="18"/>
      <c r="S502" s="18"/>
      <c r="T502" s="18"/>
    </row>
    <row r="503" spans="18:20" ht="15.75" customHeight="1">
      <c r="R503" s="18"/>
      <c r="S503" s="18"/>
      <c r="T503" s="18"/>
    </row>
    <row r="504" spans="18:20" ht="15.75" customHeight="1">
      <c r="R504" s="18"/>
      <c r="S504" s="18"/>
      <c r="T504" s="18"/>
    </row>
    <row r="505" spans="18:20" ht="15.75" customHeight="1">
      <c r="R505" s="18"/>
      <c r="S505" s="18"/>
      <c r="T505" s="18"/>
    </row>
    <row r="506" spans="18:20" ht="15.75" customHeight="1">
      <c r="R506" s="18"/>
      <c r="S506" s="18"/>
      <c r="T506" s="18"/>
    </row>
    <row r="507" spans="18:20" ht="15.75" customHeight="1">
      <c r="R507" s="18"/>
      <c r="S507" s="18"/>
      <c r="T507" s="18"/>
    </row>
    <row r="508" spans="18:20" ht="15.75" customHeight="1">
      <c r="R508" s="18"/>
      <c r="S508" s="18"/>
      <c r="T508" s="18"/>
    </row>
    <row r="509" spans="18:20" ht="15.75" customHeight="1">
      <c r="R509" s="18"/>
      <c r="S509" s="18"/>
      <c r="T509" s="18"/>
    </row>
    <row r="510" spans="18:20" ht="15.75" customHeight="1">
      <c r="R510" s="18"/>
      <c r="S510" s="18"/>
      <c r="T510" s="18"/>
    </row>
    <row r="511" spans="18:20" ht="15.75" customHeight="1">
      <c r="R511" s="18"/>
      <c r="S511" s="18"/>
      <c r="T511" s="18"/>
    </row>
    <row r="512" spans="18:20" ht="15.75" customHeight="1">
      <c r="R512" s="18"/>
      <c r="S512" s="18"/>
      <c r="T512" s="18"/>
    </row>
    <row r="513" spans="18:20" ht="15.75" customHeight="1">
      <c r="R513" s="18"/>
      <c r="S513" s="18"/>
      <c r="T513" s="18"/>
    </row>
    <row r="514" spans="18:20" ht="15.75" customHeight="1">
      <c r="R514" s="18"/>
      <c r="S514" s="18"/>
      <c r="T514" s="18"/>
    </row>
    <row r="515" spans="18:20" ht="15.75" customHeight="1">
      <c r="R515" s="18"/>
      <c r="S515" s="18"/>
      <c r="T515" s="18"/>
    </row>
    <row r="516" spans="18:20" ht="15.75" customHeight="1">
      <c r="R516" s="18"/>
      <c r="S516" s="18"/>
      <c r="T516" s="18"/>
    </row>
    <row r="517" spans="18:20" ht="15.75" customHeight="1">
      <c r="R517" s="18"/>
      <c r="S517" s="18"/>
      <c r="T517" s="18"/>
    </row>
    <row r="518" spans="18:20" ht="15.75" customHeight="1">
      <c r="R518" s="18"/>
      <c r="S518" s="18"/>
      <c r="T518" s="18"/>
    </row>
    <row r="519" spans="18:20" ht="15.75" customHeight="1">
      <c r="R519" s="18"/>
      <c r="S519" s="18"/>
      <c r="T519" s="18"/>
    </row>
    <row r="520" spans="18:20" ht="15.75" customHeight="1">
      <c r="R520" s="18"/>
      <c r="S520" s="18"/>
      <c r="T520" s="18"/>
    </row>
    <row r="521" spans="18:20" ht="15.75" customHeight="1">
      <c r="R521" s="18"/>
      <c r="S521" s="18"/>
      <c r="T521" s="18"/>
    </row>
    <row r="522" spans="18:20" ht="15.75" customHeight="1">
      <c r="R522" s="18"/>
      <c r="S522" s="18"/>
      <c r="T522" s="18"/>
    </row>
    <row r="523" spans="18:20" ht="15.75" customHeight="1">
      <c r="R523" s="18"/>
      <c r="S523" s="18"/>
      <c r="T523" s="18"/>
    </row>
    <row r="524" spans="18:20" ht="15.75" customHeight="1">
      <c r="R524" s="18"/>
      <c r="S524" s="18"/>
      <c r="T524" s="18"/>
    </row>
    <row r="525" spans="18:20" ht="15.75" customHeight="1">
      <c r="R525" s="18"/>
      <c r="S525" s="18"/>
      <c r="T525" s="18"/>
    </row>
    <row r="526" spans="18:20" ht="15.75" customHeight="1">
      <c r="R526" s="18"/>
      <c r="S526" s="18"/>
      <c r="T526" s="18"/>
    </row>
    <row r="527" spans="18:20" ht="15.75" customHeight="1">
      <c r="R527" s="18"/>
      <c r="S527" s="18"/>
      <c r="T527" s="18"/>
    </row>
    <row r="528" spans="18:20" ht="15.75" customHeight="1">
      <c r="R528" s="18"/>
      <c r="S528" s="18"/>
      <c r="T528" s="18"/>
    </row>
    <row r="529" spans="18:20" ht="15.75" customHeight="1">
      <c r="R529" s="18"/>
      <c r="S529" s="18"/>
      <c r="T529" s="18"/>
    </row>
    <row r="530" spans="18:20" ht="15.75" customHeight="1">
      <c r="R530" s="18"/>
      <c r="S530" s="18"/>
      <c r="T530" s="18"/>
    </row>
    <row r="531" spans="18:20" ht="15.75" customHeight="1">
      <c r="R531" s="18"/>
      <c r="S531" s="18"/>
      <c r="T531" s="18"/>
    </row>
    <row r="532" spans="18:20" ht="15.75" customHeight="1">
      <c r="R532" s="18"/>
      <c r="S532" s="18"/>
      <c r="T532" s="18"/>
    </row>
    <row r="533" spans="18:20" ht="15.75" customHeight="1">
      <c r="R533" s="18"/>
      <c r="S533" s="18"/>
      <c r="T533" s="18"/>
    </row>
    <row r="534" spans="18:20" ht="15.75" customHeight="1">
      <c r="R534" s="18"/>
      <c r="S534" s="18"/>
      <c r="T534" s="18"/>
    </row>
    <row r="535" spans="18:20" ht="15.75" customHeight="1">
      <c r="R535" s="18"/>
      <c r="S535" s="18"/>
      <c r="T535" s="18"/>
    </row>
    <row r="536" spans="18:20" ht="15.75" customHeight="1">
      <c r="R536" s="18"/>
      <c r="S536" s="18"/>
      <c r="T536" s="18"/>
    </row>
    <row r="537" spans="18:20" ht="15.75" customHeight="1">
      <c r="R537" s="18"/>
      <c r="S537" s="18"/>
      <c r="T537" s="18"/>
    </row>
    <row r="538" spans="18:20" ht="15.75" customHeight="1">
      <c r="R538" s="18"/>
      <c r="S538" s="18"/>
      <c r="T538" s="18"/>
    </row>
    <row r="539" spans="18:20" ht="15.75" customHeight="1">
      <c r="R539" s="18"/>
      <c r="S539" s="18"/>
      <c r="T539" s="18"/>
    </row>
    <row r="540" spans="18:20" ht="15.75" customHeight="1">
      <c r="R540" s="18"/>
      <c r="S540" s="18"/>
      <c r="T540" s="18"/>
    </row>
    <row r="541" spans="18:20" ht="15.75" customHeight="1">
      <c r="R541" s="18"/>
      <c r="S541" s="18"/>
      <c r="T541" s="18"/>
    </row>
    <row r="542" spans="18:20" ht="15.75" customHeight="1">
      <c r="R542" s="18"/>
      <c r="S542" s="18"/>
      <c r="T542" s="18"/>
    </row>
    <row r="543" spans="18:20" ht="15.75" customHeight="1">
      <c r="R543" s="18"/>
      <c r="S543" s="18"/>
      <c r="T543" s="18"/>
    </row>
    <row r="544" spans="18:20" ht="15.75" customHeight="1">
      <c r="R544" s="18"/>
      <c r="S544" s="18"/>
      <c r="T544" s="18"/>
    </row>
    <row r="545" spans="18:20" ht="15.75" customHeight="1">
      <c r="R545" s="18"/>
      <c r="S545" s="18"/>
      <c r="T545" s="18"/>
    </row>
    <row r="546" spans="18:20" ht="15.75" customHeight="1">
      <c r="R546" s="18"/>
      <c r="S546" s="18"/>
      <c r="T546" s="18"/>
    </row>
    <row r="547" spans="18:20" ht="15.75" customHeight="1">
      <c r="R547" s="18"/>
      <c r="S547" s="18"/>
      <c r="T547" s="18"/>
    </row>
    <row r="548" spans="18:20" ht="15.75" customHeight="1">
      <c r="R548" s="18"/>
      <c r="S548" s="18"/>
      <c r="T548" s="18"/>
    </row>
    <row r="549" spans="18:20" ht="15.75" customHeight="1">
      <c r="R549" s="18"/>
      <c r="S549" s="18"/>
      <c r="T549" s="18"/>
    </row>
    <row r="550" spans="18:20" ht="15.75" customHeight="1">
      <c r="R550" s="18"/>
      <c r="S550" s="18"/>
      <c r="T550" s="18"/>
    </row>
    <row r="551" spans="18:20" ht="15.75" customHeight="1">
      <c r="R551" s="18"/>
      <c r="S551" s="18"/>
      <c r="T551" s="18"/>
    </row>
    <row r="552" spans="18:20" ht="15.75" customHeight="1">
      <c r="R552" s="18"/>
      <c r="S552" s="18"/>
      <c r="T552" s="18"/>
    </row>
    <row r="553" spans="18:20" ht="15.75" customHeight="1">
      <c r="R553" s="18"/>
      <c r="S553" s="18"/>
      <c r="T553" s="18"/>
    </row>
    <row r="554" spans="18:20" ht="15.75" customHeight="1">
      <c r="R554" s="18"/>
      <c r="S554" s="18"/>
      <c r="T554" s="18"/>
    </row>
    <row r="555" spans="18:20" ht="15.75" customHeight="1">
      <c r="R555" s="18"/>
      <c r="S555" s="18"/>
      <c r="T555" s="18"/>
    </row>
    <row r="556" spans="18:20" ht="15.75" customHeight="1">
      <c r="R556" s="18"/>
      <c r="S556" s="18"/>
      <c r="T556" s="18"/>
    </row>
    <row r="557" spans="18:20" ht="15.75" customHeight="1">
      <c r="R557" s="18"/>
      <c r="S557" s="18"/>
      <c r="T557" s="18"/>
    </row>
    <row r="558" spans="18:20" ht="15.75" customHeight="1">
      <c r="R558" s="18"/>
      <c r="S558" s="18"/>
      <c r="T558" s="18"/>
    </row>
    <row r="559" spans="18:20" ht="15.75" customHeight="1">
      <c r="R559" s="18"/>
      <c r="S559" s="18"/>
      <c r="T559" s="18"/>
    </row>
    <row r="560" spans="18:20" ht="15.75" customHeight="1">
      <c r="R560" s="18"/>
      <c r="S560" s="18"/>
      <c r="T560" s="18"/>
    </row>
    <row r="561" spans="18:20" ht="15.75" customHeight="1">
      <c r="R561" s="18"/>
      <c r="S561" s="18"/>
      <c r="T561" s="18"/>
    </row>
    <row r="562" spans="18:20" ht="15.75" customHeight="1">
      <c r="R562" s="18"/>
      <c r="S562" s="18"/>
      <c r="T562" s="18"/>
    </row>
    <row r="563" spans="18:20" ht="15.75" customHeight="1">
      <c r="R563" s="18"/>
      <c r="S563" s="18"/>
      <c r="T563" s="18"/>
    </row>
    <row r="564" spans="18:20" ht="15.75" customHeight="1">
      <c r="R564" s="18"/>
      <c r="S564" s="18"/>
      <c r="T564" s="18"/>
    </row>
    <row r="565" spans="18:20" ht="15.75" customHeight="1">
      <c r="R565" s="18"/>
      <c r="S565" s="18"/>
      <c r="T565" s="18"/>
    </row>
    <row r="566" spans="18:20" ht="15.75" customHeight="1">
      <c r="R566" s="18"/>
      <c r="S566" s="18"/>
      <c r="T566" s="18"/>
    </row>
    <row r="567" spans="18:20" ht="15.75" customHeight="1">
      <c r="R567" s="18"/>
      <c r="S567" s="18"/>
      <c r="T567" s="18"/>
    </row>
    <row r="568" spans="18:20" ht="15.75" customHeight="1">
      <c r="R568" s="18"/>
      <c r="S568" s="18"/>
      <c r="T568" s="18"/>
    </row>
    <row r="569" spans="18:20" ht="15.75" customHeight="1">
      <c r="R569" s="18"/>
      <c r="S569" s="18"/>
      <c r="T569" s="18"/>
    </row>
    <row r="570" spans="18:20" ht="15.75" customHeight="1">
      <c r="R570" s="18"/>
      <c r="S570" s="18"/>
      <c r="T570" s="18"/>
    </row>
    <row r="571" spans="18:20" ht="15.75" customHeight="1">
      <c r="R571" s="18"/>
      <c r="S571" s="18"/>
      <c r="T571" s="18"/>
    </row>
    <row r="572" spans="18:20" ht="15.75" customHeight="1">
      <c r="R572" s="18"/>
      <c r="S572" s="18"/>
      <c r="T572" s="18"/>
    </row>
    <row r="573" spans="18:20" ht="15.75" customHeight="1">
      <c r="R573" s="18"/>
      <c r="S573" s="18"/>
      <c r="T573" s="18"/>
    </row>
    <row r="574" spans="18:20" ht="15.75" customHeight="1">
      <c r="R574" s="18"/>
      <c r="S574" s="18"/>
      <c r="T574" s="18"/>
    </row>
    <row r="575" spans="18:20" ht="15.75" customHeight="1">
      <c r="R575" s="18"/>
      <c r="S575" s="18"/>
      <c r="T575" s="18"/>
    </row>
    <row r="576" spans="18:20" ht="15.75" customHeight="1">
      <c r="R576" s="18"/>
      <c r="S576" s="18"/>
      <c r="T576" s="18"/>
    </row>
    <row r="577" spans="18:20" ht="15.75" customHeight="1">
      <c r="R577" s="18"/>
      <c r="S577" s="18"/>
      <c r="T577" s="18"/>
    </row>
    <row r="578" spans="18:20" ht="15.75" customHeight="1">
      <c r="R578" s="18"/>
      <c r="S578" s="18"/>
      <c r="T578" s="18"/>
    </row>
    <row r="579" spans="18:20" ht="15.75" customHeight="1">
      <c r="R579" s="18"/>
      <c r="S579" s="18"/>
      <c r="T579" s="18"/>
    </row>
    <row r="580" spans="18:20" ht="15.75" customHeight="1">
      <c r="R580" s="18"/>
      <c r="S580" s="18"/>
      <c r="T580" s="18"/>
    </row>
    <row r="581" spans="18:20" ht="15.75" customHeight="1">
      <c r="R581" s="18"/>
      <c r="S581" s="18"/>
      <c r="T581" s="18"/>
    </row>
    <row r="582" spans="18:20" ht="15.75" customHeight="1">
      <c r="R582" s="18"/>
      <c r="S582" s="18"/>
      <c r="T582" s="18"/>
    </row>
    <row r="583" spans="18:20" ht="15.75" customHeight="1">
      <c r="R583" s="18"/>
      <c r="S583" s="18"/>
      <c r="T583" s="18"/>
    </row>
    <row r="584" spans="18:20" ht="15.75" customHeight="1">
      <c r="R584" s="18"/>
      <c r="S584" s="18"/>
      <c r="T584" s="18"/>
    </row>
    <row r="585" spans="18:20" ht="15.75" customHeight="1">
      <c r="R585" s="18"/>
      <c r="S585" s="18"/>
      <c r="T585" s="18"/>
    </row>
    <row r="586" spans="18:20" ht="15.75" customHeight="1">
      <c r="R586" s="18"/>
      <c r="S586" s="18"/>
      <c r="T586" s="18"/>
    </row>
    <row r="587" spans="18:20" ht="15.75" customHeight="1">
      <c r="R587" s="18"/>
      <c r="S587" s="18"/>
      <c r="T587" s="18"/>
    </row>
    <row r="588" spans="18:20" ht="15.75" customHeight="1">
      <c r="R588" s="18"/>
      <c r="S588" s="18"/>
      <c r="T588" s="18"/>
    </row>
    <row r="589" spans="18:20" ht="15.75" customHeight="1">
      <c r="R589" s="18"/>
      <c r="S589" s="18"/>
      <c r="T589" s="18"/>
    </row>
    <row r="590" spans="18:20" ht="15.75" customHeight="1">
      <c r="R590" s="18"/>
      <c r="S590" s="18"/>
      <c r="T590" s="18"/>
    </row>
    <row r="591" spans="18:20" ht="15.75" customHeight="1">
      <c r="R591" s="18"/>
      <c r="S591" s="18"/>
      <c r="T591" s="18"/>
    </row>
    <row r="592" spans="18:20" ht="15.75" customHeight="1">
      <c r="R592" s="18"/>
      <c r="S592" s="18"/>
      <c r="T592" s="18"/>
    </row>
    <row r="593" spans="18:20" ht="15.75" customHeight="1">
      <c r="R593" s="18"/>
      <c r="S593" s="18"/>
      <c r="T593" s="18"/>
    </row>
    <row r="594" spans="18:20" ht="15.75" customHeight="1">
      <c r="R594" s="18"/>
      <c r="S594" s="18"/>
      <c r="T594" s="18"/>
    </row>
    <row r="595" spans="18:20" ht="15.75" customHeight="1">
      <c r="R595" s="18"/>
      <c r="S595" s="18"/>
      <c r="T595" s="18"/>
    </row>
    <row r="596" spans="18:20" ht="15.75" customHeight="1">
      <c r="R596" s="18"/>
      <c r="S596" s="18"/>
      <c r="T596" s="18"/>
    </row>
    <row r="597" spans="18:20" ht="15.75" customHeight="1">
      <c r="R597" s="18"/>
      <c r="S597" s="18"/>
      <c r="T597" s="18"/>
    </row>
    <row r="598" spans="18:20" ht="15.75" customHeight="1">
      <c r="R598" s="18"/>
      <c r="S598" s="18"/>
      <c r="T598" s="18"/>
    </row>
    <row r="599" spans="18:20" ht="15.75" customHeight="1">
      <c r="R599" s="18"/>
      <c r="S599" s="18"/>
      <c r="T599" s="18"/>
    </row>
    <row r="600" spans="18:20" ht="15.75" customHeight="1">
      <c r="R600" s="18"/>
      <c r="S600" s="18"/>
      <c r="T600" s="18"/>
    </row>
    <row r="601" spans="18:20" ht="15.75" customHeight="1">
      <c r="R601" s="18"/>
      <c r="S601" s="18"/>
      <c r="T601" s="18"/>
    </row>
    <row r="602" spans="18:20" ht="15.75" customHeight="1">
      <c r="R602" s="18"/>
      <c r="S602" s="18"/>
      <c r="T602" s="18"/>
    </row>
    <row r="603" spans="18:20" ht="15.75" customHeight="1">
      <c r="R603" s="18"/>
      <c r="S603" s="18"/>
      <c r="T603" s="18"/>
    </row>
    <row r="604" spans="18:20" ht="15.75" customHeight="1">
      <c r="R604" s="18"/>
      <c r="S604" s="18"/>
      <c r="T604" s="18"/>
    </row>
    <row r="605" spans="18:20" ht="15.75" customHeight="1">
      <c r="R605" s="18"/>
      <c r="S605" s="18"/>
      <c r="T605" s="18"/>
    </row>
    <row r="606" spans="18:20" ht="15.75" customHeight="1">
      <c r="R606" s="18"/>
      <c r="S606" s="18"/>
      <c r="T606" s="18"/>
    </row>
    <row r="607" spans="18:20" ht="15.75" customHeight="1">
      <c r="R607" s="18"/>
      <c r="S607" s="18"/>
      <c r="T607" s="18"/>
    </row>
    <row r="608" spans="18:20" ht="15.75" customHeight="1">
      <c r="R608" s="18"/>
      <c r="S608" s="18"/>
      <c r="T608" s="18"/>
    </row>
    <row r="609" spans="18:20" ht="15.75" customHeight="1">
      <c r="R609" s="18"/>
      <c r="S609" s="18"/>
      <c r="T609" s="18"/>
    </row>
    <row r="610" spans="18:20" ht="15.75" customHeight="1">
      <c r="R610" s="18"/>
      <c r="S610" s="18"/>
      <c r="T610" s="18"/>
    </row>
    <row r="611" spans="18:20" ht="15.75" customHeight="1">
      <c r="R611" s="18"/>
      <c r="S611" s="18"/>
      <c r="T611" s="18"/>
    </row>
    <row r="612" spans="18:20" ht="15.75" customHeight="1">
      <c r="R612" s="18"/>
      <c r="S612" s="18"/>
      <c r="T612" s="18"/>
    </row>
    <row r="613" spans="18:20" ht="15.75" customHeight="1">
      <c r="R613" s="18"/>
      <c r="S613" s="18"/>
      <c r="T613" s="18"/>
    </row>
    <row r="614" spans="18:20" ht="15.75" customHeight="1">
      <c r="R614" s="18"/>
      <c r="S614" s="18"/>
      <c r="T614" s="18"/>
    </row>
    <row r="615" spans="18:20" ht="15.75" customHeight="1">
      <c r="R615" s="18"/>
      <c r="S615" s="18"/>
      <c r="T615" s="18"/>
    </row>
    <row r="616" spans="18:20" ht="15.75" customHeight="1">
      <c r="R616" s="18"/>
      <c r="S616" s="18"/>
      <c r="T616" s="18"/>
    </row>
    <row r="617" spans="18:20" ht="15.75" customHeight="1">
      <c r="R617" s="18"/>
      <c r="S617" s="18"/>
      <c r="T617" s="18"/>
    </row>
    <row r="618" spans="18:20" ht="15.75" customHeight="1">
      <c r="R618" s="18"/>
      <c r="S618" s="18"/>
      <c r="T618" s="18"/>
    </row>
    <row r="619" spans="18:20" ht="15.75" customHeight="1">
      <c r="R619" s="18"/>
      <c r="S619" s="18"/>
      <c r="T619" s="18"/>
    </row>
    <row r="620" spans="18:20" ht="15.75" customHeight="1">
      <c r="R620" s="18"/>
      <c r="S620" s="18"/>
      <c r="T620" s="18"/>
    </row>
    <row r="621" spans="18:20" ht="15.75" customHeight="1">
      <c r="R621" s="18"/>
      <c r="S621" s="18"/>
      <c r="T621" s="18"/>
    </row>
    <row r="622" spans="18:20" ht="15.75" customHeight="1">
      <c r="R622" s="18"/>
      <c r="S622" s="18"/>
      <c r="T622" s="18"/>
    </row>
    <row r="623" spans="18:20" ht="15.75" customHeight="1">
      <c r="R623" s="18"/>
      <c r="S623" s="18"/>
      <c r="T623" s="18"/>
    </row>
    <row r="624" spans="18:20" ht="15.75" customHeight="1">
      <c r="R624" s="18"/>
      <c r="S624" s="18"/>
      <c r="T624" s="18"/>
    </row>
    <row r="625" spans="18:20" ht="15.75" customHeight="1">
      <c r="R625" s="18"/>
      <c r="S625" s="18"/>
      <c r="T625" s="18"/>
    </row>
    <row r="626" spans="18:20" ht="15.75" customHeight="1">
      <c r="R626" s="18"/>
      <c r="S626" s="18"/>
      <c r="T626" s="18"/>
    </row>
    <row r="627" spans="18:20" ht="15.75" customHeight="1">
      <c r="R627" s="18"/>
      <c r="S627" s="18"/>
      <c r="T627" s="18"/>
    </row>
    <row r="628" spans="18:20" ht="15.75" customHeight="1">
      <c r="R628" s="18"/>
      <c r="S628" s="18"/>
      <c r="T628" s="18"/>
    </row>
    <row r="629" spans="18:20" ht="15.75" customHeight="1">
      <c r="R629" s="18"/>
      <c r="S629" s="18"/>
      <c r="T629" s="18"/>
    </row>
    <row r="630" spans="18:20" ht="15.75" customHeight="1">
      <c r="R630" s="18"/>
      <c r="S630" s="18"/>
      <c r="T630" s="18"/>
    </row>
    <row r="631" spans="18:20" ht="15.75" customHeight="1">
      <c r="R631" s="18"/>
      <c r="S631" s="18"/>
      <c r="T631" s="18"/>
    </row>
    <row r="632" spans="18:20" ht="15.75" customHeight="1">
      <c r="R632" s="18"/>
      <c r="S632" s="18"/>
      <c r="T632" s="18"/>
    </row>
    <row r="633" spans="18:20" ht="15.75" customHeight="1">
      <c r="R633" s="18"/>
      <c r="S633" s="18"/>
      <c r="T633" s="18"/>
    </row>
    <row r="634" spans="18:20" ht="15.75" customHeight="1">
      <c r="R634" s="18"/>
      <c r="S634" s="18"/>
      <c r="T634" s="18"/>
    </row>
    <row r="635" spans="18:20" ht="15.75" customHeight="1">
      <c r="R635" s="18"/>
      <c r="S635" s="18"/>
      <c r="T635" s="18"/>
    </row>
    <row r="636" spans="18:20" ht="15.75" customHeight="1">
      <c r="R636" s="18"/>
      <c r="S636" s="18"/>
      <c r="T636" s="18"/>
    </row>
    <row r="637" spans="18:20" ht="15.75" customHeight="1">
      <c r="R637" s="18"/>
      <c r="S637" s="18"/>
      <c r="T637" s="18"/>
    </row>
    <row r="638" spans="18:20" ht="15.75" customHeight="1">
      <c r="R638" s="18"/>
      <c r="S638" s="18"/>
      <c r="T638" s="18"/>
    </row>
    <row r="639" spans="18:20" ht="15.75" customHeight="1">
      <c r="R639" s="18"/>
      <c r="S639" s="18"/>
      <c r="T639" s="18"/>
    </row>
    <row r="640" spans="18:20" ht="15.75" customHeight="1">
      <c r="R640" s="18"/>
      <c r="S640" s="18"/>
      <c r="T640" s="18"/>
    </row>
    <row r="641" spans="18:20" ht="15.75" customHeight="1">
      <c r="R641" s="18"/>
      <c r="S641" s="18"/>
      <c r="T641" s="18"/>
    </row>
    <row r="642" spans="18:20" ht="15.75" customHeight="1">
      <c r="R642" s="18"/>
      <c r="S642" s="18"/>
      <c r="T642" s="18"/>
    </row>
    <row r="643" spans="18:20" ht="15.75" customHeight="1">
      <c r="R643" s="18"/>
      <c r="S643" s="18"/>
      <c r="T643" s="18"/>
    </row>
    <row r="644" spans="18:20" ht="15.75" customHeight="1">
      <c r="R644" s="18"/>
      <c r="S644" s="18"/>
      <c r="T644" s="18"/>
    </row>
    <row r="645" spans="18:20" ht="15.75" customHeight="1">
      <c r="R645" s="18"/>
      <c r="S645" s="18"/>
      <c r="T645" s="18"/>
    </row>
    <row r="646" spans="18:20" ht="15.75" customHeight="1">
      <c r="R646" s="18"/>
      <c r="S646" s="18"/>
      <c r="T646" s="18"/>
    </row>
    <row r="647" spans="18:20" ht="15.75" customHeight="1">
      <c r="R647" s="18"/>
      <c r="S647" s="18"/>
      <c r="T647" s="18"/>
    </row>
    <row r="648" spans="18:20" ht="15.75" customHeight="1">
      <c r="R648" s="18"/>
      <c r="S648" s="18"/>
      <c r="T648" s="18"/>
    </row>
    <row r="649" spans="18:20" ht="15.75" customHeight="1">
      <c r="R649" s="18"/>
      <c r="S649" s="18"/>
      <c r="T649" s="18"/>
    </row>
    <row r="650" spans="18:20" ht="15.75" customHeight="1">
      <c r="R650" s="18"/>
      <c r="S650" s="18"/>
      <c r="T650" s="18"/>
    </row>
    <row r="651" spans="18:20" ht="15.75" customHeight="1">
      <c r="R651" s="18"/>
      <c r="S651" s="18"/>
      <c r="T651" s="18"/>
    </row>
    <row r="652" spans="18:20" ht="15.75" customHeight="1">
      <c r="R652" s="18"/>
      <c r="S652" s="18"/>
      <c r="T652" s="18"/>
    </row>
    <row r="653" spans="18:20" ht="15.75" customHeight="1">
      <c r="R653" s="18"/>
      <c r="S653" s="18"/>
      <c r="T653" s="18"/>
    </row>
    <row r="654" spans="18:20" ht="15.75" customHeight="1">
      <c r="R654" s="18"/>
      <c r="S654" s="18"/>
      <c r="T654" s="18"/>
    </row>
    <row r="655" spans="18:20" ht="15.75" customHeight="1">
      <c r="R655" s="18"/>
      <c r="S655" s="18"/>
      <c r="T655" s="18"/>
    </row>
    <row r="656" spans="18:20" ht="15.75" customHeight="1">
      <c r="R656" s="18"/>
      <c r="S656" s="18"/>
      <c r="T656" s="18"/>
    </row>
    <row r="657" spans="18:20" ht="15.75" customHeight="1">
      <c r="R657" s="18"/>
      <c r="S657" s="18"/>
      <c r="T657" s="18"/>
    </row>
    <row r="658" spans="18:20" ht="15.75" customHeight="1">
      <c r="R658" s="18"/>
      <c r="S658" s="18"/>
      <c r="T658" s="18"/>
    </row>
    <row r="659" spans="18:20" ht="15.75" customHeight="1">
      <c r="R659" s="18"/>
      <c r="S659" s="18"/>
      <c r="T659" s="18"/>
    </row>
    <row r="660" spans="18:20" ht="15.75" customHeight="1">
      <c r="R660" s="18"/>
      <c r="S660" s="18"/>
      <c r="T660" s="18"/>
    </row>
    <row r="661" spans="18:20" ht="15.75" customHeight="1">
      <c r="R661" s="18"/>
      <c r="S661" s="18"/>
      <c r="T661" s="18"/>
    </row>
    <row r="662" spans="18:20" ht="15.75" customHeight="1">
      <c r="R662" s="18"/>
      <c r="S662" s="18"/>
      <c r="T662" s="18"/>
    </row>
    <row r="663" spans="18:20" ht="15.75" customHeight="1">
      <c r="R663" s="18"/>
      <c r="S663" s="18"/>
      <c r="T663" s="18"/>
    </row>
    <row r="664" spans="18:20" ht="15.75" customHeight="1">
      <c r="R664" s="18"/>
      <c r="S664" s="18"/>
      <c r="T664" s="18"/>
    </row>
    <row r="665" spans="18:20" ht="15.75" customHeight="1">
      <c r="R665" s="18"/>
      <c r="S665" s="18"/>
      <c r="T665" s="18"/>
    </row>
    <row r="666" spans="18:20" ht="15.75" customHeight="1">
      <c r="R666" s="18"/>
      <c r="S666" s="18"/>
      <c r="T666" s="18"/>
    </row>
    <row r="667" spans="18:20" ht="15.75" customHeight="1">
      <c r="R667" s="18"/>
      <c r="S667" s="18"/>
      <c r="T667" s="18"/>
    </row>
    <row r="668" spans="18:20" ht="15.75" customHeight="1">
      <c r="R668" s="18"/>
      <c r="S668" s="18"/>
      <c r="T668" s="18"/>
    </row>
    <row r="669" spans="18:20" ht="15.75" customHeight="1">
      <c r="R669" s="18"/>
      <c r="S669" s="18"/>
      <c r="T669" s="18"/>
    </row>
    <row r="670" spans="18:20" ht="15.75" customHeight="1">
      <c r="R670" s="18"/>
      <c r="S670" s="18"/>
      <c r="T670" s="18"/>
    </row>
    <row r="671" spans="18:20" ht="15.75" customHeight="1">
      <c r="R671" s="18"/>
      <c r="S671" s="18"/>
      <c r="T671" s="18"/>
    </row>
    <row r="672" spans="18:20" ht="15.75" customHeight="1">
      <c r="R672" s="18"/>
      <c r="S672" s="18"/>
      <c r="T672" s="18"/>
    </row>
    <row r="673" spans="18:20" ht="15.75" customHeight="1">
      <c r="R673" s="18"/>
      <c r="S673" s="18"/>
      <c r="T673" s="18"/>
    </row>
    <row r="674" spans="18:20" ht="15.75" customHeight="1">
      <c r="R674" s="18"/>
      <c r="S674" s="18"/>
      <c r="T674" s="18"/>
    </row>
    <row r="675" spans="18:20" ht="15.75" customHeight="1">
      <c r="R675" s="18"/>
      <c r="S675" s="18"/>
      <c r="T675" s="18"/>
    </row>
    <row r="676" spans="18:20" ht="15.75" customHeight="1">
      <c r="R676" s="18"/>
      <c r="S676" s="18"/>
      <c r="T676" s="18"/>
    </row>
    <row r="677" spans="18:20" ht="15.75" customHeight="1">
      <c r="R677" s="18"/>
      <c r="S677" s="18"/>
      <c r="T677" s="18"/>
    </row>
    <row r="678" spans="18:20" ht="15.75" customHeight="1">
      <c r="R678" s="18"/>
      <c r="S678" s="18"/>
      <c r="T678" s="18"/>
    </row>
    <row r="679" spans="18:20" ht="15.75" customHeight="1">
      <c r="R679" s="18"/>
      <c r="S679" s="18"/>
      <c r="T679" s="18"/>
    </row>
    <row r="680" spans="18:20" ht="15.75" customHeight="1">
      <c r="R680" s="18"/>
      <c r="S680" s="18"/>
      <c r="T680" s="18"/>
    </row>
    <row r="681" spans="18:20" ht="15.75" customHeight="1">
      <c r="R681" s="18"/>
      <c r="S681" s="18"/>
      <c r="T681" s="18"/>
    </row>
    <row r="682" spans="18:20" ht="15.75" customHeight="1">
      <c r="R682" s="18"/>
      <c r="S682" s="18"/>
      <c r="T682" s="18"/>
    </row>
    <row r="683" spans="18:20" ht="15.75" customHeight="1">
      <c r="R683" s="18"/>
      <c r="S683" s="18"/>
      <c r="T683" s="18"/>
    </row>
    <row r="684" spans="18:20" ht="15.75" customHeight="1">
      <c r="R684" s="18"/>
      <c r="S684" s="18"/>
      <c r="T684" s="18"/>
    </row>
    <row r="685" spans="18:20" ht="15.75" customHeight="1">
      <c r="R685" s="18"/>
      <c r="S685" s="18"/>
      <c r="T685" s="18"/>
    </row>
    <row r="686" spans="18:20" ht="15.75" customHeight="1">
      <c r="R686" s="18"/>
      <c r="S686" s="18"/>
      <c r="T686" s="18"/>
    </row>
    <row r="687" spans="18:20" ht="15.75" customHeight="1">
      <c r="R687" s="18"/>
      <c r="S687" s="18"/>
      <c r="T687" s="18"/>
    </row>
    <row r="688" spans="18:20" ht="15.75" customHeight="1">
      <c r="R688" s="18"/>
      <c r="S688" s="18"/>
      <c r="T688" s="18"/>
    </row>
    <row r="689" spans="18:20" ht="15.75" customHeight="1">
      <c r="R689" s="18"/>
      <c r="S689" s="18"/>
      <c r="T689" s="18"/>
    </row>
    <row r="690" spans="18:20" ht="15.75" customHeight="1">
      <c r="R690" s="18"/>
      <c r="S690" s="18"/>
      <c r="T690" s="18"/>
    </row>
    <row r="691" spans="18:20" ht="15.75" customHeight="1">
      <c r="R691" s="18"/>
      <c r="S691" s="18"/>
      <c r="T691" s="18"/>
    </row>
    <row r="692" spans="18:20" ht="15.75" customHeight="1">
      <c r="R692" s="18"/>
      <c r="S692" s="18"/>
      <c r="T692" s="18"/>
    </row>
    <row r="693" spans="18:20" ht="15.75" customHeight="1">
      <c r="R693" s="18"/>
      <c r="S693" s="18"/>
      <c r="T693" s="18"/>
    </row>
    <row r="694" spans="18:20" ht="15.75" customHeight="1">
      <c r="R694" s="18"/>
      <c r="S694" s="18"/>
      <c r="T694" s="18"/>
    </row>
    <row r="695" spans="18:20" ht="15.75" customHeight="1">
      <c r="R695" s="18"/>
      <c r="S695" s="18"/>
      <c r="T695" s="18"/>
    </row>
    <row r="696" spans="18:20" ht="15.75" customHeight="1">
      <c r="R696" s="18"/>
      <c r="S696" s="18"/>
      <c r="T696" s="18"/>
    </row>
    <row r="697" spans="18:20" ht="15.75" customHeight="1">
      <c r="R697" s="18"/>
      <c r="S697" s="18"/>
      <c r="T697" s="18"/>
    </row>
    <row r="698" spans="18:20" ht="15.75" customHeight="1">
      <c r="R698" s="18"/>
      <c r="S698" s="18"/>
      <c r="T698" s="18"/>
    </row>
    <row r="699" spans="18:20" ht="15.75" customHeight="1">
      <c r="R699" s="18"/>
      <c r="S699" s="18"/>
      <c r="T699" s="18"/>
    </row>
    <row r="700" spans="18:20" ht="15.75" customHeight="1">
      <c r="R700" s="18"/>
      <c r="S700" s="18"/>
      <c r="T700" s="18"/>
    </row>
    <row r="701" spans="18:20" ht="15.75" customHeight="1">
      <c r="R701" s="18"/>
      <c r="S701" s="18"/>
      <c r="T701" s="18"/>
    </row>
    <row r="702" spans="18:20" ht="15.75" customHeight="1">
      <c r="R702" s="18"/>
      <c r="S702" s="18"/>
      <c r="T702" s="18"/>
    </row>
    <row r="703" spans="18:20" ht="15.75" customHeight="1">
      <c r="R703" s="18"/>
      <c r="S703" s="18"/>
      <c r="T703" s="18"/>
    </row>
    <row r="704" spans="18:20" ht="15.75" customHeight="1">
      <c r="R704" s="18"/>
      <c r="S704" s="18"/>
      <c r="T704" s="18"/>
    </row>
    <row r="705" spans="18:20" ht="15.75" customHeight="1">
      <c r="R705" s="18"/>
      <c r="S705" s="18"/>
      <c r="T705" s="18"/>
    </row>
    <row r="706" spans="18:20" ht="15.75" customHeight="1">
      <c r="R706" s="18"/>
      <c r="S706" s="18"/>
      <c r="T706" s="18"/>
    </row>
    <row r="707" spans="18:20" ht="15.75" customHeight="1">
      <c r="R707" s="18"/>
      <c r="S707" s="18"/>
      <c r="T707" s="18"/>
    </row>
    <row r="708" spans="18:20" ht="15.75" customHeight="1">
      <c r="R708" s="18"/>
      <c r="S708" s="18"/>
      <c r="T708" s="18"/>
    </row>
    <row r="709" spans="18:20" ht="15.75" customHeight="1">
      <c r="R709" s="18"/>
      <c r="S709" s="18"/>
      <c r="T709" s="18"/>
    </row>
    <row r="710" spans="18:20" ht="15.75" customHeight="1">
      <c r="R710" s="18"/>
      <c r="S710" s="18"/>
      <c r="T710" s="18"/>
    </row>
    <row r="711" spans="18:20" ht="15.75" customHeight="1">
      <c r="R711" s="18"/>
      <c r="S711" s="18"/>
      <c r="T711" s="18"/>
    </row>
    <row r="712" spans="18:20" ht="15.75" customHeight="1">
      <c r="R712" s="18"/>
      <c r="S712" s="18"/>
      <c r="T712" s="18"/>
    </row>
    <row r="713" spans="18:20" ht="15.75" customHeight="1">
      <c r="R713" s="18"/>
      <c r="S713" s="18"/>
      <c r="T713" s="18"/>
    </row>
    <row r="714" spans="18:20" ht="15.75" customHeight="1">
      <c r="R714" s="18"/>
      <c r="S714" s="18"/>
      <c r="T714" s="18"/>
    </row>
    <row r="715" spans="18:20" ht="15.75" customHeight="1">
      <c r="R715" s="18"/>
      <c r="S715" s="18"/>
      <c r="T715" s="18"/>
    </row>
    <row r="716" spans="18:20" ht="15.75" customHeight="1">
      <c r="R716" s="18"/>
      <c r="S716" s="18"/>
      <c r="T716" s="18"/>
    </row>
    <row r="717" spans="18:20" ht="15.75" customHeight="1">
      <c r="R717" s="18"/>
      <c r="S717" s="18"/>
      <c r="T717" s="18"/>
    </row>
    <row r="718" spans="18:20" ht="15.75" customHeight="1">
      <c r="R718" s="18"/>
      <c r="S718" s="18"/>
      <c r="T718" s="18"/>
    </row>
    <row r="719" spans="18:20" ht="15.75" customHeight="1">
      <c r="R719" s="18"/>
      <c r="S719" s="18"/>
      <c r="T719" s="18"/>
    </row>
    <row r="720" spans="18:20" ht="15.75" customHeight="1">
      <c r="R720" s="18"/>
      <c r="S720" s="18"/>
      <c r="T720" s="18"/>
    </row>
    <row r="721" spans="18:20" ht="15.75" customHeight="1">
      <c r="R721" s="18"/>
      <c r="S721" s="18"/>
      <c r="T721" s="18"/>
    </row>
    <row r="722" spans="18:20" ht="15.75" customHeight="1">
      <c r="R722" s="18"/>
      <c r="S722" s="18"/>
      <c r="T722" s="18"/>
    </row>
    <row r="723" spans="18:20" ht="15.75" customHeight="1">
      <c r="R723" s="18"/>
      <c r="S723" s="18"/>
      <c r="T723" s="18"/>
    </row>
    <row r="724" spans="18:20" ht="15.75" customHeight="1">
      <c r="R724" s="18"/>
      <c r="S724" s="18"/>
      <c r="T724" s="18"/>
    </row>
    <row r="725" spans="18:20" ht="15.75" customHeight="1">
      <c r="R725" s="18"/>
      <c r="S725" s="18"/>
      <c r="T725" s="18"/>
    </row>
    <row r="726" spans="18:20" ht="15.75" customHeight="1">
      <c r="R726" s="18"/>
      <c r="S726" s="18"/>
      <c r="T726" s="18"/>
    </row>
    <row r="727" spans="18:20" ht="15.75" customHeight="1">
      <c r="R727" s="18"/>
      <c r="S727" s="18"/>
      <c r="T727" s="18"/>
    </row>
    <row r="728" spans="18:20" ht="15.75" customHeight="1">
      <c r="R728" s="18"/>
      <c r="S728" s="18"/>
      <c r="T728" s="18"/>
    </row>
    <row r="729" spans="18:20" ht="15.75" customHeight="1">
      <c r="R729" s="18"/>
      <c r="S729" s="18"/>
      <c r="T729" s="18"/>
    </row>
    <row r="730" spans="18:20" ht="15.75" customHeight="1">
      <c r="R730" s="18"/>
      <c r="S730" s="18"/>
      <c r="T730" s="18"/>
    </row>
    <row r="731" spans="18:20" ht="15.75" customHeight="1">
      <c r="R731" s="18"/>
      <c r="S731" s="18"/>
      <c r="T731" s="18"/>
    </row>
    <row r="732" spans="18:20" ht="15.75" customHeight="1">
      <c r="R732" s="18"/>
      <c r="S732" s="18"/>
      <c r="T732" s="18"/>
    </row>
    <row r="733" spans="18:20" ht="15.75" customHeight="1">
      <c r="R733" s="18"/>
      <c r="S733" s="18"/>
      <c r="T733" s="18"/>
    </row>
    <row r="734" spans="18:20" ht="15.75" customHeight="1">
      <c r="R734" s="18"/>
      <c r="S734" s="18"/>
      <c r="T734" s="18"/>
    </row>
    <row r="735" spans="18:20" ht="15.75" customHeight="1">
      <c r="R735" s="18"/>
      <c r="S735" s="18"/>
      <c r="T735" s="18"/>
    </row>
    <row r="736" spans="18:20" ht="15.75" customHeight="1">
      <c r="R736" s="18"/>
      <c r="S736" s="18"/>
      <c r="T736" s="18"/>
    </row>
    <row r="737" spans="18:20" ht="15.75" customHeight="1">
      <c r="R737" s="18"/>
      <c r="S737" s="18"/>
      <c r="T737" s="18"/>
    </row>
    <row r="738" spans="18:20" ht="15.75" customHeight="1">
      <c r="R738" s="18"/>
      <c r="S738" s="18"/>
      <c r="T738" s="18"/>
    </row>
    <row r="739" spans="18:20" ht="15.75" customHeight="1">
      <c r="R739" s="18"/>
      <c r="S739" s="18"/>
      <c r="T739" s="18"/>
    </row>
    <row r="740" spans="18:20" ht="15.75" customHeight="1">
      <c r="R740" s="18"/>
      <c r="S740" s="18"/>
      <c r="T740" s="18"/>
    </row>
    <row r="741" spans="18:20" ht="15.75" customHeight="1">
      <c r="R741" s="18"/>
      <c r="S741" s="18"/>
      <c r="T741" s="18"/>
    </row>
    <row r="742" spans="18:20" ht="15.75" customHeight="1">
      <c r="R742" s="18"/>
      <c r="S742" s="18"/>
      <c r="T742" s="18"/>
    </row>
    <row r="743" spans="18:20" ht="15.75" customHeight="1">
      <c r="R743" s="18"/>
      <c r="S743" s="18"/>
      <c r="T743" s="18"/>
    </row>
    <row r="744" spans="18:20" ht="15.75" customHeight="1">
      <c r="R744" s="18"/>
      <c r="S744" s="18"/>
      <c r="T744" s="18"/>
    </row>
    <row r="745" spans="18:20" ht="15.75" customHeight="1">
      <c r="R745" s="18"/>
      <c r="S745" s="18"/>
      <c r="T745" s="18"/>
    </row>
    <row r="746" spans="18:20" ht="15.75" customHeight="1">
      <c r="R746" s="18"/>
      <c r="S746" s="18"/>
      <c r="T746" s="18"/>
    </row>
    <row r="747" spans="18:20" ht="15.75" customHeight="1">
      <c r="R747" s="18"/>
      <c r="S747" s="18"/>
      <c r="T747" s="18"/>
    </row>
    <row r="748" spans="18:20" ht="15.75" customHeight="1">
      <c r="R748" s="18"/>
      <c r="S748" s="18"/>
      <c r="T748" s="18"/>
    </row>
    <row r="749" spans="18:20" ht="15.75" customHeight="1">
      <c r="R749" s="18"/>
      <c r="S749" s="18"/>
      <c r="T749" s="18"/>
    </row>
    <row r="750" spans="18:20" ht="15.75" customHeight="1">
      <c r="R750" s="18"/>
      <c r="S750" s="18"/>
      <c r="T750" s="18"/>
    </row>
    <row r="751" spans="18:20" ht="15.75" customHeight="1">
      <c r="R751" s="18"/>
      <c r="S751" s="18"/>
      <c r="T751" s="18"/>
    </row>
    <row r="752" spans="18:20" ht="15.75" customHeight="1">
      <c r="R752" s="18"/>
      <c r="S752" s="18"/>
      <c r="T752" s="18"/>
    </row>
    <row r="753" spans="18:20" ht="15.75" customHeight="1">
      <c r="R753" s="18"/>
      <c r="S753" s="18"/>
      <c r="T753" s="18"/>
    </row>
    <row r="754" spans="18:20" ht="15.75" customHeight="1">
      <c r="R754" s="18"/>
      <c r="S754" s="18"/>
      <c r="T754" s="18"/>
    </row>
    <row r="755" spans="18:20" ht="15.75" customHeight="1">
      <c r="R755" s="18"/>
      <c r="S755" s="18"/>
      <c r="T755" s="18"/>
    </row>
    <row r="756" spans="18:20" ht="15.75" customHeight="1">
      <c r="R756" s="18"/>
      <c r="S756" s="18"/>
      <c r="T756" s="18"/>
    </row>
    <row r="757" spans="18:20" ht="15.75" customHeight="1">
      <c r="R757" s="18"/>
      <c r="S757" s="18"/>
      <c r="T757" s="18"/>
    </row>
    <row r="758" spans="18:20" ht="15.75" customHeight="1">
      <c r="R758" s="18"/>
      <c r="S758" s="18"/>
      <c r="T758" s="18"/>
    </row>
    <row r="759" spans="18:20" ht="15.75" customHeight="1">
      <c r="R759" s="18"/>
      <c r="S759" s="18"/>
      <c r="T759" s="18"/>
    </row>
    <row r="760" spans="18:20" ht="15.75" customHeight="1">
      <c r="R760" s="18"/>
      <c r="S760" s="18"/>
      <c r="T760" s="18"/>
    </row>
    <row r="761" spans="18:20" ht="15.75" customHeight="1">
      <c r="R761" s="18"/>
      <c r="S761" s="18"/>
      <c r="T761" s="18"/>
    </row>
    <row r="762" spans="18:20" ht="15.75" customHeight="1">
      <c r="R762" s="18"/>
      <c r="S762" s="18"/>
      <c r="T762" s="18"/>
    </row>
    <row r="763" spans="18:20" ht="15.75" customHeight="1">
      <c r="R763" s="18"/>
      <c r="S763" s="18"/>
      <c r="T763" s="18"/>
    </row>
    <row r="764" spans="18:20" ht="15.75" customHeight="1">
      <c r="R764" s="18"/>
      <c r="S764" s="18"/>
      <c r="T764" s="18"/>
    </row>
    <row r="765" spans="18:20" ht="15.75" customHeight="1">
      <c r="R765" s="18"/>
      <c r="S765" s="18"/>
      <c r="T765" s="18"/>
    </row>
    <row r="766" spans="18:20" ht="15.75" customHeight="1">
      <c r="R766" s="18"/>
      <c r="S766" s="18"/>
      <c r="T766" s="18"/>
    </row>
    <row r="767" spans="18:20" ht="15.75" customHeight="1">
      <c r="R767" s="18"/>
      <c r="S767" s="18"/>
      <c r="T767" s="18"/>
    </row>
    <row r="768" spans="18:20" ht="15.75" customHeight="1">
      <c r="R768" s="18"/>
      <c r="S768" s="18"/>
      <c r="T768" s="18"/>
    </row>
    <row r="769" spans="18:20" ht="15.75" customHeight="1">
      <c r="R769" s="18"/>
      <c r="S769" s="18"/>
      <c r="T769" s="18"/>
    </row>
    <row r="770" spans="18:20" ht="15.75" customHeight="1">
      <c r="R770" s="18"/>
      <c r="S770" s="18"/>
      <c r="T770" s="18"/>
    </row>
    <row r="771" spans="18:20" ht="15.75" customHeight="1">
      <c r="R771" s="18"/>
      <c r="S771" s="18"/>
      <c r="T771" s="18"/>
    </row>
    <row r="772" spans="18:20" ht="15.75" customHeight="1">
      <c r="R772" s="18"/>
      <c r="S772" s="18"/>
      <c r="T772" s="18"/>
    </row>
    <row r="773" spans="18:20" ht="15.75" customHeight="1">
      <c r="R773" s="18"/>
      <c r="S773" s="18"/>
      <c r="T773" s="18"/>
    </row>
    <row r="774" spans="18:20" ht="15.75" customHeight="1">
      <c r="R774" s="18"/>
      <c r="S774" s="18"/>
      <c r="T774" s="18"/>
    </row>
    <row r="775" spans="18:20" ht="15.75" customHeight="1">
      <c r="R775" s="18"/>
      <c r="S775" s="18"/>
      <c r="T775" s="18"/>
    </row>
    <row r="776" spans="18:20" ht="15.75" customHeight="1">
      <c r="R776" s="18"/>
      <c r="S776" s="18"/>
      <c r="T776" s="18"/>
    </row>
    <row r="777" spans="18:20" ht="15.75" customHeight="1">
      <c r="R777" s="18"/>
      <c r="S777" s="18"/>
      <c r="T777" s="18"/>
    </row>
    <row r="778" spans="18:20" ht="15.75" customHeight="1">
      <c r="R778" s="18"/>
      <c r="S778" s="18"/>
      <c r="T778" s="18"/>
    </row>
    <row r="779" spans="18:20" ht="15.75" customHeight="1">
      <c r="R779" s="18"/>
      <c r="S779" s="18"/>
      <c r="T779" s="18"/>
    </row>
    <row r="780" spans="18:20" ht="15.75" customHeight="1">
      <c r="R780" s="18"/>
      <c r="S780" s="18"/>
      <c r="T780" s="18"/>
    </row>
    <row r="781" spans="18:20" ht="15.75" customHeight="1">
      <c r="R781" s="18"/>
      <c r="S781" s="18"/>
      <c r="T781" s="18"/>
    </row>
    <row r="782" spans="18:20" ht="15.75" customHeight="1">
      <c r="R782" s="18"/>
      <c r="S782" s="18"/>
      <c r="T782" s="18"/>
    </row>
    <row r="783" spans="18:20" ht="15.75" customHeight="1">
      <c r="R783" s="18"/>
      <c r="S783" s="18"/>
      <c r="T783" s="18"/>
    </row>
    <row r="784" spans="18:20" ht="15.75" customHeight="1">
      <c r="R784" s="18"/>
      <c r="S784" s="18"/>
      <c r="T784" s="18"/>
    </row>
    <row r="785" spans="18:20" ht="15.75" customHeight="1">
      <c r="R785" s="18"/>
      <c r="S785" s="18"/>
      <c r="T785" s="18"/>
    </row>
    <row r="786" spans="18:20" ht="15.75" customHeight="1">
      <c r="R786" s="18"/>
      <c r="S786" s="18"/>
      <c r="T786" s="18"/>
    </row>
    <row r="787" spans="18:20" ht="15.75" customHeight="1">
      <c r="R787" s="18"/>
      <c r="S787" s="18"/>
      <c r="T787" s="18"/>
    </row>
    <row r="788" spans="18:20" ht="15.75" customHeight="1">
      <c r="R788" s="18"/>
      <c r="S788" s="18"/>
      <c r="T788" s="18"/>
    </row>
    <row r="789" spans="18:20" ht="15.75" customHeight="1">
      <c r="R789" s="18"/>
      <c r="S789" s="18"/>
      <c r="T789" s="18"/>
    </row>
    <row r="790" spans="18:20" ht="15.75" customHeight="1">
      <c r="R790" s="18"/>
      <c r="S790" s="18"/>
      <c r="T790" s="18"/>
    </row>
    <row r="791" spans="18:20" ht="15.75" customHeight="1">
      <c r="R791" s="18"/>
      <c r="S791" s="18"/>
      <c r="T791" s="18"/>
    </row>
    <row r="792" spans="18:20" ht="15.75" customHeight="1">
      <c r="R792" s="18"/>
      <c r="S792" s="18"/>
      <c r="T792" s="18"/>
    </row>
    <row r="793" spans="18:20" ht="15.75" customHeight="1">
      <c r="R793" s="18"/>
      <c r="S793" s="18"/>
      <c r="T793" s="18"/>
    </row>
    <row r="794" spans="18:20" ht="15.75" customHeight="1">
      <c r="R794" s="18"/>
      <c r="S794" s="18"/>
      <c r="T794" s="18"/>
    </row>
    <row r="795" spans="18:20" ht="15.75" customHeight="1">
      <c r="R795" s="18"/>
      <c r="S795" s="18"/>
      <c r="T795" s="18"/>
    </row>
    <row r="796" spans="18:20" ht="15.75" customHeight="1">
      <c r="R796" s="18"/>
      <c r="S796" s="18"/>
      <c r="T796" s="18"/>
    </row>
    <row r="797" spans="18:20" ht="15.75" customHeight="1">
      <c r="R797" s="18"/>
      <c r="S797" s="18"/>
      <c r="T797" s="18"/>
    </row>
    <row r="798" spans="18:20" ht="15.75" customHeight="1">
      <c r="R798" s="18"/>
      <c r="S798" s="18"/>
      <c r="T798" s="18"/>
    </row>
    <row r="799" spans="18:20" ht="15.75" customHeight="1">
      <c r="R799" s="18"/>
      <c r="S799" s="18"/>
      <c r="T799" s="18"/>
    </row>
    <row r="800" spans="18:20" ht="15.75" customHeight="1">
      <c r="R800" s="18"/>
      <c r="S800" s="18"/>
      <c r="T800" s="18"/>
    </row>
    <row r="801" spans="18:20" ht="15.75" customHeight="1">
      <c r="R801" s="18"/>
      <c r="S801" s="18"/>
      <c r="T801" s="18"/>
    </row>
    <row r="802" spans="18:20" ht="15.75" customHeight="1">
      <c r="R802" s="18"/>
      <c r="S802" s="18"/>
      <c r="T802" s="18"/>
    </row>
    <row r="803" spans="18:20" ht="15.75" customHeight="1">
      <c r="R803" s="18"/>
      <c r="S803" s="18"/>
      <c r="T803" s="18"/>
    </row>
    <row r="804" spans="18:20" ht="15.75" customHeight="1">
      <c r="R804" s="18"/>
      <c r="S804" s="18"/>
      <c r="T804" s="18"/>
    </row>
    <row r="805" spans="18:20" ht="15.75" customHeight="1">
      <c r="R805" s="18"/>
      <c r="S805" s="18"/>
      <c r="T805" s="18"/>
    </row>
    <row r="806" spans="18:20" ht="15.75" customHeight="1">
      <c r="R806" s="18"/>
      <c r="S806" s="18"/>
      <c r="T806" s="18"/>
    </row>
    <row r="807" spans="18:20" ht="15.75" customHeight="1">
      <c r="R807" s="18"/>
      <c r="S807" s="18"/>
      <c r="T807" s="18"/>
    </row>
    <row r="808" spans="18:20" ht="15.75" customHeight="1">
      <c r="R808" s="18"/>
      <c r="S808" s="18"/>
      <c r="T808" s="18"/>
    </row>
    <row r="809" spans="18:20" ht="15.75" customHeight="1">
      <c r="R809" s="18"/>
      <c r="S809" s="18"/>
      <c r="T809" s="18"/>
    </row>
    <row r="810" spans="18:20" ht="15.75" customHeight="1">
      <c r="R810" s="18"/>
      <c r="S810" s="18"/>
      <c r="T810" s="18"/>
    </row>
    <row r="811" spans="18:20" ht="15.75" customHeight="1">
      <c r="R811" s="18"/>
      <c r="S811" s="18"/>
      <c r="T811" s="18"/>
    </row>
    <row r="812" spans="18:20" ht="15.75" customHeight="1">
      <c r="R812" s="18"/>
      <c r="S812" s="18"/>
      <c r="T812" s="18"/>
    </row>
    <row r="813" spans="18:20" ht="15.75" customHeight="1">
      <c r="R813" s="18"/>
      <c r="S813" s="18"/>
      <c r="T813" s="18"/>
    </row>
    <row r="814" spans="18:20" ht="15.75" customHeight="1">
      <c r="R814" s="18"/>
      <c r="S814" s="18"/>
      <c r="T814" s="18"/>
    </row>
    <row r="815" spans="18:20" ht="15.75" customHeight="1">
      <c r="R815" s="18"/>
      <c r="S815" s="18"/>
      <c r="T815" s="18"/>
    </row>
    <row r="816" spans="18:20" ht="15.75" customHeight="1">
      <c r="R816" s="18"/>
      <c r="S816" s="18"/>
      <c r="T816" s="18"/>
    </row>
    <row r="817" spans="18:20" ht="15.75" customHeight="1">
      <c r="R817" s="18"/>
      <c r="S817" s="18"/>
      <c r="T817" s="18"/>
    </row>
    <row r="818" spans="18:20" ht="15.75" customHeight="1">
      <c r="R818" s="18"/>
      <c r="S818" s="18"/>
      <c r="T818" s="18"/>
    </row>
    <row r="819" spans="18:20" ht="15.75" customHeight="1">
      <c r="R819" s="18"/>
      <c r="S819" s="18"/>
      <c r="T819" s="18"/>
    </row>
    <row r="820" spans="18:20" ht="15.75" customHeight="1">
      <c r="R820" s="18"/>
      <c r="S820" s="18"/>
      <c r="T820" s="18"/>
    </row>
    <row r="821" spans="18:20" ht="15.75" customHeight="1">
      <c r="R821" s="18"/>
      <c r="S821" s="18"/>
      <c r="T821" s="18"/>
    </row>
    <row r="822" spans="18:20" ht="15.75" customHeight="1">
      <c r="R822" s="18"/>
      <c r="S822" s="18"/>
      <c r="T822" s="18"/>
    </row>
    <row r="823" spans="18:20" ht="15.75" customHeight="1">
      <c r="R823" s="18"/>
      <c r="S823" s="18"/>
      <c r="T823" s="18"/>
    </row>
    <row r="824" spans="18:20" ht="15.75" customHeight="1">
      <c r="R824" s="18"/>
      <c r="S824" s="18"/>
      <c r="T824" s="18"/>
    </row>
    <row r="825" spans="18:20" ht="15.75" customHeight="1">
      <c r="R825" s="18"/>
      <c r="S825" s="18"/>
      <c r="T825" s="18"/>
    </row>
    <row r="826" spans="18:20" ht="15.75" customHeight="1">
      <c r="R826" s="18"/>
      <c r="S826" s="18"/>
      <c r="T826" s="18"/>
    </row>
    <row r="827" spans="18:20" ht="15.75" customHeight="1">
      <c r="R827" s="18"/>
      <c r="S827" s="18"/>
      <c r="T827" s="18"/>
    </row>
    <row r="828" spans="18:20" ht="15.75" customHeight="1">
      <c r="R828" s="18"/>
      <c r="S828" s="18"/>
      <c r="T828" s="18"/>
    </row>
    <row r="829" spans="18:20" ht="15.75" customHeight="1">
      <c r="R829" s="18"/>
      <c r="S829" s="18"/>
      <c r="T829" s="18"/>
    </row>
    <row r="830" spans="18:20" ht="15.75" customHeight="1">
      <c r="R830" s="18"/>
      <c r="S830" s="18"/>
      <c r="T830" s="18"/>
    </row>
    <row r="831" spans="18:20" ht="15.75" customHeight="1">
      <c r="R831" s="18"/>
      <c r="S831" s="18"/>
      <c r="T831" s="18"/>
    </row>
    <row r="832" spans="18:20" ht="15.75" customHeight="1">
      <c r="R832" s="18"/>
      <c r="S832" s="18"/>
      <c r="T832" s="18"/>
    </row>
    <row r="833" spans="18:20" ht="15.75" customHeight="1">
      <c r="R833" s="18"/>
      <c r="S833" s="18"/>
      <c r="T833" s="18"/>
    </row>
    <row r="834" spans="18:20" ht="15.75" customHeight="1">
      <c r="R834" s="18"/>
      <c r="S834" s="18"/>
      <c r="T834" s="18"/>
    </row>
    <row r="835" spans="18:20" ht="15.75" customHeight="1">
      <c r="R835" s="18"/>
      <c r="S835" s="18"/>
      <c r="T835" s="18"/>
    </row>
    <row r="836" spans="18:20" ht="15.75" customHeight="1">
      <c r="R836" s="18"/>
      <c r="S836" s="18"/>
      <c r="T836" s="18"/>
    </row>
    <row r="837" spans="18:20" ht="15.75" customHeight="1">
      <c r="R837" s="18"/>
      <c r="S837" s="18"/>
      <c r="T837" s="18"/>
    </row>
    <row r="838" spans="18:20" ht="15.75" customHeight="1">
      <c r="R838" s="18"/>
      <c r="S838" s="18"/>
      <c r="T838" s="18"/>
    </row>
    <row r="839" spans="18:20" ht="15.75" customHeight="1">
      <c r="R839" s="18"/>
      <c r="S839" s="18"/>
      <c r="T839" s="18"/>
    </row>
    <row r="840" spans="18:20" ht="15.75" customHeight="1">
      <c r="R840" s="18"/>
      <c r="S840" s="18"/>
      <c r="T840" s="18"/>
    </row>
    <row r="841" spans="18:20" ht="15.75" customHeight="1">
      <c r="R841" s="18"/>
      <c r="S841" s="18"/>
      <c r="T841" s="18"/>
    </row>
    <row r="842" spans="18:20" ht="15.75" customHeight="1">
      <c r="R842" s="18"/>
      <c r="S842" s="18"/>
      <c r="T842" s="18"/>
    </row>
    <row r="843" spans="18:20" ht="15.75" customHeight="1">
      <c r="R843" s="18"/>
      <c r="S843" s="18"/>
      <c r="T843" s="18"/>
    </row>
    <row r="844" spans="18:20" ht="15.75" customHeight="1">
      <c r="R844" s="18"/>
      <c r="S844" s="18"/>
      <c r="T844" s="18"/>
    </row>
    <row r="845" spans="18:20" ht="15.75" customHeight="1">
      <c r="R845" s="18"/>
      <c r="S845" s="18"/>
      <c r="T845" s="18"/>
    </row>
    <row r="846" spans="18:20" ht="15.75" customHeight="1">
      <c r="R846" s="18"/>
      <c r="S846" s="18"/>
      <c r="T846" s="18"/>
    </row>
    <row r="847" spans="18:20" ht="15.75" customHeight="1">
      <c r="R847" s="18"/>
      <c r="S847" s="18"/>
      <c r="T847" s="18"/>
    </row>
    <row r="848" spans="18:20" ht="15.75" customHeight="1">
      <c r="R848" s="18"/>
      <c r="S848" s="18"/>
      <c r="T848" s="18"/>
    </row>
    <row r="849" spans="18:20" ht="15.75" customHeight="1">
      <c r="R849" s="18"/>
      <c r="S849" s="18"/>
      <c r="T849" s="18"/>
    </row>
    <row r="850" spans="18:20" ht="15.75" customHeight="1">
      <c r="R850" s="18"/>
      <c r="S850" s="18"/>
      <c r="T850" s="18"/>
    </row>
    <row r="851" spans="18:20" ht="15.75" customHeight="1">
      <c r="R851" s="18"/>
      <c r="S851" s="18"/>
      <c r="T851" s="18"/>
    </row>
    <row r="852" spans="18:20" ht="15.75" customHeight="1">
      <c r="R852" s="18"/>
      <c r="S852" s="18"/>
      <c r="T852" s="18"/>
    </row>
    <row r="853" spans="18:20" ht="15.75" customHeight="1">
      <c r="R853" s="18"/>
      <c r="S853" s="18"/>
      <c r="T853" s="18"/>
    </row>
    <row r="854" spans="18:20" ht="15.75" customHeight="1">
      <c r="R854" s="18"/>
      <c r="S854" s="18"/>
      <c r="T854" s="18"/>
    </row>
    <row r="855" spans="18:20" ht="15.75" customHeight="1">
      <c r="R855" s="18"/>
      <c r="S855" s="18"/>
      <c r="T855" s="18"/>
    </row>
    <row r="856" spans="18:20" ht="15.75" customHeight="1">
      <c r="R856" s="18"/>
      <c r="S856" s="18"/>
      <c r="T856" s="18"/>
    </row>
    <row r="857" spans="18:20" ht="15.75" customHeight="1">
      <c r="R857" s="18"/>
      <c r="S857" s="18"/>
      <c r="T857" s="18"/>
    </row>
    <row r="858" spans="18:20" ht="15.75" customHeight="1">
      <c r="R858" s="18"/>
      <c r="S858" s="18"/>
      <c r="T858" s="18"/>
    </row>
    <row r="859" spans="18:20" ht="15.75" customHeight="1">
      <c r="R859" s="18"/>
      <c r="S859" s="18"/>
      <c r="T859" s="18"/>
    </row>
    <row r="860" spans="18:20" ht="15.75" customHeight="1">
      <c r="R860" s="18"/>
      <c r="S860" s="18"/>
      <c r="T860" s="18"/>
    </row>
    <row r="861" spans="18:20" ht="15.75" customHeight="1">
      <c r="R861" s="18"/>
      <c r="S861" s="18"/>
      <c r="T861" s="18"/>
    </row>
    <row r="862" spans="18:20" ht="15.75" customHeight="1">
      <c r="R862" s="18"/>
      <c r="S862" s="18"/>
      <c r="T862" s="18"/>
    </row>
    <row r="863" spans="18:20" ht="15.75" customHeight="1">
      <c r="R863" s="18"/>
      <c r="S863" s="18"/>
      <c r="T863" s="18"/>
    </row>
    <row r="864" spans="18:20" ht="15.75" customHeight="1">
      <c r="R864" s="18"/>
      <c r="S864" s="18"/>
      <c r="T864" s="18"/>
    </row>
    <row r="865" spans="18:20" ht="15.75" customHeight="1">
      <c r="R865" s="18"/>
      <c r="S865" s="18"/>
      <c r="T865" s="18"/>
    </row>
    <row r="866" spans="18:20" ht="15.75" customHeight="1">
      <c r="R866" s="18"/>
      <c r="S866" s="18"/>
      <c r="T866" s="18"/>
    </row>
    <row r="867" spans="18:20" ht="15.75" customHeight="1">
      <c r="R867" s="18"/>
      <c r="S867" s="18"/>
      <c r="T867" s="18"/>
    </row>
    <row r="868" spans="18:20" ht="15.75" customHeight="1">
      <c r="R868" s="18"/>
      <c r="S868" s="18"/>
      <c r="T868" s="18"/>
    </row>
    <row r="869" spans="18:20" ht="15.75" customHeight="1">
      <c r="R869" s="18"/>
      <c r="S869" s="18"/>
      <c r="T869" s="18"/>
    </row>
    <row r="870" spans="18:20" ht="15.75" customHeight="1">
      <c r="R870" s="18"/>
      <c r="S870" s="18"/>
      <c r="T870" s="18"/>
    </row>
    <row r="871" spans="18:20" ht="15.75" customHeight="1">
      <c r="R871" s="18"/>
      <c r="S871" s="18"/>
      <c r="T871" s="18"/>
    </row>
    <row r="872" spans="18:20" ht="15.75" customHeight="1">
      <c r="R872" s="18"/>
      <c r="S872" s="18"/>
      <c r="T872" s="18"/>
    </row>
    <row r="873" spans="18:20" ht="15.75" customHeight="1">
      <c r="R873" s="18"/>
      <c r="S873" s="18"/>
      <c r="T873" s="18"/>
    </row>
    <row r="874" spans="18:20" ht="15.75" customHeight="1">
      <c r="R874" s="18"/>
      <c r="S874" s="18"/>
      <c r="T874" s="18"/>
    </row>
    <row r="875" spans="18:20" ht="15.75" customHeight="1">
      <c r="R875" s="18"/>
      <c r="S875" s="18"/>
      <c r="T875" s="18"/>
    </row>
    <row r="876" spans="18:20" ht="15.75" customHeight="1">
      <c r="R876" s="18"/>
      <c r="S876" s="18"/>
      <c r="T876" s="18"/>
    </row>
    <row r="877" spans="18:20" ht="15.75" customHeight="1">
      <c r="R877" s="18"/>
      <c r="S877" s="18"/>
      <c r="T877" s="18"/>
    </row>
    <row r="878" spans="18:20" ht="15.75" customHeight="1">
      <c r="R878" s="18"/>
      <c r="S878" s="18"/>
      <c r="T878" s="18"/>
    </row>
    <row r="879" spans="18:20" ht="15.75" customHeight="1">
      <c r="R879" s="18"/>
      <c r="S879" s="18"/>
      <c r="T879" s="18"/>
    </row>
    <row r="880" spans="18:20" ht="15.75" customHeight="1">
      <c r="R880" s="18"/>
      <c r="S880" s="18"/>
      <c r="T880" s="18"/>
    </row>
    <row r="881" spans="18:20" ht="15.75" customHeight="1">
      <c r="R881" s="18"/>
      <c r="S881" s="18"/>
      <c r="T881" s="18"/>
    </row>
    <row r="882" spans="18:20" ht="15.75" customHeight="1">
      <c r="R882" s="18"/>
      <c r="S882" s="18"/>
      <c r="T882" s="18"/>
    </row>
    <row r="883" spans="18:20" ht="15.75" customHeight="1">
      <c r="R883" s="18"/>
      <c r="S883" s="18"/>
      <c r="T883" s="18"/>
    </row>
    <row r="884" spans="18:20" ht="15.75" customHeight="1">
      <c r="R884" s="18"/>
      <c r="S884" s="18"/>
      <c r="T884" s="18"/>
    </row>
    <row r="885" spans="18:20" ht="15.75" customHeight="1">
      <c r="R885" s="18"/>
      <c r="S885" s="18"/>
      <c r="T885" s="18"/>
    </row>
    <row r="886" spans="18:20" ht="15.75" customHeight="1">
      <c r="R886" s="18"/>
      <c r="S886" s="18"/>
      <c r="T886" s="18"/>
    </row>
    <row r="887" spans="18:20" ht="15.75" customHeight="1">
      <c r="R887" s="18"/>
      <c r="S887" s="18"/>
      <c r="T887" s="18"/>
    </row>
    <row r="888" spans="18:20" ht="15.75" customHeight="1">
      <c r="R888" s="18"/>
      <c r="S888" s="18"/>
      <c r="T888" s="18"/>
    </row>
    <row r="889" spans="18:20" ht="15.75" customHeight="1">
      <c r="R889" s="18"/>
      <c r="S889" s="18"/>
      <c r="T889" s="18"/>
    </row>
    <row r="890" spans="18:20" ht="15.75" customHeight="1">
      <c r="R890" s="18"/>
      <c r="S890" s="18"/>
      <c r="T890" s="18"/>
    </row>
    <row r="891" spans="18:20" ht="15.75" customHeight="1">
      <c r="R891" s="18"/>
      <c r="S891" s="18"/>
      <c r="T891" s="18"/>
    </row>
    <row r="892" spans="18:20" ht="15.75" customHeight="1">
      <c r="R892" s="18"/>
      <c r="S892" s="18"/>
      <c r="T892" s="18"/>
    </row>
    <row r="893" spans="18:20" ht="15.75" customHeight="1">
      <c r="R893" s="18"/>
      <c r="S893" s="18"/>
      <c r="T893" s="18"/>
    </row>
    <row r="894" spans="18:20" ht="15.75" customHeight="1">
      <c r="R894" s="18"/>
      <c r="S894" s="18"/>
      <c r="T894" s="18"/>
    </row>
    <row r="895" spans="18:20" ht="15.75" customHeight="1">
      <c r="R895" s="18"/>
      <c r="S895" s="18"/>
      <c r="T895" s="18"/>
    </row>
    <row r="896" spans="18:20" ht="15.75" customHeight="1">
      <c r="R896" s="18"/>
      <c r="S896" s="18"/>
      <c r="T896" s="18"/>
    </row>
    <row r="897" spans="18:20" ht="15.75" customHeight="1">
      <c r="R897" s="18"/>
      <c r="S897" s="18"/>
      <c r="T897" s="18"/>
    </row>
    <row r="898" spans="18:20" ht="15.75" customHeight="1">
      <c r="R898" s="18"/>
      <c r="S898" s="18"/>
      <c r="T898" s="18"/>
    </row>
    <row r="899" spans="18:20" ht="15.75" customHeight="1">
      <c r="R899" s="18"/>
      <c r="S899" s="18"/>
      <c r="T899" s="18"/>
    </row>
    <row r="900" spans="18:20" ht="15.75" customHeight="1">
      <c r="R900" s="18"/>
      <c r="S900" s="18"/>
      <c r="T900" s="18"/>
    </row>
    <row r="901" spans="18:20" ht="15.75" customHeight="1">
      <c r="R901" s="18"/>
      <c r="S901" s="18"/>
      <c r="T901" s="18"/>
    </row>
    <row r="902" spans="18:20" ht="15.75" customHeight="1">
      <c r="R902" s="18"/>
      <c r="S902" s="18"/>
      <c r="T902" s="18"/>
    </row>
    <row r="903" spans="18:20" ht="15.75" customHeight="1">
      <c r="R903" s="18"/>
      <c r="S903" s="18"/>
      <c r="T903" s="18"/>
    </row>
    <row r="904" spans="18:20" ht="15.75" customHeight="1">
      <c r="R904" s="18"/>
      <c r="S904" s="18"/>
      <c r="T904" s="18"/>
    </row>
    <row r="905" spans="18:20" ht="15.75" customHeight="1">
      <c r="R905" s="18"/>
      <c r="S905" s="18"/>
      <c r="T905" s="18"/>
    </row>
    <row r="906" spans="18:20" ht="15.75" customHeight="1">
      <c r="R906" s="18"/>
      <c r="S906" s="18"/>
      <c r="T906" s="18"/>
    </row>
    <row r="907" spans="18:20" ht="15.75" customHeight="1">
      <c r="R907" s="18"/>
      <c r="S907" s="18"/>
      <c r="T907" s="18"/>
    </row>
    <row r="908" spans="18:20" ht="15.75" customHeight="1">
      <c r="R908" s="18"/>
      <c r="S908" s="18"/>
      <c r="T908" s="18"/>
    </row>
    <row r="909" spans="18:20" ht="15.75" customHeight="1">
      <c r="R909" s="18"/>
      <c r="S909" s="18"/>
      <c r="T909" s="18"/>
    </row>
    <row r="910" spans="18:20" ht="15.75" customHeight="1">
      <c r="R910" s="18"/>
      <c r="S910" s="18"/>
      <c r="T910" s="18"/>
    </row>
    <row r="911" spans="18:20" ht="15.75" customHeight="1">
      <c r="R911" s="18"/>
      <c r="S911" s="18"/>
      <c r="T911" s="18"/>
    </row>
    <row r="912" spans="18:20" ht="15.75" customHeight="1">
      <c r="R912" s="18"/>
      <c r="S912" s="18"/>
      <c r="T912" s="18"/>
    </row>
    <row r="913" spans="18:20" ht="15.75" customHeight="1">
      <c r="R913" s="18"/>
      <c r="S913" s="18"/>
      <c r="T913" s="18"/>
    </row>
    <row r="914" spans="18:20" ht="15.75" customHeight="1">
      <c r="R914" s="18"/>
      <c r="S914" s="18"/>
      <c r="T914" s="18"/>
    </row>
    <row r="915" spans="18:20" ht="15.75" customHeight="1">
      <c r="R915" s="18"/>
      <c r="S915" s="18"/>
      <c r="T915" s="18"/>
    </row>
    <row r="916" spans="18:20" ht="15.75" customHeight="1">
      <c r="R916" s="18"/>
      <c r="S916" s="18"/>
      <c r="T916" s="18"/>
    </row>
    <row r="917" spans="18:20" ht="15.75" customHeight="1">
      <c r="R917" s="18"/>
      <c r="S917" s="18"/>
      <c r="T917" s="18"/>
    </row>
    <row r="918" spans="18:20" ht="15.75" customHeight="1">
      <c r="R918" s="18"/>
      <c r="S918" s="18"/>
      <c r="T918" s="18"/>
    </row>
    <row r="919" spans="18:20" ht="15.75" customHeight="1">
      <c r="R919" s="18"/>
      <c r="S919" s="18"/>
      <c r="T919" s="18"/>
    </row>
    <row r="920" spans="18:20" ht="15.75" customHeight="1">
      <c r="R920" s="18"/>
      <c r="S920" s="18"/>
      <c r="T920" s="18"/>
    </row>
    <row r="921" spans="18:20" ht="15.75" customHeight="1">
      <c r="R921" s="18"/>
      <c r="S921" s="18"/>
      <c r="T921" s="18"/>
    </row>
    <row r="922" spans="18:20" ht="15.75" customHeight="1">
      <c r="R922" s="18"/>
      <c r="S922" s="18"/>
      <c r="T922" s="18"/>
    </row>
    <row r="923" spans="18:20" ht="15.75" customHeight="1">
      <c r="R923" s="18"/>
      <c r="S923" s="18"/>
      <c r="T923" s="18"/>
    </row>
    <row r="924" spans="18:20" ht="15.75" customHeight="1">
      <c r="R924" s="18"/>
      <c r="S924" s="18"/>
      <c r="T924" s="18"/>
    </row>
    <row r="925" spans="18:20" ht="15.75" customHeight="1">
      <c r="R925" s="18"/>
      <c r="S925" s="18"/>
      <c r="T925" s="18"/>
    </row>
    <row r="926" spans="18:20" ht="15.75" customHeight="1">
      <c r="R926" s="18"/>
      <c r="S926" s="18"/>
      <c r="T926" s="18"/>
    </row>
    <row r="927" spans="18:20" ht="15.75" customHeight="1">
      <c r="R927" s="18"/>
      <c r="S927" s="18"/>
      <c r="T927" s="18"/>
    </row>
    <row r="928" spans="18:20" ht="15.75" customHeight="1">
      <c r="R928" s="18"/>
      <c r="S928" s="18"/>
      <c r="T928" s="18"/>
    </row>
    <row r="929" spans="18:20" ht="15.75" customHeight="1">
      <c r="R929" s="18"/>
      <c r="S929" s="18"/>
      <c r="T929" s="18"/>
    </row>
    <row r="930" spans="18:20" ht="15.75" customHeight="1">
      <c r="R930" s="18"/>
      <c r="S930" s="18"/>
      <c r="T930" s="18"/>
    </row>
    <row r="931" spans="18:20" ht="15.75" customHeight="1">
      <c r="R931" s="18"/>
      <c r="S931" s="18"/>
      <c r="T931" s="18"/>
    </row>
    <row r="932" spans="18:20" ht="15.75" customHeight="1">
      <c r="R932" s="18"/>
      <c r="S932" s="18"/>
      <c r="T932" s="18"/>
    </row>
    <row r="933" spans="18:20" ht="15.75" customHeight="1">
      <c r="R933" s="18"/>
      <c r="S933" s="18"/>
      <c r="T933" s="18"/>
    </row>
    <row r="934" spans="18:20" ht="15.75" customHeight="1">
      <c r="R934" s="18"/>
      <c r="S934" s="18"/>
      <c r="T934" s="18"/>
    </row>
    <row r="935" spans="18:20" ht="15.75" customHeight="1">
      <c r="R935" s="18"/>
      <c r="S935" s="18"/>
      <c r="T935" s="18"/>
    </row>
    <row r="936" spans="18:20" ht="15.75" customHeight="1">
      <c r="R936" s="18"/>
      <c r="S936" s="18"/>
      <c r="T936" s="18"/>
    </row>
    <row r="937" spans="18:20" ht="15.75" customHeight="1">
      <c r="R937" s="18"/>
      <c r="S937" s="18"/>
      <c r="T937" s="18"/>
    </row>
    <row r="938" spans="18:20" ht="15.75" customHeight="1">
      <c r="R938" s="18"/>
      <c r="S938" s="18"/>
      <c r="T938" s="18"/>
    </row>
    <row r="939" spans="18:20" ht="15.75" customHeight="1">
      <c r="R939" s="18"/>
      <c r="S939" s="18"/>
      <c r="T939" s="18"/>
    </row>
    <row r="940" spans="18:20" ht="15.75" customHeight="1">
      <c r="R940" s="18"/>
      <c r="S940" s="18"/>
      <c r="T940" s="18"/>
    </row>
    <row r="941" spans="18:20" ht="15.75" customHeight="1">
      <c r="R941" s="18"/>
      <c r="S941" s="18"/>
      <c r="T941" s="18"/>
    </row>
    <row r="942" spans="18:20" ht="15.75" customHeight="1">
      <c r="R942" s="18"/>
      <c r="S942" s="18"/>
      <c r="T942" s="18"/>
    </row>
    <row r="943" spans="18:20" ht="15.75" customHeight="1">
      <c r="R943" s="18"/>
      <c r="S943" s="18"/>
      <c r="T943" s="18"/>
    </row>
    <row r="944" spans="18:20" ht="15.75" customHeight="1">
      <c r="R944" s="18"/>
      <c r="S944" s="18"/>
      <c r="T944" s="18"/>
    </row>
    <row r="945" spans="18:20" ht="15.75" customHeight="1">
      <c r="R945" s="18"/>
      <c r="S945" s="18"/>
      <c r="T945" s="18"/>
    </row>
    <row r="946" spans="18:20" ht="15.75" customHeight="1">
      <c r="R946" s="18"/>
      <c r="S946" s="18"/>
      <c r="T946" s="18"/>
    </row>
    <row r="947" spans="18:20" ht="15.75" customHeight="1">
      <c r="R947" s="18"/>
      <c r="S947" s="18"/>
      <c r="T947" s="18"/>
    </row>
    <row r="948" spans="18:20" ht="15.75" customHeight="1">
      <c r="R948" s="18"/>
      <c r="S948" s="18"/>
      <c r="T948" s="18"/>
    </row>
    <row r="949" spans="18:20" ht="15.75" customHeight="1">
      <c r="R949" s="18"/>
      <c r="S949" s="18"/>
      <c r="T949" s="18"/>
    </row>
    <row r="950" spans="18:20" ht="15.75" customHeight="1">
      <c r="R950" s="18"/>
      <c r="S950" s="18"/>
      <c r="T950" s="18"/>
    </row>
    <row r="951" spans="18:20" ht="15.75" customHeight="1">
      <c r="R951" s="18"/>
      <c r="S951" s="18"/>
      <c r="T951" s="18"/>
    </row>
    <row r="952" spans="18:20" ht="15.75" customHeight="1">
      <c r="R952" s="18"/>
      <c r="S952" s="18"/>
      <c r="T952" s="18"/>
    </row>
    <row r="953" spans="18:20" ht="15.75" customHeight="1">
      <c r="R953" s="18"/>
      <c r="S953" s="18"/>
      <c r="T953" s="18"/>
    </row>
    <row r="954" spans="18:20" ht="15.75" customHeight="1">
      <c r="R954" s="18"/>
      <c r="S954" s="18"/>
      <c r="T954" s="18"/>
    </row>
    <row r="955" spans="18:20" ht="15.75" customHeight="1">
      <c r="R955" s="18"/>
      <c r="S955" s="18"/>
      <c r="T955" s="18"/>
    </row>
    <row r="956" spans="18:20" ht="15.75" customHeight="1">
      <c r="R956" s="18"/>
      <c r="S956" s="18"/>
      <c r="T956" s="18"/>
    </row>
    <row r="957" spans="18:20" ht="15.75" customHeight="1">
      <c r="R957" s="18"/>
      <c r="S957" s="18"/>
      <c r="T957" s="18"/>
    </row>
    <row r="958" spans="18:20" ht="15.75" customHeight="1">
      <c r="R958" s="18"/>
      <c r="S958" s="18"/>
      <c r="T958" s="18"/>
    </row>
    <row r="959" spans="18:20" ht="15.75" customHeight="1">
      <c r="R959" s="18"/>
      <c r="S959" s="18"/>
      <c r="T959" s="18"/>
    </row>
    <row r="960" spans="18:20" ht="15.75" customHeight="1">
      <c r="R960" s="18"/>
      <c r="S960" s="18"/>
      <c r="T960" s="18"/>
    </row>
    <row r="961" spans="18:20" ht="15.75" customHeight="1">
      <c r="R961" s="18"/>
      <c r="S961" s="18"/>
      <c r="T961" s="18"/>
    </row>
    <row r="962" spans="18:20" ht="15.75" customHeight="1">
      <c r="R962" s="18"/>
      <c r="S962" s="18"/>
      <c r="T962" s="18"/>
    </row>
    <row r="963" spans="18:20" ht="15.75" customHeight="1">
      <c r="R963" s="18"/>
      <c r="S963" s="18"/>
      <c r="T963" s="18"/>
    </row>
    <row r="964" spans="18:20" ht="15.75" customHeight="1">
      <c r="R964" s="18"/>
      <c r="S964" s="18"/>
      <c r="T964" s="18"/>
    </row>
    <row r="965" spans="18:20" ht="15.75" customHeight="1">
      <c r="R965" s="18"/>
      <c r="S965" s="18"/>
      <c r="T965" s="18"/>
    </row>
    <row r="966" spans="18:20" ht="15.75" customHeight="1">
      <c r="R966" s="18"/>
      <c r="S966" s="18"/>
      <c r="T966" s="18"/>
    </row>
    <row r="967" spans="18:20" ht="15.75" customHeight="1">
      <c r="R967" s="18"/>
      <c r="S967" s="18"/>
      <c r="T967" s="18"/>
    </row>
    <row r="968" spans="18:20" ht="15.75" customHeight="1">
      <c r="R968" s="18"/>
      <c r="S968" s="18"/>
      <c r="T968" s="18"/>
    </row>
    <row r="969" spans="18:20" ht="15.75" customHeight="1">
      <c r="R969" s="18"/>
      <c r="S969" s="18"/>
      <c r="T969" s="18"/>
    </row>
    <row r="970" spans="18:20" ht="15.75" customHeight="1">
      <c r="R970" s="18"/>
      <c r="S970" s="18"/>
      <c r="T970" s="18"/>
    </row>
    <row r="971" spans="18:20" ht="15.75" customHeight="1">
      <c r="R971" s="18"/>
      <c r="S971" s="18"/>
      <c r="T971" s="18"/>
    </row>
    <row r="972" spans="18:20" ht="15.75" customHeight="1">
      <c r="R972" s="18"/>
      <c r="S972" s="18"/>
      <c r="T972" s="18"/>
    </row>
    <row r="973" spans="18:20" ht="15.75" customHeight="1">
      <c r="R973" s="18"/>
      <c r="S973" s="18"/>
      <c r="T973" s="18"/>
    </row>
    <row r="974" spans="18:20" ht="15.75" customHeight="1">
      <c r="R974" s="18"/>
      <c r="S974" s="18"/>
      <c r="T974" s="18"/>
    </row>
    <row r="975" spans="18:20" ht="15.75" customHeight="1">
      <c r="R975" s="18"/>
      <c r="S975" s="18"/>
      <c r="T975" s="18"/>
    </row>
    <row r="976" spans="18:20" ht="15.75" customHeight="1">
      <c r="R976" s="18"/>
      <c r="S976" s="18"/>
      <c r="T976" s="18"/>
    </row>
    <row r="977" spans="18:20" ht="15.75" customHeight="1">
      <c r="R977" s="18"/>
      <c r="S977" s="18"/>
      <c r="T977" s="18"/>
    </row>
    <row r="978" spans="18:20" ht="15.75" customHeight="1">
      <c r="R978" s="18"/>
      <c r="S978" s="18"/>
      <c r="T978" s="18"/>
    </row>
    <row r="979" spans="18:20" ht="15.75" customHeight="1">
      <c r="R979" s="18"/>
      <c r="S979" s="18"/>
      <c r="T979" s="18"/>
    </row>
    <row r="980" spans="18:20" ht="15.75" customHeight="1">
      <c r="R980" s="18"/>
      <c r="S980" s="18"/>
      <c r="T980" s="18"/>
    </row>
    <row r="981" spans="18:20" ht="15.75" customHeight="1">
      <c r="R981" s="18"/>
      <c r="S981" s="18"/>
      <c r="T981" s="18"/>
    </row>
    <row r="982" spans="18:20" ht="15.75" customHeight="1">
      <c r="R982" s="18"/>
      <c r="S982" s="18"/>
      <c r="T982" s="18"/>
    </row>
    <row r="983" spans="18:20" ht="15.75" customHeight="1">
      <c r="R983" s="18"/>
      <c r="S983" s="18"/>
      <c r="T983" s="18"/>
    </row>
    <row r="984" spans="18:20" ht="15.75" customHeight="1">
      <c r="R984" s="18"/>
      <c r="S984" s="18"/>
      <c r="T984" s="18"/>
    </row>
    <row r="985" spans="18:20" ht="15.75" customHeight="1">
      <c r="R985" s="18"/>
      <c r="S985" s="18"/>
      <c r="T985" s="18"/>
    </row>
    <row r="986" spans="18:20" ht="15.75" customHeight="1">
      <c r="R986" s="18"/>
      <c r="S986" s="18"/>
      <c r="T986" s="18"/>
    </row>
    <row r="987" spans="18:20" ht="15.75" customHeight="1">
      <c r="R987" s="18"/>
      <c r="S987" s="18"/>
      <c r="T987" s="18"/>
    </row>
    <row r="988" spans="18:20" ht="15.75" customHeight="1">
      <c r="R988" s="18"/>
      <c r="S988" s="18"/>
      <c r="T988" s="18"/>
    </row>
    <row r="989" spans="18:20" ht="15.75" customHeight="1">
      <c r="R989" s="18"/>
      <c r="S989" s="18"/>
      <c r="T989" s="18"/>
    </row>
    <row r="990" spans="18:20" ht="15.75" customHeight="1">
      <c r="R990" s="18"/>
      <c r="S990" s="18"/>
      <c r="T990" s="18"/>
    </row>
    <row r="991" spans="18:20" ht="15.75" customHeight="1">
      <c r="R991" s="18"/>
      <c r="S991" s="18"/>
      <c r="T991" s="18"/>
    </row>
    <row r="992" spans="18:20" ht="15.75" customHeight="1">
      <c r="R992" s="18"/>
      <c r="S992" s="18"/>
      <c r="T992" s="18"/>
    </row>
    <row r="993" spans="18:20" ht="15.75" customHeight="1">
      <c r="R993" s="18"/>
      <c r="S993" s="18"/>
      <c r="T993" s="18"/>
    </row>
    <row r="994" spans="18:20" ht="15.75" customHeight="1">
      <c r="R994" s="18"/>
      <c r="S994" s="18"/>
      <c r="T994" s="18"/>
    </row>
    <row r="995" spans="18:20" ht="15.75" customHeight="1">
      <c r="R995" s="18"/>
      <c r="S995" s="18"/>
      <c r="T995" s="18"/>
    </row>
    <row r="996" spans="18:20" ht="15.75" customHeight="1">
      <c r="R996" s="18"/>
      <c r="S996" s="18"/>
      <c r="T996" s="18"/>
    </row>
    <row r="997" spans="18:20" ht="15.75" customHeight="1">
      <c r="R997" s="18"/>
      <c r="S997" s="18"/>
      <c r="T997" s="18"/>
    </row>
    <row r="998" spans="18:20" ht="15.75" customHeight="1">
      <c r="R998" s="18"/>
      <c r="S998" s="18"/>
      <c r="T998" s="18"/>
    </row>
    <row r="999" spans="18:20" ht="15.75" customHeight="1">
      <c r="R999" s="18"/>
      <c r="S999" s="18"/>
      <c r="T999" s="18"/>
    </row>
    <row r="1000" spans="18:20" ht="15.75" customHeight="1">
      <c r="R1000" s="18"/>
      <c r="S1000" s="18"/>
      <c r="T1000" s="18"/>
    </row>
    <row r="1001" spans="18:20" ht="15.75" customHeight="1">
      <c r="R1001" s="18"/>
      <c r="S1001" s="18"/>
      <c r="T1001" s="18"/>
    </row>
    <row r="1002" spans="18:20" ht="15.75" customHeight="1">
      <c r="R1002" s="18"/>
      <c r="S1002" s="18"/>
      <c r="T1002" s="18"/>
    </row>
    <row r="1003" spans="18:20" ht="15.75" customHeight="1">
      <c r="R1003" s="18"/>
      <c r="S1003" s="18"/>
      <c r="T1003" s="18"/>
    </row>
    <row r="1004" spans="18:20" ht="15.75" customHeight="1">
      <c r="R1004" s="18"/>
      <c r="S1004" s="18"/>
      <c r="T1004" s="18"/>
    </row>
    <row r="1005" spans="18:20" ht="15.75" customHeight="1">
      <c r="R1005" s="18"/>
      <c r="S1005" s="18"/>
      <c r="T1005" s="18"/>
    </row>
    <row r="1006" spans="18:20" ht="15.75" customHeight="1">
      <c r="R1006" s="18"/>
      <c r="S1006" s="18"/>
      <c r="T1006" s="18"/>
    </row>
    <row r="1007" spans="18:20" ht="15.75" customHeight="1">
      <c r="R1007" s="18"/>
      <c r="S1007" s="18"/>
      <c r="T1007" s="18"/>
    </row>
    <row r="1008" spans="18:20" ht="15.75" customHeight="1">
      <c r="R1008" s="18"/>
      <c r="S1008" s="18"/>
      <c r="T1008" s="18"/>
    </row>
    <row r="1009" spans="18:20" ht="15.75" customHeight="1">
      <c r="R1009" s="18"/>
      <c r="S1009" s="18"/>
      <c r="T1009" s="18"/>
    </row>
    <row r="1010" spans="18:20" ht="15.75" customHeight="1">
      <c r="R1010" s="18"/>
      <c r="S1010" s="18"/>
      <c r="T1010" s="18"/>
    </row>
    <row r="1011" spans="18:20" ht="15.75" customHeight="1">
      <c r="R1011" s="18"/>
      <c r="S1011" s="18"/>
      <c r="T1011" s="18"/>
    </row>
    <row r="1012" spans="18:20" ht="15.75" customHeight="1">
      <c r="R1012" s="18"/>
      <c r="S1012" s="18"/>
      <c r="T1012" s="18"/>
    </row>
    <row r="1013" spans="18:20" ht="15.75" customHeight="1">
      <c r="R1013" s="18"/>
      <c r="S1013" s="18"/>
      <c r="T1013" s="18"/>
    </row>
    <row r="1014" spans="18:20" ht="15.75" customHeight="1">
      <c r="R1014" s="18"/>
      <c r="S1014" s="18"/>
      <c r="T1014" s="18"/>
    </row>
    <row r="1015" spans="18:20" ht="15.75" customHeight="1">
      <c r="R1015" s="18"/>
      <c r="S1015" s="18"/>
      <c r="T1015" s="18"/>
    </row>
    <row r="1016" spans="18:20" ht="15.75" customHeight="1">
      <c r="R1016" s="18"/>
      <c r="S1016" s="18"/>
      <c r="T1016" s="18"/>
    </row>
    <row r="1017" spans="18:20" ht="15.75" customHeight="1">
      <c r="R1017" s="18"/>
      <c r="S1017" s="18"/>
      <c r="T1017" s="18"/>
    </row>
    <row r="1018" spans="18:20" ht="15.75" customHeight="1">
      <c r="R1018" s="18"/>
      <c r="S1018" s="18"/>
      <c r="T1018" s="18"/>
    </row>
    <row r="1019" spans="18:20" ht="15.75" customHeight="1">
      <c r="R1019" s="18"/>
      <c r="S1019" s="18"/>
      <c r="T1019" s="18"/>
    </row>
    <row r="1020" spans="18:20" ht="15.75" customHeight="1">
      <c r="R1020" s="18"/>
      <c r="S1020" s="18"/>
      <c r="T1020" s="1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topLeftCell="A41" zoomScale="150" zoomScaleNormal="150" zoomScalePageLayoutView="150" workbookViewId="0">
      <selection activeCell="Q55" sqref="Q55"/>
    </sheetView>
  </sheetViews>
  <sheetFormatPr baseColWidth="10" defaultRowHeight="12" x14ac:dyDescent="0"/>
  <cols>
    <col min="4" max="9" width="0" hidden="1" customWidth="1"/>
  </cols>
  <sheetData>
    <row r="1" spans="1:18">
      <c r="A1" s="1"/>
      <c r="B1" s="2"/>
      <c r="C1" s="2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5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7" t="s">
        <v>13</v>
      </c>
      <c r="Q1" s="8" t="s">
        <v>14</v>
      </c>
    </row>
    <row r="2" spans="1:18">
      <c r="A2" s="1">
        <v>42138</v>
      </c>
      <c r="B2" s="2" t="s">
        <v>57</v>
      </c>
      <c r="C2" s="2" t="s">
        <v>15</v>
      </c>
      <c r="D2" s="11">
        <v>0</v>
      </c>
      <c r="E2" s="12">
        <v>15</v>
      </c>
      <c r="F2" s="12">
        <v>0</v>
      </c>
      <c r="G2" s="12">
        <v>1</v>
      </c>
      <c r="H2" s="13">
        <v>87</v>
      </c>
      <c r="I2" s="14">
        <v>12</v>
      </c>
      <c r="J2" s="149">
        <v>15</v>
      </c>
      <c r="K2" s="149">
        <v>113</v>
      </c>
      <c r="L2" s="139">
        <v>17</v>
      </c>
      <c r="M2" s="139">
        <v>45</v>
      </c>
      <c r="N2" s="13">
        <v>49</v>
      </c>
      <c r="O2" s="143">
        <v>39</v>
      </c>
      <c r="P2" s="16">
        <f>1/6</f>
        <v>0.16666666666666666</v>
      </c>
      <c r="Q2" s="17">
        <f t="shared" ref="Q2:Q4" si="0">AVERAGE(P2,P5,P8,P11,P14,P17,P20,P23,P26)</f>
        <v>0.14814814814814814</v>
      </c>
      <c r="R2">
        <f>1-Q2</f>
        <v>0.85185185185185186</v>
      </c>
    </row>
    <row r="3" spans="1:18">
      <c r="A3" s="10"/>
      <c r="B3" s="10"/>
      <c r="C3" s="2" t="s">
        <v>16</v>
      </c>
      <c r="D3" s="19">
        <v>10</v>
      </c>
      <c r="E3" s="2">
        <v>7</v>
      </c>
      <c r="F3" s="2">
        <v>0</v>
      </c>
      <c r="G3" s="2">
        <v>6</v>
      </c>
      <c r="H3" s="2">
        <v>1</v>
      </c>
      <c r="I3" s="20">
        <v>4</v>
      </c>
      <c r="J3" s="138">
        <v>119</v>
      </c>
      <c r="K3" s="140">
        <v>21</v>
      </c>
      <c r="L3" s="138">
        <v>32</v>
      </c>
      <c r="M3" s="140">
        <v>6</v>
      </c>
      <c r="N3" s="146">
        <v>21</v>
      </c>
      <c r="O3" s="142">
        <v>11</v>
      </c>
      <c r="P3" s="21">
        <f>0</f>
        <v>0</v>
      </c>
      <c r="Q3" s="17">
        <f t="shared" si="0"/>
        <v>7.407407407407407E-2</v>
      </c>
      <c r="R3">
        <f>1-Q3</f>
        <v>0.92592592592592593</v>
      </c>
    </row>
    <row r="4" spans="1:18">
      <c r="A4" s="10"/>
      <c r="B4" s="10"/>
      <c r="C4" s="2" t="s">
        <v>17</v>
      </c>
      <c r="D4" s="135">
        <v>4</v>
      </c>
      <c r="E4" s="23">
        <v>7</v>
      </c>
      <c r="F4" s="136">
        <v>2</v>
      </c>
      <c r="G4" s="23">
        <v>5</v>
      </c>
      <c r="H4" s="24"/>
      <c r="I4" s="25">
        <v>1</v>
      </c>
      <c r="J4" s="136">
        <v>48</v>
      </c>
      <c r="K4" s="141">
        <v>31</v>
      </c>
      <c r="L4" s="152">
        <v>15</v>
      </c>
      <c r="M4" s="141">
        <v>10</v>
      </c>
      <c r="N4" s="26"/>
      <c r="O4" s="144">
        <v>25</v>
      </c>
      <c r="P4" s="27">
        <f>1/6</f>
        <v>0.16666666666666666</v>
      </c>
      <c r="Q4" s="17">
        <f t="shared" si="0"/>
        <v>5.5555555555555552E-2</v>
      </c>
      <c r="R4">
        <f>1-Q4</f>
        <v>0.94444444444444442</v>
      </c>
    </row>
    <row r="5" spans="1:18">
      <c r="A5" s="1">
        <v>42138</v>
      </c>
      <c r="B5" s="2" t="s">
        <v>56</v>
      </c>
      <c r="C5" s="2" t="s">
        <v>15</v>
      </c>
      <c r="D5" s="133">
        <v>9</v>
      </c>
      <c r="E5" s="12">
        <v>0</v>
      </c>
      <c r="F5" s="134">
        <v>2</v>
      </c>
      <c r="G5" s="12">
        <v>7</v>
      </c>
      <c r="H5" s="12">
        <v>19</v>
      </c>
      <c r="I5" s="14">
        <v>15</v>
      </c>
      <c r="J5" s="134">
        <v>8</v>
      </c>
      <c r="K5" s="139">
        <v>12</v>
      </c>
      <c r="L5" s="149">
        <v>17</v>
      </c>
      <c r="M5" s="139">
        <v>10</v>
      </c>
      <c r="N5" s="145">
        <v>96</v>
      </c>
      <c r="O5" s="143">
        <v>53</v>
      </c>
      <c r="P5" s="16">
        <f t="shared" ref="P5:P7" si="1">0</f>
        <v>0</v>
      </c>
    </row>
    <row r="6" spans="1:18">
      <c r="A6" s="10"/>
      <c r="B6" s="10"/>
      <c r="C6" s="2" t="s">
        <v>16</v>
      </c>
      <c r="D6" s="19">
        <v>1</v>
      </c>
      <c r="E6" s="2">
        <v>13</v>
      </c>
      <c r="F6" s="2">
        <v>7</v>
      </c>
      <c r="G6" s="2">
        <v>0</v>
      </c>
      <c r="H6" s="2">
        <v>10</v>
      </c>
      <c r="I6" s="20">
        <v>17</v>
      </c>
      <c r="J6" s="150">
        <v>5</v>
      </c>
      <c r="K6" s="150">
        <v>7</v>
      </c>
      <c r="L6" s="140">
        <v>29</v>
      </c>
      <c r="M6" s="140">
        <v>10</v>
      </c>
      <c r="N6" s="146">
        <v>27</v>
      </c>
      <c r="O6" s="142">
        <v>35</v>
      </c>
      <c r="P6" s="21">
        <f t="shared" si="1"/>
        <v>0</v>
      </c>
    </row>
    <row r="7" spans="1:18">
      <c r="A7" s="10"/>
      <c r="B7" s="10"/>
      <c r="C7" s="2" t="s">
        <v>17</v>
      </c>
      <c r="D7" s="22">
        <v>8</v>
      </c>
      <c r="E7" s="23">
        <v>2</v>
      </c>
      <c r="F7" s="23">
        <v>0</v>
      </c>
      <c r="G7" s="23">
        <v>2</v>
      </c>
      <c r="H7" s="23">
        <v>2</v>
      </c>
      <c r="I7" s="25">
        <v>2</v>
      </c>
      <c r="J7" s="136">
        <v>18</v>
      </c>
      <c r="K7" s="141">
        <v>43</v>
      </c>
      <c r="L7" s="136">
        <v>11</v>
      </c>
      <c r="M7" s="141">
        <v>34</v>
      </c>
      <c r="N7" s="147">
        <v>12</v>
      </c>
      <c r="O7" s="144">
        <v>8</v>
      </c>
      <c r="P7" s="27">
        <f t="shared" si="1"/>
        <v>0</v>
      </c>
    </row>
    <row r="8" spans="1:18">
      <c r="A8" s="1">
        <v>42139</v>
      </c>
      <c r="B8" s="2" t="s">
        <v>58</v>
      </c>
      <c r="C8" s="2" t="s">
        <v>15</v>
      </c>
      <c r="D8" s="28"/>
      <c r="E8" s="12">
        <v>0</v>
      </c>
      <c r="F8" s="12">
        <v>9</v>
      </c>
      <c r="G8" s="12">
        <v>16</v>
      </c>
      <c r="H8" s="12">
        <v>1</v>
      </c>
      <c r="I8" s="14">
        <v>4</v>
      </c>
      <c r="J8" s="26"/>
      <c r="K8" s="139">
        <v>32</v>
      </c>
      <c r="L8" s="134">
        <v>139</v>
      </c>
      <c r="M8" s="139">
        <v>18</v>
      </c>
      <c r="N8" s="145">
        <v>85</v>
      </c>
      <c r="O8" s="143">
        <v>32</v>
      </c>
      <c r="P8" s="21">
        <f>1/6</f>
        <v>0.16666666666666666</v>
      </c>
    </row>
    <row r="9" spans="1:18">
      <c r="A9" s="10"/>
      <c r="B9" s="10"/>
      <c r="C9" s="2" t="s">
        <v>16</v>
      </c>
      <c r="D9" s="30">
        <v>168</v>
      </c>
      <c r="E9" s="2">
        <v>1</v>
      </c>
      <c r="F9" s="2">
        <v>2</v>
      </c>
      <c r="G9" s="2">
        <v>4</v>
      </c>
      <c r="H9" s="31"/>
      <c r="I9" s="20">
        <v>0</v>
      </c>
      <c r="J9" s="31">
        <v>17</v>
      </c>
      <c r="K9" s="140">
        <v>5</v>
      </c>
      <c r="L9" s="150">
        <v>7</v>
      </c>
      <c r="M9" s="140">
        <v>4</v>
      </c>
      <c r="N9" s="32"/>
      <c r="O9" s="142">
        <v>80</v>
      </c>
      <c r="P9" s="21">
        <f>2/6</f>
        <v>0.33333333333333331</v>
      </c>
    </row>
    <row r="10" spans="1:18">
      <c r="A10" s="10"/>
      <c r="B10" s="10"/>
      <c r="C10" s="2" t="s">
        <v>17</v>
      </c>
      <c r="D10" s="22">
        <v>1</v>
      </c>
      <c r="E10" s="23">
        <v>15</v>
      </c>
      <c r="F10" s="23">
        <v>15</v>
      </c>
      <c r="G10" s="23">
        <v>0</v>
      </c>
      <c r="H10" s="23">
        <v>2</v>
      </c>
      <c r="I10" s="25">
        <v>0</v>
      </c>
      <c r="J10" s="152">
        <v>122</v>
      </c>
      <c r="K10" s="152">
        <v>103</v>
      </c>
      <c r="L10" s="141">
        <v>111</v>
      </c>
      <c r="M10" s="141">
        <v>20</v>
      </c>
      <c r="N10" s="147">
        <v>134</v>
      </c>
      <c r="O10" s="144">
        <v>8</v>
      </c>
      <c r="P10" s="21">
        <f>0</f>
        <v>0</v>
      </c>
    </row>
    <row r="11" spans="1:18">
      <c r="A11" s="1">
        <v>42139</v>
      </c>
      <c r="B11" s="2" t="s">
        <v>59</v>
      </c>
      <c r="C11" s="2" t="s">
        <v>15</v>
      </c>
      <c r="D11" s="133">
        <v>3</v>
      </c>
      <c r="E11" s="12">
        <v>0</v>
      </c>
      <c r="F11" s="134">
        <v>0</v>
      </c>
      <c r="G11" s="12">
        <v>9</v>
      </c>
      <c r="H11" s="13">
        <v>300</v>
      </c>
      <c r="I11" s="12">
        <v>9</v>
      </c>
      <c r="J11" s="137">
        <v>36</v>
      </c>
      <c r="K11" s="139">
        <v>14</v>
      </c>
      <c r="L11" s="149">
        <v>11</v>
      </c>
      <c r="M11" s="139">
        <v>15</v>
      </c>
      <c r="N11" s="13">
        <v>14</v>
      </c>
      <c r="O11" s="143">
        <v>19</v>
      </c>
      <c r="P11" s="16">
        <f>1/6</f>
        <v>0.16666666666666666</v>
      </c>
    </row>
    <row r="12" spans="1:18">
      <c r="A12" s="10"/>
      <c r="B12" s="10"/>
      <c r="C12" s="2" t="s">
        <v>16</v>
      </c>
      <c r="D12" s="19">
        <v>1</v>
      </c>
      <c r="E12" s="2">
        <v>53</v>
      </c>
      <c r="F12" s="2">
        <v>0</v>
      </c>
      <c r="G12" s="2">
        <v>0</v>
      </c>
      <c r="H12" s="2">
        <v>84</v>
      </c>
      <c r="I12" s="2">
        <v>12</v>
      </c>
      <c r="J12" s="153">
        <v>5</v>
      </c>
      <c r="K12" s="150">
        <v>16</v>
      </c>
      <c r="L12" s="140">
        <v>11</v>
      </c>
      <c r="M12" s="140">
        <v>10</v>
      </c>
      <c r="N12" s="146">
        <v>7</v>
      </c>
      <c r="O12" s="142">
        <v>4</v>
      </c>
      <c r="P12" s="21">
        <f t="shared" ref="P12:P15" si="2">0</f>
        <v>0</v>
      </c>
    </row>
    <row r="13" spans="1:18">
      <c r="A13" s="10"/>
      <c r="B13" s="10"/>
      <c r="C13" s="2" t="s">
        <v>17</v>
      </c>
      <c r="D13" s="22">
        <v>1</v>
      </c>
      <c r="E13" s="23">
        <v>0</v>
      </c>
      <c r="F13" s="23">
        <v>0</v>
      </c>
      <c r="G13" s="23">
        <v>31</v>
      </c>
      <c r="H13" s="23">
        <v>37</v>
      </c>
      <c r="I13" s="23">
        <v>1</v>
      </c>
      <c r="J13" s="148">
        <v>20</v>
      </c>
      <c r="K13" s="141">
        <v>7</v>
      </c>
      <c r="L13" s="136">
        <v>8</v>
      </c>
      <c r="M13" s="141">
        <v>11</v>
      </c>
      <c r="N13" s="147">
        <v>27</v>
      </c>
      <c r="O13" s="144">
        <v>9</v>
      </c>
      <c r="P13" s="27">
        <f t="shared" si="2"/>
        <v>0</v>
      </c>
    </row>
    <row r="14" spans="1:18">
      <c r="A14" s="1">
        <v>42142</v>
      </c>
      <c r="B14" s="2" t="s">
        <v>60</v>
      </c>
      <c r="C14" s="2" t="s">
        <v>15</v>
      </c>
      <c r="D14" s="11">
        <v>4</v>
      </c>
      <c r="E14" s="12">
        <v>27</v>
      </c>
      <c r="F14" s="12">
        <v>0</v>
      </c>
      <c r="G14" s="12">
        <v>7</v>
      </c>
      <c r="H14" s="12">
        <v>10</v>
      </c>
      <c r="I14" s="14">
        <v>1</v>
      </c>
      <c r="J14" s="149">
        <v>23</v>
      </c>
      <c r="K14" s="149">
        <v>34</v>
      </c>
      <c r="L14" s="139">
        <v>23</v>
      </c>
      <c r="M14" s="139">
        <v>33</v>
      </c>
      <c r="N14" s="145">
        <v>22</v>
      </c>
      <c r="O14" s="143">
        <v>26</v>
      </c>
      <c r="P14" s="16">
        <f t="shared" si="2"/>
        <v>0</v>
      </c>
    </row>
    <row r="15" spans="1:18">
      <c r="A15" s="10"/>
      <c r="B15" s="10"/>
      <c r="C15" s="2" t="s">
        <v>16</v>
      </c>
      <c r="D15" s="19">
        <v>0</v>
      </c>
      <c r="E15" s="2">
        <v>0</v>
      </c>
      <c r="F15" s="2">
        <v>0</v>
      </c>
      <c r="G15" s="2">
        <v>6</v>
      </c>
      <c r="H15" s="2">
        <v>1</v>
      </c>
      <c r="I15" s="20">
        <v>4</v>
      </c>
      <c r="J15" s="138">
        <v>44</v>
      </c>
      <c r="K15" s="140">
        <v>32</v>
      </c>
      <c r="L15" s="138">
        <v>33</v>
      </c>
      <c r="M15" s="140">
        <v>5</v>
      </c>
      <c r="N15" s="146">
        <v>26</v>
      </c>
      <c r="O15" s="142">
        <v>22</v>
      </c>
      <c r="P15" s="21">
        <f t="shared" si="2"/>
        <v>0</v>
      </c>
    </row>
    <row r="16" spans="1:18">
      <c r="A16" s="10"/>
      <c r="B16" s="10"/>
      <c r="C16" s="2" t="s">
        <v>17</v>
      </c>
      <c r="D16" s="135">
        <v>10</v>
      </c>
      <c r="E16" s="23">
        <v>1</v>
      </c>
      <c r="F16" s="136">
        <v>3</v>
      </c>
      <c r="G16" s="23">
        <v>5</v>
      </c>
      <c r="H16" s="35">
        <f>240+49</f>
        <v>289</v>
      </c>
      <c r="I16" s="25">
        <v>7</v>
      </c>
      <c r="J16" s="138">
        <v>11</v>
      </c>
      <c r="K16" s="140">
        <v>6</v>
      </c>
      <c r="L16" s="150">
        <v>15</v>
      </c>
      <c r="M16" s="140">
        <v>8</v>
      </c>
      <c r="N16" s="31">
        <v>60</v>
      </c>
      <c r="O16" s="142">
        <v>18</v>
      </c>
      <c r="P16" s="27">
        <f t="shared" ref="P16:P18" si="3">1/6</f>
        <v>0.16666666666666666</v>
      </c>
    </row>
    <row r="17" spans="1:16">
      <c r="A17" s="1">
        <v>42142</v>
      </c>
      <c r="B17" s="2" t="s">
        <v>61</v>
      </c>
      <c r="C17" s="2" t="s">
        <v>15</v>
      </c>
      <c r="D17" s="11">
        <v>0</v>
      </c>
      <c r="E17" s="12">
        <v>0</v>
      </c>
      <c r="F17" s="12">
        <v>0</v>
      </c>
      <c r="G17" s="12">
        <v>7</v>
      </c>
      <c r="H17" s="13">
        <v>42</v>
      </c>
      <c r="I17" s="14">
        <v>3</v>
      </c>
      <c r="J17" s="134">
        <v>72</v>
      </c>
      <c r="K17" s="139">
        <v>4</v>
      </c>
      <c r="L17" s="134">
        <v>31</v>
      </c>
      <c r="M17" s="139">
        <v>6</v>
      </c>
      <c r="N17" s="13">
        <v>19</v>
      </c>
      <c r="O17" s="143">
        <v>7</v>
      </c>
      <c r="P17" s="16">
        <f t="shared" si="3"/>
        <v>0.16666666666666666</v>
      </c>
    </row>
    <row r="18" spans="1:16">
      <c r="A18" s="10"/>
      <c r="B18" s="10"/>
      <c r="C18" s="2" t="s">
        <v>16</v>
      </c>
      <c r="D18" s="19">
        <v>0</v>
      </c>
      <c r="E18" s="2">
        <v>0</v>
      </c>
      <c r="F18" s="2">
        <v>0</v>
      </c>
      <c r="G18" s="2">
        <v>5</v>
      </c>
      <c r="H18" s="2">
        <v>5</v>
      </c>
      <c r="I18" s="36">
        <v>147</v>
      </c>
      <c r="J18" s="138">
        <v>22</v>
      </c>
      <c r="K18" s="140">
        <v>9</v>
      </c>
      <c r="L18" s="150">
        <v>16</v>
      </c>
      <c r="M18" s="140">
        <v>6</v>
      </c>
      <c r="N18" s="146">
        <v>33</v>
      </c>
      <c r="O18" s="37">
        <v>12</v>
      </c>
      <c r="P18" s="21">
        <f t="shared" si="3"/>
        <v>0.16666666666666666</v>
      </c>
    </row>
    <row r="19" spans="1:16">
      <c r="A19" s="10"/>
      <c r="B19" s="10"/>
      <c r="C19" s="2" t="s">
        <v>17</v>
      </c>
      <c r="D19" s="22">
        <v>0</v>
      </c>
      <c r="E19" s="23">
        <v>0</v>
      </c>
      <c r="F19" s="23">
        <v>0</v>
      </c>
      <c r="G19" s="23">
        <v>57</v>
      </c>
      <c r="H19" s="23">
        <v>10</v>
      </c>
      <c r="I19" s="25">
        <v>50</v>
      </c>
      <c r="J19" s="150">
        <v>9</v>
      </c>
      <c r="K19" s="150">
        <v>18</v>
      </c>
      <c r="L19" s="140">
        <v>6</v>
      </c>
      <c r="M19" s="140">
        <v>14</v>
      </c>
      <c r="N19" s="146">
        <v>6</v>
      </c>
      <c r="O19" s="142">
        <v>14</v>
      </c>
      <c r="P19" s="27">
        <f t="shared" ref="P19:P20" si="4">0</f>
        <v>0</v>
      </c>
    </row>
    <row r="20" spans="1:16">
      <c r="A20" s="1">
        <v>42143</v>
      </c>
      <c r="B20" s="2" t="s">
        <v>62</v>
      </c>
      <c r="C20" s="2" t="s">
        <v>15</v>
      </c>
      <c r="D20" s="133">
        <v>13</v>
      </c>
      <c r="E20" s="12">
        <v>1</v>
      </c>
      <c r="F20" s="134">
        <v>2</v>
      </c>
      <c r="G20" s="12">
        <v>7</v>
      </c>
      <c r="H20" s="12">
        <v>2</v>
      </c>
      <c r="I20" s="12">
        <v>2</v>
      </c>
      <c r="J20" s="137">
        <v>103</v>
      </c>
      <c r="K20" s="139">
        <v>66</v>
      </c>
      <c r="L20" s="149">
        <v>36</v>
      </c>
      <c r="M20" s="139">
        <v>12</v>
      </c>
      <c r="N20" s="145">
        <v>18</v>
      </c>
      <c r="O20" s="143">
        <v>32</v>
      </c>
      <c r="P20" s="16">
        <f t="shared" si="4"/>
        <v>0</v>
      </c>
    </row>
    <row r="21" spans="1:16">
      <c r="A21" s="10"/>
      <c r="B21" s="10"/>
      <c r="C21" s="2" t="s">
        <v>16</v>
      </c>
      <c r="D21" s="19">
        <v>1</v>
      </c>
      <c r="E21" s="2">
        <v>0</v>
      </c>
      <c r="F21" s="2">
        <v>4</v>
      </c>
      <c r="G21" s="2">
        <v>0</v>
      </c>
      <c r="H21" s="31">
        <v>71</v>
      </c>
      <c r="I21" s="2">
        <v>6</v>
      </c>
      <c r="J21" s="153">
        <v>16</v>
      </c>
      <c r="K21" s="150">
        <v>33</v>
      </c>
      <c r="L21" s="140">
        <v>60</v>
      </c>
      <c r="M21" s="140">
        <v>15</v>
      </c>
      <c r="N21" s="31">
        <v>63</v>
      </c>
      <c r="O21" s="142">
        <v>13</v>
      </c>
      <c r="P21" s="21">
        <f>1/6</f>
        <v>0.16666666666666666</v>
      </c>
    </row>
    <row r="22" spans="1:16">
      <c r="A22" s="10"/>
      <c r="B22" s="10"/>
      <c r="C22" s="2" t="s">
        <v>17</v>
      </c>
      <c r="D22" s="22">
        <v>14</v>
      </c>
      <c r="E22" s="23">
        <v>0</v>
      </c>
      <c r="F22" s="23">
        <v>1</v>
      </c>
      <c r="G22" s="23">
        <v>5</v>
      </c>
      <c r="H22" s="23">
        <v>2</v>
      </c>
      <c r="I22" s="23">
        <v>2</v>
      </c>
      <c r="J22" s="148">
        <v>186</v>
      </c>
      <c r="K22" s="141">
        <v>5</v>
      </c>
      <c r="L22" s="136">
        <v>14</v>
      </c>
      <c r="M22" s="141">
        <v>12</v>
      </c>
      <c r="N22" s="147">
        <v>105</v>
      </c>
      <c r="O22" s="144">
        <v>34</v>
      </c>
      <c r="P22" s="27">
        <f>0</f>
        <v>0</v>
      </c>
    </row>
    <row r="23" spans="1:16">
      <c r="A23" s="1">
        <v>42143</v>
      </c>
      <c r="B23" s="2" t="s">
        <v>63</v>
      </c>
      <c r="C23" s="2" t="s">
        <v>15</v>
      </c>
      <c r="D23" s="11">
        <v>6</v>
      </c>
      <c r="E23" s="12">
        <v>18</v>
      </c>
      <c r="F23" s="13">
        <v>181</v>
      </c>
      <c r="G23" s="12">
        <v>2</v>
      </c>
      <c r="H23" s="13">
        <v>94</v>
      </c>
      <c r="I23" s="14">
        <v>13</v>
      </c>
      <c r="J23" s="150">
        <v>19</v>
      </c>
      <c r="K23" s="150">
        <v>69</v>
      </c>
      <c r="L23" s="31">
        <v>27</v>
      </c>
      <c r="M23" s="140">
        <v>28</v>
      </c>
      <c r="N23" s="31">
        <v>50</v>
      </c>
      <c r="O23" s="142">
        <v>30</v>
      </c>
      <c r="P23" s="16">
        <f>2/6</f>
        <v>0.33333333333333331</v>
      </c>
    </row>
    <row r="24" spans="1:16">
      <c r="A24" s="10"/>
      <c r="B24" s="10"/>
      <c r="C24" s="2" t="s">
        <v>16</v>
      </c>
      <c r="D24" s="19">
        <v>14</v>
      </c>
      <c r="E24" s="2">
        <v>3</v>
      </c>
      <c r="F24" s="2">
        <v>0</v>
      </c>
      <c r="G24" s="2">
        <v>6</v>
      </c>
      <c r="H24" s="2">
        <v>4</v>
      </c>
      <c r="I24" s="20">
        <v>7</v>
      </c>
      <c r="J24" s="138">
        <v>191</v>
      </c>
      <c r="K24" s="140">
        <v>17</v>
      </c>
      <c r="L24" s="138">
        <v>8</v>
      </c>
      <c r="M24" s="140">
        <v>8</v>
      </c>
      <c r="N24" s="146">
        <v>37</v>
      </c>
      <c r="O24" s="142">
        <v>24</v>
      </c>
      <c r="P24" s="21">
        <f t="shared" ref="P24:P25" si="5">0</f>
        <v>0</v>
      </c>
    </row>
    <row r="25" spans="1:16">
      <c r="A25" s="10"/>
      <c r="B25" s="10"/>
      <c r="C25" s="2" t="s">
        <v>17</v>
      </c>
      <c r="D25" s="135">
        <v>10</v>
      </c>
      <c r="E25" s="23">
        <v>4</v>
      </c>
      <c r="F25" s="136">
        <v>3</v>
      </c>
      <c r="G25" s="23">
        <v>5</v>
      </c>
      <c r="H25" s="23">
        <v>11</v>
      </c>
      <c r="I25" s="25">
        <v>4</v>
      </c>
      <c r="J25" s="136">
        <v>120</v>
      </c>
      <c r="K25" s="141">
        <v>14</v>
      </c>
      <c r="L25" s="152">
        <v>63</v>
      </c>
      <c r="M25" s="141">
        <v>28</v>
      </c>
      <c r="N25" s="147">
        <v>83</v>
      </c>
      <c r="O25" s="144">
        <v>10</v>
      </c>
      <c r="P25" s="27">
        <f t="shared" si="5"/>
        <v>0</v>
      </c>
    </row>
    <row r="26" spans="1:16">
      <c r="A26" s="1">
        <v>42144</v>
      </c>
      <c r="B26" s="2" t="s">
        <v>88</v>
      </c>
      <c r="C26" s="2" t="s">
        <v>18</v>
      </c>
      <c r="D26" s="38"/>
      <c r="E26" s="12">
        <v>14</v>
      </c>
      <c r="F26" s="12">
        <v>0</v>
      </c>
      <c r="G26" s="12">
        <v>7</v>
      </c>
      <c r="H26" s="13">
        <v>43</v>
      </c>
      <c r="I26" s="14">
        <v>10</v>
      </c>
      <c r="J26" s="29"/>
      <c r="K26" s="139">
        <v>16</v>
      </c>
      <c r="L26" s="134">
        <v>22</v>
      </c>
      <c r="M26" s="139">
        <v>11</v>
      </c>
      <c r="N26" s="13">
        <v>16</v>
      </c>
      <c r="O26" s="145">
        <v>10</v>
      </c>
      <c r="P26" s="16">
        <f>2/6</f>
        <v>0.33333333333333331</v>
      </c>
    </row>
    <row r="27" spans="1:16">
      <c r="A27" s="10"/>
      <c r="B27" s="10"/>
      <c r="C27" s="2" t="s">
        <v>19</v>
      </c>
      <c r="D27" s="19">
        <v>0</v>
      </c>
      <c r="E27" s="2">
        <v>0</v>
      </c>
      <c r="F27" s="2">
        <v>0</v>
      </c>
      <c r="G27" s="2">
        <v>0</v>
      </c>
      <c r="H27" s="2">
        <v>0</v>
      </c>
      <c r="I27" s="20">
        <v>0</v>
      </c>
      <c r="J27" s="138">
        <v>7</v>
      </c>
      <c r="K27" s="140">
        <v>3</v>
      </c>
      <c r="L27" s="150">
        <v>3</v>
      </c>
      <c r="M27" s="140">
        <v>2</v>
      </c>
      <c r="N27" s="146">
        <v>12</v>
      </c>
      <c r="O27" s="146">
        <v>7</v>
      </c>
      <c r="P27" s="21">
        <f>0</f>
        <v>0</v>
      </c>
    </row>
    <row r="28" spans="1:16">
      <c r="A28" s="10"/>
      <c r="B28" s="10"/>
      <c r="C28" s="2" t="s">
        <v>20</v>
      </c>
      <c r="D28" s="39">
        <v>1</v>
      </c>
      <c r="E28" s="40">
        <v>2</v>
      </c>
      <c r="F28" s="40">
        <v>26</v>
      </c>
      <c r="G28" s="40">
        <v>0</v>
      </c>
      <c r="H28" s="41">
        <v>95</v>
      </c>
      <c r="I28" s="42">
        <v>13</v>
      </c>
      <c r="J28" s="152">
        <v>9</v>
      </c>
      <c r="K28" s="152">
        <v>7</v>
      </c>
      <c r="L28" s="141">
        <v>8</v>
      </c>
      <c r="M28" s="141">
        <v>29</v>
      </c>
      <c r="N28" s="35">
        <v>7</v>
      </c>
      <c r="O28" s="147">
        <v>31</v>
      </c>
      <c r="P28" s="27">
        <f>1/6</f>
        <v>0.16666666666666666</v>
      </c>
    </row>
    <row r="30" spans="1:16" ht="13" thickBot="1">
      <c r="C30" s="154"/>
      <c r="J30" t="s">
        <v>158</v>
      </c>
      <c r="K30" t="s">
        <v>159</v>
      </c>
      <c r="L30" t="s">
        <v>160</v>
      </c>
      <c r="M30" t="s">
        <v>161</v>
      </c>
      <c r="N30" t="s">
        <v>164</v>
      </c>
    </row>
    <row r="31" spans="1:16">
      <c r="B31" s="156"/>
      <c r="C31" s="157" t="s">
        <v>15</v>
      </c>
      <c r="D31" s="158"/>
      <c r="E31" s="158"/>
      <c r="F31" s="158"/>
      <c r="G31" s="158"/>
      <c r="H31" s="158"/>
      <c r="I31" s="158"/>
      <c r="J31" s="158">
        <f>MEDIAN(J5,L8,J17,L17,J20,L26,J11)</f>
        <v>36</v>
      </c>
      <c r="K31" s="158">
        <f>MEDIAN(J2:K2,J5,L5,L8,J11,L11,J14,K14,J17,L17,J20,L20,J23,K23,L26)</f>
        <v>32.5</v>
      </c>
      <c r="L31" s="158">
        <f>MEDIAN(L2:M2,K5,M5,K8,M8,K11,M11,L14:M14,K17,M17,K20,M20,M23,K26,M26)</f>
        <v>16</v>
      </c>
      <c r="M31" s="158">
        <f>MEDIAN(O26,O23,N20:O20,N14:O14,O11,N8:O8,N5:O5,O2)</f>
        <v>31</v>
      </c>
      <c r="N31" s="159">
        <f>MEDIAN(J2:M2,O2,J5:O5,K8:O8,J11:M11,O11,J14:O14,J17:M17,O17,J20:O20,J23:K23,M23,O23,K26:M26,O26)</f>
        <v>23</v>
      </c>
    </row>
    <row r="32" spans="1:16">
      <c r="B32" s="160" t="s">
        <v>162</v>
      </c>
      <c r="C32" s="154" t="s">
        <v>16</v>
      </c>
      <c r="D32" s="155"/>
      <c r="E32" s="155"/>
      <c r="F32" s="155"/>
      <c r="G32" s="155"/>
      <c r="H32" s="155"/>
      <c r="I32" s="155"/>
      <c r="J32" s="155">
        <f>MEDIAN(J27,J24,L24,J18,J15,L15,J3,L3)</f>
        <v>32.5</v>
      </c>
      <c r="K32" s="155">
        <f>MEDIAN(J3,L3,J6:K6,L9,J12:K12,J15,L15,J18,L18,J21:K21,J24,L24,J27,L27)</f>
        <v>16</v>
      </c>
      <c r="L32" s="155">
        <f>MEDIAN(K27,M27,K24,M24,L21:M21,K18,M18,K15,M15,L12:M12,K9,M9,L6:M6,K3,M3)</f>
        <v>9.5</v>
      </c>
      <c r="M32" s="155">
        <f>MEDIAN(N27:O27,N24:O24,O21,N18,N15:O15,N12:O12,O9,N6:O6,N3:O3)</f>
        <v>22</v>
      </c>
      <c r="N32" s="161">
        <f>MEDIAN(J3:O3,J6:O6,K9:M9,O9,J12:O12,J15:O15,J18:N18,J21:M21,O21,J24:O24,J27:O27)</f>
        <v>14</v>
      </c>
    </row>
    <row r="33" spans="2:23" ht="13" thickBot="1">
      <c r="B33" s="162"/>
      <c r="C33" s="163" t="s">
        <v>17</v>
      </c>
      <c r="D33" s="164"/>
      <c r="E33" s="164"/>
      <c r="F33" s="164"/>
      <c r="G33" s="164"/>
      <c r="H33" s="164"/>
      <c r="I33" s="164"/>
      <c r="J33" s="164">
        <f>MEDIAN(J25,J22,L22,J16,J13,L13, J4,L7,J7,J1319,J7,L7,J4)</f>
        <v>18</v>
      </c>
      <c r="K33" s="164">
        <f>MEDIAN(J28:K28,J25,L25,J22,L22,J19:K19,J16,L16,J13,L13,J10:K10,J7,L7,J4,L4)</f>
        <v>16.5</v>
      </c>
      <c r="L33" s="164">
        <f>MEDIAN(L28:M28,M25,K25,K22,M22,L19:M19,K16,M16,K13,M13,L10:M10,K7,M7,K4,M4)</f>
        <v>13</v>
      </c>
      <c r="M33" s="164">
        <f>MEDIAN(O28,N25:O25,N22:O22,N19:O19,O16,N13:O13,N10:O10,N7:O7,O4)</f>
        <v>18</v>
      </c>
      <c r="N33" s="165">
        <f>MEDIAN(J28:O28,J25:O25,J22:O22,L19:O19,J16:M16,O16,J13:K13,M13:O13,J10:O10,J7:K7,K7:O7,J4:M4,O4)</f>
        <v>15</v>
      </c>
    </row>
    <row r="34" spans="2:23">
      <c r="B34" s="156"/>
      <c r="C34" s="157" t="s">
        <v>15</v>
      </c>
      <c r="D34" s="158"/>
      <c r="E34" s="158"/>
      <c r="F34" s="158"/>
      <c r="G34" s="158"/>
      <c r="H34" s="158"/>
      <c r="I34" s="158"/>
      <c r="J34" s="158">
        <f>QUARTILE((J5,L8,J17,L17,J20,L26,J11),1)</f>
        <v>26.5</v>
      </c>
      <c r="K34" s="158"/>
      <c r="L34" s="158">
        <f>QUARTILE((L2:M2,K5,M5,K8,M8,K11,M11,L14:M14,K17,M17,K20,M20,M23,K26,M26),1)</f>
        <v>12</v>
      </c>
      <c r="M34" s="158">
        <f>QUARTILE((O26,O23,N20:O20,N14:O14,O11,N8:O8,N5:O5,O2),1)</f>
        <v>21.25</v>
      </c>
      <c r="N34" s="159">
        <f>QUARTILE((J2:M2,O2,J5:O5,K8:O8,J11:M11,O11,J14:O14,J17:M17,O17,J20:O20,J23:K23,M23,O23,K26:M26,O26),1)</f>
        <v>15</v>
      </c>
    </row>
    <row r="35" spans="2:23">
      <c r="B35" s="160" t="s">
        <v>1</v>
      </c>
      <c r="C35" s="154" t="s">
        <v>16</v>
      </c>
      <c r="D35" s="155"/>
      <c r="E35" s="155"/>
      <c r="F35" s="155"/>
      <c r="G35" s="155"/>
      <c r="H35" s="155"/>
      <c r="I35" s="155"/>
      <c r="J35" s="155">
        <f>QUARTILE((J30,J27,L27,J21,J18,L18,J6,L6),1)</f>
        <v>6</v>
      </c>
      <c r="K35" s="155"/>
      <c r="L35" s="155">
        <f>QUARTILE((K27,M27,K24,M24,L21:M21,K18,M18,K15,M15,L12:M12,K9,M9,L6:M6,K3,M3),1)</f>
        <v>5.25</v>
      </c>
      <c r="M35" s="155">
        <f>QUARTILE((N27:O27,N24:O24,O21,N18,N15:O15,N12:O12,O9,N6:O6,N3:O3),1)</f>
        <v>11.5</v>
      </c>
      <c r="N35" s="161">
        <f>QUARTILE((J3:O3,J6:O6,K9:M9,O9,J12:O12,J15:O15,J18:N18,J21:M21,O21,J24:O24,J27:O27),1)</f>
        <v>7</v>
      </c>
    </row>
    <row r="36" spans="2:23" ht="13" thickBot="1">
      <c r="B36" s="162"/>
      <c r="C36" s="163" t="s">
        <v>17</v>
      </c>
      <c r="D36" s="164"/>
      <c r="E36" s="164"/>
      <c r="F36" s="164"/>
      <c r="G36" s="164"/>
      <c r="H36" s="164"/>
      <c r="I36" s="164"/>
      <c r="J36" s="164">
        <f>QUARTILE((J25,J22,L22,J16,J13,L13, J4,L7,J7,J1319,J7,L7,J4),1)</f>
        <v>11</v>
      </c>
      <c r="K36" s="164"/>
      <c r="L36" s="164">
        <f>QUARTILE((L28:M28,M25,K25,K22,M22,L19:M19,K16,M16,K13,M13,L10:M10,K7,M7,K4,M4),1)</f>
        <v>8</v>
      </c>
      <c r="M36" s="164">
        <f>QUARTILE((O28,N25:O25,N22:O22,N19:O19,O16,N13:O13,N10:O10,N7:O7,O4),1)</f>
        <v>9.5</v>
      </c>
      <c r="N36" s="165">
        <f>QUARTILE((J28:O28,J25:O25,J22:O22,L19:O19,J16:M16,O16,J13:K13,M13:O13,J10:O10,J7:K7,K7:O7,J4:M4,O4),1)</f>
        <v>9.25</v>
      </c>
    </row>
    <row r="37" spans="2:23">
      <c r="B37" s="156"/>
      <c r="C37" s="157" t="s">
        <v>15</v>
      </c>
      <c r="D37" s="158"/>
      <c r="E37" s="158"/>
      <c r="F37" s="158"/>
      <c r="G37" s="158"/>
      <c r="H37" s="158"/>
      <c r="I37" s="158"/>
      <c r="J37" s="158">
        <f>QUARTILE((J5,L8,J17,L17,J20,L26,J11),3)</f>
        <v>87.5</v>
      </c>
      <c r="K37" s="158"/>
      <c r="L37" s="158">
        <f>QUARTILE((L2:M2,K5,M5,K8,M8,K11,M11,L14:M14,K17,M17,K20,M20,M23,K26,M26),3)</f>
        <v>28</v>
      </c>
      <c r="M37" s="158">
        <f>QUARTILE((O26,O23,N20:O20,N14:O14,O11,N8:O8,N5:O5,O2),3)</f>
        <v>42.5</v>
      </c>
      <c r="N37" s="159">
        <f>QUARTILE((J2:M2,O2,J5:O5,K8:O8,J11:M11,O11,J14:O14,J17:M17,O17,J20:O20,J23:K23,M23,O23,K26:M26,O26),3)</f>
        <v>36</v>
      </c>
    </row>
    <row r="38" spans="2:23">
      <c r="B38" s="160" t="s">
        <v>3</v>
      </c>
      <c r="C38" s="154" t="s">
        <v>16</v>
      </c>
      <c r="D38" s="155"/>
      <c r="E38" s="155"/>
      <c r="F38" s="155"/>
      <c r="G38" s="155"/>
      <c r="H38" s="155"/>
      <c r="I38" s="155"/>
      <c r="J38" s="155">
        <f>QUARTILE((J27,J24,L24,J18,J15,L15,J3,L3),3)</f>
        <v>62.75</v>
      </c>
      <c r="K38" s="155"/>
      <c r="L38" s="155">
        <f>QUARTILE((K27,M27,K24,M24,L21:M21,K18,M18,K15,M15,L12:M12,K9,M9,L6:M6,K3,M3),3)</f>
        <v>16.5</v>
      </c>
      <c r="M38" s="155">
        <f>QUARTILE((N27:O27,N24:O24,O21,N18,N15:O15,N12:O12,O9,N6:O6,N3:O3),3)</f>
        <v>30</v>
      </c>
      <c r="N38" s="161">
        <f>QUARTILE((J3:O3,J6:O6,K9:M9,O9,J12:O12,J15:O15,J18:N18,J21:M21,O21,J24:O24,J27:O27),3)</f>
        <v>28.5</v>
      </c>
    </row>
    <row r="39" spans="2:23" ht="13" thickBot="1">
      <c r="B39" s="162"/>
      <c r="C39" s="163" t="s">
        <v>17</v>
      </c>
      <c r="D39" s="164"/>
      <c r="E39" s="164"/>
      <c r="F39" s="164"/>
      <c r="G39" s="164"/>
      <c r="H39" s="164"/>
      <c r="I39" s="164"/>
      <c r="J39" s="164">
        <f>QUARTILE((J25,J22,L22,J16,J13,L13, J4,L7,J7,J1319,J7,L7,J4),3)</f>
        <v>48</v>
      </c>
      <c r="K39" s="164"/>
      <c r="L39" s="164">
        <f>QUARTILE((L28:M28,M25,K25,K22,M22,L19:M19,K16,M16,K13,M13,L10:M10,K7,M7,K4,M4),3)</f>
        <v>28.75</v>
      </c>
      <c r="M39" s="164">
        <f>QUARTILE((O28,N25:O25,N22:O22,N19:O19,O16,N13:O13,N10:O10,N7:O7,O4),3)</f>
        <v>32.5</v>
      </c>
      <c r="N39" s="165">
        <f>QUARTILE((J28:O28,J25:O25,J22:O22,L19:O19,J16:M16,O16,J13:K13,M13:O13,J10:O10,J7:K7,K7:O7,J4:M4,O4),3)</f>
        <v>34</v>
      </c>
    </row>
    <row r="41" spans="2:23">
      <c r="C41" s="154" t="s">
        <v>15</v>
      </c>
      <c r="J41">
        <v>2</v>
      </c>
      <c r="L41">
        <v>1</v>
      </c>
      <c r="M41">
        <v>5</v>
      </c>
    </row>
    <row r="42" spans="2:23">
      <c r="B42" t="s">
        <v>163</v>
      </c>
      <c r="C42" s="154" t="s">
        <v>16</v>
      </c>
      <c r="J42">
        <v>1</v>
      </c>
      <c r="L42">
        <v>0</v>
      </c>
      <c r="M42">
        <v>3</v>
      </c>
    </row>
    <row r="43" spans="2:23">
      <c r="C43" s="154" t="s">
        <v>17</v>
      </c>
      <c r="J43">
        <v>0</v>
      </c>
      <c r="L43">
        <v>0</v>
      </c>
      <c r="M43">
        <v>3</v>
      </c>
      <c r="R43" t="s">
        <v>108</v>
      </c>
      <c r="U43" t="s">
        <v>165</v>
      </c>
    </row>
    <row r="44" spans="2:23">
      <c r="R44" t="s">
        <v>15</v>
      </c>
      <c r="S44" t="s">
        <v>16</v>
      </c>
      <c r="T44" t="s">
        <v>17</v>
      </c>
      <c r="U44" t="s">
        <v>15</v>
      </c>
      <c r="V44" t="s">
        <v>16</v>
      </c>
      <c r="W44" t="s">
        <v>17</v>
      </c>
    </row>
    <row r="45" spans="2:23">
      <c r="R45">
        <v>15</v>
      </c>
      <c r="S45">
        <v>119</v>
      </c>
      <c r="T45">
        <v>48</v>
      </c>
      <c r="U45">
        <v>8</v>
      </c>
      <c r="V45">
        <v>119</v>
      </c>
      <c r="W45">
        <v>48</v>
      </c>
    </row>
    <row r="46" spans="2:23">
      <c r="J46" s="10"/>
      <c r="K46" s="88"/>
      <c r="L46" s="88" t="s">
        <v>168</v>
      </c>
      <c r="M46" s="88" t="s">
        <v>169</v>
      </c>
      <c r="N46" s="88" t="s">
        <v>170</v>
      </c>
      <c r="O46" s="88" t="s">
        <v>164</v>
      </c>
      <c r="R46">
        <v>113</v>
      </c>
      <c r="S46">
        <v>21</v>
      </c>
      <c r="T46">
        <v>31</v>
      </c>
      <c r="U46">
        <v>139</v>
      </c>
      <c r="V46">
        <v>32</v>
      </c>
      <c r="W46">
        <v>18</v>
      </c>
    </row>
    <row r="47" spans="2:23">
      <c r="J47" s="10" t="s">
        <v>166</v>
      </c>
      <c r="K47" s="88" t="s">
        <v>91</v>
      </c>
      <c r="L47" s="88">
        <f>J31</f>
        <v>36</v>
      </c>
      <c r="M47" s="88">
        <f>L31</f>
        <v>16</v>
      </c>
      <c r="N47" s="88">
        <f>M31</f>
        <v>31</v>
      </c>
      <c r="O47" s="88">
        <v>23</v>
      </c>
      <c r="R47">
        <v>17</v>
      </c>
      <c r="S47">
        <v>32</v>
      </c>
      <c r="T47">
        <v>15</v>
      </c>
      <c r="U47">
        <v>36</v>
      </c>
      <c r="V47">
        <v>44</v>
      </c>
      <c r="W47">
        <v>11</v>
      </c>
    </row>
    <row r="48" spans="2:23">
      <c r="J48" s="10"/>
      <c r="K48" s="88" t="s">
        <v>92</v>
      </c>
      <c r="L48" s="88">
        <f>J32</f>
        <v>32.5</v>
      </c>
      <c r="M48" s="88">
        <f>L32</f>
        <v>9.5</v>
      </c>
      <c r="N48" s="88">
        <f>M32</f>
        <v>22</v>
      </c>
      <c r="O48" s="10">
        <v>14</v>
      </c>
      <c r="R48">
        <v>45</v>
      </c>
      <c r="S48">
        <v>6</v>
      </c>
      <c r="T48">
        <v>10</v>
      </c>
      <c r="U48">
        <v>72</v>
      </c>
      <c r="V48">
        <v>33</v>
      </c>
      <c r="W48">
        <v>20</v>
      </c>
    </row>
    <row r="49" spans="10:23">
      <c r="J49" s="10"/>
      <c r="K49" s="88" t="s">
        <v>171</v>
      </c>
      <c r="L49" s="88">
        <f>J33</f>
        <v>18</v>
      </c>
      <c r="M49" s="88">
        <f>L33</f>
        <v>13</v>
      </c>
      <c r="N49" s="88">
        <f>M33</f>
        <v>18</v>
      </c>
      <c r="O49" s="10">
        <v>15</v>
      </c>
      <c r="R49">
        <v>39</v>
      </c>
      <c r="S49">
        <v>21</v>
      </c>
      <c r="T49">
        <v>25</v>
      </c>
      <c r="U49">
        <v>31</v>
      </c>
      <c r="V49">
        <v>22</v>
      </c>
      <c r="W49">
        <v>8</v>
      </c>
    </row>
    <row r="50" spans="10:23">
      <c r="J50" s="10" t="s">
        <v>109</v>
      </c>
      <c r="K50" s="88" t="s">
        <v>137</v>
      </c>
      <c r="L50" s="10">
        <f>J37-J31</f>
        <v>51.5</v>
      </c>
      <c r="M50" s="10">
        <f>L37-L31</f>
        <v>12</v>
      </c>
      <c r="N50" s="10">
        <f>M37-M31</f>
        <v>11.5</v>
      </c>
      <c r="O50" s="10">
        <f>36-23</f>
        <v>13</v>
      </c>
      <c r="R50">
        <v>8</v>
      </c>
      <c r="S50">
        <v>11</v>
      </c>
      <c r="T50">
        <v>18</v>
      </c>
      <c r="U50">
        <v>103</v>
      </c>
      <c r="V50">
        <v>191</v>
      </c>
      <c r="W50">
        <v>11</v>
      </c>
    </row>
    <row r="51" spans="10:23">
      <c r="J51" s="10"/>
      <c r="K51" s="88" t="s">
        <v>167</v>
      </c>
      <c r="L51" s="10">
        <f>J38-J32</f>
        <v>30.25</v>
      </c>
      <c r="M51" s="10">
        <f>L38-L32</f>
        <v>7</v>
      </c>
      <c r="N51" s="10">
        <f>M38-M32</f>
        <v>8</v>
      </c>
      <c r="O51" s="10">
        <f>N38-N32</f>
        <v>14.5</v>
      </c>
      <c r="R51">
        <v>12</v>
      </c>
      <c r="S51">
        <v>5</v>
      </c>
      <c r="T51">
        <v>43</v>
      </c>
      <c r="U51">
        <v>22</v>
      </c>
      <c r="V51">
        <v>8</v>
      </c>
      <c r="W51">
        <v>186</v>
      </c>
    </row>
    <row r="52" spans="10:23">
      <c r="J52" s="10"/>
      <c r="K52" s="88" t="s">
        <v>93</v>
      </c>
      <c r="L52" s="10">
        <f>J39-J33</f>
        <v>30</v>
      </c>
      <c r="M52" s="10">
        <f>L39-L33</f>
        <v>15.75</v>
      </c>
      <c r="N52" s="10">
        <f>M39-M33</f>
        <v>14.5</v>
      </c>
      <c r="O52" s="10">
        <f>36-23</f>
        <v>13</v>
      </c>
      <c r="R52">
        <v>17</v>
      </c>
      <c r="S52">
        <v>7</v>
      </c>
      <c r="T52">
        <v>11</v>
      </c>
      <c r="V52">
        <v>7</v>
      </c>
      <c r="W52">
        <v>14</v>
      </c>
    </row>
    <row r="53" spans="10:23">
      <c r="J53" s="10" t="s">
        <v>111</v>
      </c>
      <c r="K53" s="88" t="s">
        <v>91</v>
      </c>
      <c r="L53" s="10">
        <f>J31-J34</f>
        <v>9.5</v>
      </c>
      <c r="M53" s="10">
        <f>L31-L34</f>
        <v>4</v>
      </c>
      <c r="N53" s="10">
        <f>M31-M34</f>
        <v>9.75</v>
      </c>
      <c r="O53" s="10">
        <f>N31-N34</f>
        <v>8</v>
      </c>
      <c r="R53">
        <v>10</v>
      </c>
      <c r="S53">
        <v>29</v>
      </c>
      <c r="T53">
        <v>34</v>
      </c>
      <c r="W53">
        <v>120</v>
      </c>
    </row>
    <row r="54" spans="10:23">
      <c r="J54" s="10"/>
      <c r="K54" s="88" t="s">
        <v>92</v>
      </c>
      <c r="L54" s="10">
        <f t="shared" ref="L54:L55" si="6">J32-J35</f>
        <v>26.5</v>
      </c>
      <c r="M54" s="10">
        <f t="shared" ref="M54:O55" si="7">L32-L35</f>
        <v>4.25</v>
      </c>
      <c r="N54" s="10">
        <f t="shared" si="7"/>
        <v>10.5</v>
      </c>
      <c r="O54" s="10">
        <f t="shared" si="7"/>
        <v>7</v>
      </c>
      <c r="R54">
        <v>96</v>
      </c>
      <c r="S54">
        <v>10</v>
      </c>
      <c r="T54">
        <v>12</v>
      </c>
    </row>
    <row r="55" spans="10:23">
      <c r="J55" s="10"/>
      <c r="K55" s="88" t="s">
        <v>93</v>
      </c>
      <c r="L55" s="10">
        <f t="shared" si="6"/>
        <v>7</v>
      </c>
      <c r="M55" s="10">
        <f t="shared" si="7"/>
        <v>5</v>
      </c>
      <c r="N55" s="10">
        <f t="shared" si="7"/>
        <v>8.5</v>
      </c>
      <c r="O55" s="10">
        <f t="shared" si="7"/>
        <v>5.75</v>
      </c>
      <c r="R55">
        <v>53</v>
      </c>
      <c r="S55">
        <v>27</v>
      </c>
      <c r="T55">
        <v>8</v>
      </c>
    </row>
    <row r="56" spans="10:23">
      <c r="R56">
        <v>32</v>
      </c>
      <c r="S56">
        <v>35</v>
      </c>
      <c r="T56">
        <v>122</v>
      </c>
    </row>
    <row r="57" spans="10:23">
      <c r="R57">
        <v>139</v>
      </c>
      <c r="S57">
        <v>5</v>
      </c>
      <c r="T57">
        <v>103</v>
      </c>
    </row>
    <row r="58" spans="10:23">
      <c r="R58">
        <v>18</v>
      </c>
      <c r="S58">
        <v>7</v>
      </c>
      <c r="T58">
        <v>11</v>
      </c>
    </row>
    <row r="59" spans="10:23">
      <c r="R59">
        <v>85</v>
      </c>
      <c r="S59">
        <v>4</v>
      </c>
      <c r="T59">
        <v>20</v>
      </c>
    </row>
    <row r="60" spans="10:23">
      <c r="R60">
        <v>32</v>
      </c>
      <c r="S60">
        <v>80</v>
      </c>
      <c r="T60">
        <v>134</v>
      </c>
    </row>
    <row r="61" spans="10:23">
      <c r="R61">
        <v>36</v>
      </c>
      <c r="S61">
        <v>5</v>
      </c>
      <c r="T61">
        <v>8</v>
      </c>
    </row>
    <row r="62" spans="10:23">
      <c r="R62">
        <v>14</v>
      </c>
      <c r="S62">
        <v>16</v>
      </c>
      <c r="T62">
        <v>20</v>
      </c>
    </row>
    <row r="63" spans="10:23">
      <c r="R63">
        <v>11</v>
      </c>
      <c r="S63">
        <v>11</v>
      </c>
      <c r="T63">
        <v>7</v>
      </c>
    </row>
    <row r="64" spans="10:23">
      <c r="R64">
        <v>15</v>
      </c>
      <c r="S64">
        <v>10</v>
      </c>
      <c r="T64">
        <v>8</v>
      </c>
    </row>
    <row r="65" spans="18:20">
      <c r="R65">
        <v>19</v>
      </c>
      <c r="S65">
        <v>7</v>
      </c>
      <c r="T65">
        <v>11</v>
      </c>
    </row>
    <row r="66" spans="18:20">
      <c r="R66">
        <v>23</v>
      </c>
      <c r="S66">
        <v>4</v>
      </c>
      <c r="T66">
        <v>27</v>
      </c>
    </row>
    <row r="67" spans="18:20">
      <c r="R67">
        <v>34</v>
      </c>
      <c r="S67">
        <v>44</v>
      </c>
      <c r="T67">
        <v>9</v>
      </c>
    </row>
    <row r="68" spans="18:20">
      <c r="R68">
        <v>23</v>
      </c>
      <c r="S68">
        <v>32</v>
      </c>
      <c r="T68">
        <v>11</v>
      </c>
    </row>
    <row r="69" spans="18:20">
      <c r="R69">
        <v>33</v>
      </c>
      <c r="S69">
        <v>33</v>
      </c>
      <c r="T69">
        <v>6</v>
      </c>
    </row>
    <row r="70" spans="18:20">
      <c r="R70">
        <v>22</v>
      </c>
      <c r="S70">
        <v>5</v>
      </c>
      <c r="T70">
        <v>15</v>
      </c>
    </row>
    <row r="71" spans="18:20">
      <c r="R71">
        <v>26</v>
      </c>
      <c r="S71">
        <v>26</v>
      </c>
      <c r="T71">
        <v>8</v>
      </c>
    </row>
    <row r="72" spans="18:20">
      <c r="R72">
        <v>72</v>
      </c>
      <c r="S72">
        <v>22</v>
      </c>
      <c r="T72">
        <v>18</v>
      </c>
    </row>
    <row r="73" spans="18:20">
      <c r="R73">
        <v>4</v>
      </c>
      <c r="S73">
        <v>22</v>
      </c>
      <c r="T73">
        <v>9</v>
      </c>
    </row>
    <row r="74" spans="18:20">
      <c r="R74">
        <v>31</v>
      </c>
      <c r="S74">
        <v>9</v>
      </c>
      <c r="T74">
        <v>18</v>
      </c>
    </row>
    <row r="75" spans="18:20">
      <c r="R75">
        <v>6</v>
      </c>
      <c r="S75">
        <v>16</v>
      </c>
      <c r="T75">
        <v>6</v>
      </c>
    </row>
    <row r="76" spans="18:20">
      <c r="R76">
        <v>7</v>
      </c>
      <c r="S76">
        <v>6</v>
      </c>
      <c r="T76">
        <v>14</v>
      </c>
    </row>
    <row r="77" spans="18:20">
      <c r="R77">
        <v>103</v>
      </c>
      <c r="S77">
        <v>33</v>
      </c>
      <c r="T77">
        <v>6</v>
      </c>
    </row>
    <row r="78" spans="18:20">
      <c r="R78">
        <v>66</v>
      </c>
      <c r="S78">
        <v>16</v>
      </c>
      <c r="T78">
        <v>14</v>
      </c>
    </row>
    <row r="79" spans="18:20">
      <c r="R79">
        <v>36</v>
      </c>
      <c r="S79">
        <v>33</v>
      </c>
      <c r="T79">
        <v>186</v>
      </c>
    </row>
    <row r="80" spans="18:20">
      <c r="R80">
        <v>12</v>
      </c>
      <c r="S80">
        <v>60</v>
      </c>
      <c r="T80">
        <v>5</v>
      </c>
    </row>
    <row r="81" spans="18:20">
      <c r="R81">
        <v>18</v>
      </c>
      <c r="S81">
        <v>15</v>
      </c>
      <c r="T81">
        <v>14</v>
      </c>
    </row>
    <row r="82" spans="18:20">
      <c r="R82">
        <v>32</v>
      </c>
      <c r="S82">
        <v>13</v>
      </c>
      <c r="T82">
        <v>12</v>
      </c>
    </row>
    <row r="83" spans="18:20">
      <c r="R83">
        <v>19</v>
      </c>
      <c r="S83">
        <v>191</v>
      </c>
      <c r="T83">
        <v>105</v>
      </c>
    </row>
    <row r="84" spans="18:20">
      <c r="R84">
        <v>69</v>
      </c>
      <c r="S84">
        <v>17</v>
      </c>
      <c r="T84">
        <v>34</v>
      </c>
    </row>
    <row r="85" spans="18:20">
      <c r="R85">
        <v>28</v>
      </c>
      <c r="S85">
        <v>8</v>
      </c>
      <c r="T85">
        <v>120</v>
      </c>
    </row>
    <row r="86" spans="18:20">
      <c r="R86">
        <v>30</v>
      </c>
      <c r="S86">
        <v>8</v>
      </c>
      <c r="T86">
        <v>14</v>
      </c>
    </row>
    <row r="87" spans="18:20">
      <c r="R87">
        <v>16</v>
      </c>
      <c r="S87">
        <v>37</v>
      </c>
      <c r="T87">
        <v>63</v>
      </c>
    </row>
    <row r="88" spans="18:20">
      <c r="R88">
        <v>22</v>
      </c>
      <c r="S88">
        <v>24</v>
      </c>
      <c r="T88">
        <v>28</v>
      </c>
    </row>
    <row r="89" spans="18:20">
      <c r="R89">
        <v>11</v>
      </c>
      <c r="S89">
        <v>7</v>
      </c>
      <c r="T89">
        <v>83</v>
      </c>
    </row>
    <row r="90" spans="18:20">
      <c r="R90">
        <v>10</v>
      </c>
      <c r="S90">
        <v>3</v>
      </c>
      <c r="T90">
        <v>10</v>
      </c>
    </row>
    <row r="91" spans="18:20">
      <c r="S91">
        <v>3</v>
      </c>
      <c r="T91">
        <v>9</v>
      </c>
    </row>
    <row r="92" spans="18:20">
      <c r="S92">
        <v>2</v>
      </c>
      <c r="T92">
        <v>7</v>
      </c>
    </row>
    <row r="93" spans="18:20">
      <c r="S93">
        <v>12</v>
      </c>
      <c r="T93">
        <v>8</v>
      </c>
    </row>
    <row r="94" spans="18:20">
      <c r="S94">
        <v>7</v>
      </c>
      <c r="T94">
        <v>29</v>
      </c>
    </row>
    <row r="95" spans="18:20">
      <c r="T95">
        <v>7</v>
      </c>
    </row>
    <row r="96" spans="18:20">
      <c r="T96">
        <v>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tabSelected="1" topLeftCell="A40" zoomScale="150" zoomScaleNormal="150" zoomScalePageLayoutView="150" workbookViewId="0">
      <pane xSplit="2" topLeftCell="C1" activePane="topRight" state="frozen"/>
      <selection activeCell="M52" sqref="M52"/>
      <selection pane="topRight" activeCell="A73" sqref="A73"/>
    </sheetView>
  </sheetViews>
  <sheetFormatPr baseColWidth="10" defaultColWidth="14.5" defaultRowHeight="15.75" customHeight="1" x14ac:dyDescent="0"/>
  <cols>
    <col min="1" max="2" width="14.5" style="10"/>
    <col min="3" max="5" width="0" style="10" hidden="1" customWidth="1"/>
    <col min="6" max="16384" width="14.5" style="10"/>
  </cols>
  <sheetData>
    <row r="1" spans="1:34" ht="15.75" customHeight="1"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M1" s="2" t="s">
        <v>50</v>
      </c>
      <c r="N1" s="2" t="s">
        <v>51</v>
      </c>
      <c r="O1" s="2" t="s">
        <v>102</v>
      </c>
      <c r="P1" s="2" t="s">
        <v>52</v>
      </c>
      <c r="Q1" s="2" t="s">
        <v>53</v>
      </c>
      <c r="R1" s="2" t="s">
        <v>101</v>
      </c>
      <c r="S1" s="2" t="s">
        <v>54</v>
      </c>
      <c r="T1" s="2" t="s">
        <v>55</v>
      </c>
      <c r="U1" s="2" t="s">
        <v>103</v>
      </c>
    </row>
    <row r="2" spans="1:34" ht="15.75" customHeight="1">
      <c r="B2" s="2" t="s">
        <v>56</v>
      </c>
      <c r="C2" s="2"/>
      <c r="D2" s="2"/>
      <c r="E2" s="2"/>
      <c r="F2" s="96">
        <v>0.67</v>
      </c>
      <c r="G2" s="60">
        <f>6/9</f>
        <v>0.66666666666666663</v>
      </c>
      <c r="H2" s="61">
        <f t="shared" ref="H2" si="0">3/3</f>
        <v>1</v>
      </c>
      <c r="I2" s="61">
        <f>5/11</f>
        <v>0.45454545454545453</v>
      </c>
      <c r="J2" s="62">
        <f t="shared" ref="J2" si="1">3/3</f>
        <v>1</v>
      </c>
      <c r="K2" s="62">
        <f>7/10</f>
        <v>0.7</v>
      </c>
      <c r="L2" s="83"/>
      <c r="M2" s="96">
        <v>2</v>
      </c>
      <c r="N2" s="60">
        <f>6</f>
        <v>6</v>
      </c>
      <c r="O2" s="60">
        <f>SUM(M2:N2)</f>
        <v>8</v>
      </c>
      <c r="P2" s="61">
        <f>3</f>
        <v>3</v>
      </c>
      <c r="Q2" s="61">
        <f>7</f>
        <v>7</v>
      </c>
      <c r="R2" s="61">
        <f>SUM(P2:Q2)</f>
        <v>10</v>
      </c>
      <c r="S2" s="62">
        <f>3</f>
        <v>3</v>
      </c>
      <c r="T2" s="62">
        <f>7</f>
        <v>7</v>
      </c>
      <c r="U2" s="62">
        <f>SUM(S2:T2)</f>
        <v>10</v>
      </c>
    </row>
    <row r="3" spans="1:34" ht="15.75" customHeight="1">
      <c r="B3" s="2" t="s">
        <v>57</v>
      </c>
      <c r="C3" s="2"/>
      <c r="D3" s="2"/>
      <c r="E3" s="2"/>
      <c r="F3" s="85">
        <v>1</v>
      </c>
      <c r="G3" s="63">
        <f>0/11</f>
        <v>0</v>
      </c>
      <c r="H3" s="64">
        <f>2/3</f>
        <v>0.66666666666666663</v>
      </c>
      <c r="I3" s="64">
        <f>4/10</f>
        <v>0.4</v>
      </c>
      <c r="J3" s="59">
        <f>2/3</f>
        <v>0.66666666666666663</v>
      </c>
      <c r="K3" s="59">
        <f>5/9</f>
        <v>0.55555555555555558</v>
      </c>
      <c r="M3" s="85">
        <v>3</v>
      </c>
      <c r="N3" s="63">
        <f>3</f>
        <v>3</v>
      </c>
      <c r="O3" s="63">
        <f t="shared" ref="O3:O20" si="2">SUM(M3:N3)</f>
        <v>6</v>
      </c>
      <c r="P3" s="64">
        <f>3</f>
        <v>3</v>
      </c>
      <c r="Q3" s="64">
        <f>1</f>
        <v>1</v>
      </c>
      <c r="R3" s="64">
        <f t="shared" ref="R3:R20" si="3">SUM(P3:Q3)</f>
        <v>4</v>
      </c>
      <c r="S3" s="59">
        <f>3</f>
        <v>3</v>
      </c>
      <c r="T3" s="59">
        <f>3</f>
        <v>3</v>
      </c>
      <c r="U3" s="59">
        <f t="shared" ref="U3:U20" si="4">SUM(S3:T3)</f>
        <v>6</v>
      </c>
    </row>
    <row r="4" spans="1:34" ht="15.75" customHeight="1">
      <c r="B4" s="2" t="s">
        <v>58</v>
      </c>
      <c r="C4" s="2"/>
      <c r="D4" s="2"/>
      <c r="E4" s="2"/>
      <c r="F4" s="84">
        <v>0.67</v>
      </c>
      <c r="G4" s="62">
        <f>2/10</f>
        <v>0.2</v>
      </c>
      <c r="H4" s="60">
        <f>2/3</f>
        <v>0.66666666666666663</v>
      </c>
      <c r="I4" s="60">
        <f>4/9</f>
        <v>0.44444444444444442</v>
      </c>
      <c r="J4" s="61">
        <f>2/3</f>
        <v>0.66666666666666663</v>
      </c>
      <c r="K4" s="61">
        <f>4/11</f>
        <v>0.36363636363636365</v>
      </c>
      <c r="M4" s="84">
        <v>2</v>
      </c>
      <c r="N4" s="62">
        <f>1</f>
        <v>1</v>
      </c>
      <c r="O4" s="62">
        <f t="shared" si="2"/>
        <v>3</v>
      </c>
      <c r="P4" s="60">
        <f>1</f>
        <v>1</v>
      </c>
      <c r="Q4" s="60">
        <f>2</f>
        <v>2</v>
      </c>
      <c r="R4" s="60">
        <f t="shared" si="3"/>
        <v>3</v>
      </c>
      <c r="S4" s="61">
        <f>1</f>
        <v>1</v>
      </c>
      <c r="T4" s="61">
        <f>3</f>
        <v>3</v>
      </c>
      <c r="U4" s="61">
        <f t="shared" si="4"/>
        <v>4</v>
      </c>
    </row>
    <row r="5" spans="1:34" ht="15.75" customHeight="1">
      <c r="B5" s="2" t="s">
        <v>59</v>
      </c>
      <c r="C5" s="2"/>
      <c r="D5" s="2"/>
      <c r="E5" s="2"/>
      <c r="F5" s="96">
        <f>3/3</f>
        <v>1</v>
      </c>
      <c r="G5" s="59">
        <f>6/9</f>
        <v>0.66666666666666663</v>
      </c>
      <c r="H5" s="63">
        <f>3/3</f>
        <v>1</v>
      </c>
      <c r="I5" s="63">
        <f>8/11</f>
        <v>0.72727272727272729</v>
      </c>
      <c r="J5" s="64">
        <f t="shared" ref="J5:J6" si="5">3/3</f>
        <v>1</v>
      </c>
      <c r="K5" s="62">
        <f>7/10</f>
        <v>0.7</v>
      </c>
      <c r="M5" s="96">
        <f>3</f>
        <v>3</v>
      </c>
      <c r="N5" s="59">
        <f>5</f>
        <v>5</v>
      </c>
      <c r="O5" s="59">
        <f t="shared" si="2"/>
        <v>8</v>
      </c>
      <c r="P5" s="63">
        <f>2</f>
        <v>2</v>
      </c>
      <c r="Q5" s="63">
        <f>7</f>
        <v>7</v>
      </c>
      <c r="R5" s="63">
        <f t="shared" si="3"/>
        <v>9</v>
      </c>
      <c r="S5" s="64">
        <f>3</f>
        <v>3</v>
      </c>
      <c r="T5" s="62">
        <v>7</v>
      </c>
      <c r="U5" s="62">
        <f t="shared" si="4"/>
        <v>10</v>
      </c>
    </row>
    <row r="6" spans="1:34" ht="15.75" customHeight="1">
      <c r="B6" s="2" t="s">
        <v>60</v>
      </c>
      <c r="C6" s="2"/>
      <c r="D6" s="2"/>
      <c r="E6" s="2"/>
      <c r="F6" s="85">
        <f>3/3</f>
        <v>1</v>
      </c>
      <c r="G6" s="66">
        <f>8/11</f>
        <v>0.72727272727272729</v>
      </c>
      <c r="H6" s="67">
        <f>3/3</f>
        <v>1</v>
      </c>
      <c r="I6" s="67">
        <f>7/10</f>
        <v>0.7</v>
      </c>
      <c r="J6" s="68">
        <f t="shared" si="5"/>
        <v>1</v>
      </c>
      <c r="K6" s="68">
        <f>5/9</f>
        <v>0.55555555555555558</v>
      </c>
      <c r="M6" s="85">
        <f>3</f>
        <v>3</v>
      </c>
      <c r="N6" s="66">
        <f>7</f>
        <v>7</v>
      </c>
      <c r="O6" s="66">
        <f t="shared" si="2"/>
        <v>10</v>
      </c>
      <c r="P6" s="67">
        <f>3</f>
        <v>3</v>
      </c>
      <c r="Q6" s="67">
        <f>7</f>
        <v>7</v>
      </c>
      <c r="R6" s="67">
        <f t="shared" si="3"/>
        <v>10</v>
      </c>
      <c r="S6" s="68">
        <f>3</f>
        <v>3</v>
      </c>
      <c r="T6" s="68">
        <f>6</f>
        <v>6</v>
      </c>
      <c r="U6" s="68">
        <f t="shared" si="4"/>
        <v>9</v>
      </c>
    </row>
    <row r="7" spans="1:34" ht="15.75" customHeight="1">
      <c r="B7" s="2" t="s">
        <v>61</v>
      </c>
      <c r="C7" s="2"/>
      <c r="D7" s="2"/>
      <c r="E7" s="2"/>
      <c r="F7" s="84">
        <f>3/3</f>
        <v>1</v>
      </c>
      <c r="G7" s="62">
        <f>6/10</f>
        <v>0.6</v>
      </c>
      <c r="H7" s="60">
        <f>2/3</f>
        <v>0.66666666666666663</v>
      </c>
      <c r="I7" s="60">
        <f>6/9</f>
        <v>0.66666666666666663</v>
      </c>
      <c r="J7" s="61">
        <f>3/3</f>
        <v>1</v>
      </c>
      <c r="K7" s="61">
        <f>7/11</f>
        <v>0.63636363636363635</v>
      </c>
      <c r="M7" s="84">
        <f>3</f>
        <v>3</v>
      </c>
      <c r="N7" s="62">
        <f>5</f>
        <v>5</v>
      </c>
      <c r="O7" s="62">
        <f t="shared" si="2"/>
        <v>8</v>
      </c>
      <c r="P7" s="60">
        <f>1</f>
        <v>1</v>
      </c>
      <c r="Q7" s="60">
        <f>3</f>
        <v>3</v>
      </c>
      <c r="R7" s="60">
        <f t="shared" si="3"/>
        <v>4</v>
      </c>
      <c r="S7" s="61">
        <f>2</f>
        <v>2</v>
      </c>
      <c r="T7" s="61">
        <f>6</f>
        <v>6</v>
      </c>
      <c r="U7" s="61">
        <f t="shared" si="4"/>
        <v>8</v>
      </c>
    </row>
    <row r="8" spans="1:34" ht="15.75" customHeight="1">
      <c r="B8" s="2" t="s">
        <v>62</v>
      </c>
      <c r="C8" s="2"/>
      <c r="D8" s="2"/>
      <c r="E8" s="2"/>
      <c r="F8" s="96">
        <v>1</v>
      </c>
      <c r="G8" s="71">
        <f>7/9</f>
        <v>0.77777777777777779</v>
      </c>
      <c r="H8" s="61">
        <f>3/3</f>
        <v>1</v>
      </c>
      <c r="I8" s="61">
        <f>7/11</f>
        <v>0.63636363636363635</v>
      </c>
      <c r="J8" s="62">
        <f t="shared" ref="J8" si="6">2/3</f>
        <v>0.66666666666666663</v>
      </c>
      <c r="K8" s="62">
        <f>6/10</f>
        <v>0.6</v>
      </c>
      <c r="M8" s="96">
        <v>1</v>
      </c>
      <c r="N8" s="71">
        <f>5</f>
        <v>5</v>
      </c>
      <c r="O8" s="71">
        <f t="shared" si="2"/>
        <v>6</v>
      </c>
      <c r="P8" s="61">
        <f>3</f>
        <v>3</v>
      </c>
      <c r="Q8" s="61">
        <f>7</f>
        <v>7</v>
      </c>
      <c r="R8" s="61">
        <f t="shared" si="3"/>
        <v>10</v>
      </c>
      <c r="S8" s="62">
        <f>2</f>
        <v>2</v>
      </c>
      <c r="T8" s="62">
        <f>5</f>
        <v>5</v>
      </c>
      <c r="U8" s="62">
        <f t="shared" si="4"/>
        <v>7</v>
      </c>
    </row>
    <row r="9" spans="1:34" ht="15.75" customHeight="1">
      <c r="B9" s="2" t="s">
        <v>63</v>
      </c>
      <c r="C9" s="2"/>
      <c r="D9" s="2"/>
      <c r="E9" s="2"/>
      <c r="F9" s="85">
        <f>2/3</f>
        <v>0.66666666666666663</v>
      </c>
      <c r="G9" s="61">
        <f>6/11</f>
        <v>0.54545454545454541</v>
      </c>
      <c r="H9" s="62">
        <f>2/3</f>
        <v>0.66666666666666663</v>
      </c>
      <c r="I9" s="62">
        <f>9/10</f>
        <v>0.9</v>
      </c>
      <c r="J9" s="60">
        <f>3/3</f>
        <v>1</v>
      </c>
      <c r="K9" s="60">
        <f>6/9</f>
        <v>0.66666666666666663</v>
      </c>
      <c r="M9" s="85">
        <f>2</f>
        <v>2</v>
      </c>
      <c r="N9" s="61">
        <f>4</f>
        <v>4</v>
      </c>
      <c r="O9" s="61">
        <f t="shared" si="2"/>
        <v>6</v>
      </c>
      <c r="P9" s="62">
        <f>2</f>
        <v>2</v>
      </c>
      <c r="Q9" s="62">
        <f>5</f>
        <v>5</v>
      </c>
      <c r="R9" s="62">
        <f t="shared" si="3"/>
        <v>7</v>
      </c>
      <c r="S9" s="60">
        <f>3</f>
        <v>3</v>
      </c>
      <c r="T9" s="60">
        <f>3</f>
        <v>3</v>
      </c>
      <c r="U9" s="60">
        <f t="shared" si="4"/>
        <v>6</v>
      </c>
    </row>
    <row r="10" spans="1:34" ht="15.75" customHeight="1">
      <c r="B10" s="2" t="s">
        <v>88</v>
      </c>
      <c r="C10" s="2"/>
      <c r="D10" s="2"/>
      <c r="E10" s="2"/>
      <c r="F10" s="84">
        <f>3/3</f>
        <v>1</v>
      </c>
      <c r="G10" s="62">
        <f>7/10</f>
        <v>0.7</v>
      </c>
      <c r="H10" s="60">
        <v>1</v>
      </c>
      <c r="I10" s="60">
        <f>8/9</f>
        <v>0.88888888888888884</v>
      </c>
      <c r="J10" s="61">
        <f t="shared" ref="J10" si="7">3/3</f>
        <v>1</v>
      </c>
      <c r="K10" s="61">
        <f>7/11</f>
        <v>0.63636363636363635</v>
      </c>
      <c r="M10" s="84">
        <f>3</f>
        <v>3</v>
      </c>
      <c r="N10" s="62">
        <f>4</f>
        <v>4</v>
      </c>
      <c r="O10" s="62">
        <f t="shared" si="2"/>
        <v>7</v>
      </c>
      <c r="P10" s="60">
        <v>3</v>
      </c>
      <c r="Q10" s="60">
        <f>6</f>
        <v>6</v>
      </c>
      <c r="R10" s="60">
        <f t="shared" si="3"/>
        <v>9</v>
      </c>
      <c r="S10" s="61">
        <f>3</f>
        <v>3</v>
      </c>
      <c r="T10" s="61">
        <f>9</f>
        <v>9</v>
      </c>
      <c r="U10" s="61">
        <f t="shared" si="4"/>
        <v>12</v>
      </c>
    </row>
    <row r="12" spans="1:34" ht="15.75" customHeight="1">
      <c r="A12" s="1">
        <v>42138</v>
      </c>
      <c r="B12" s="2" t="s">
        <v>56</v>
      </c>
      <c r="C12" s="2">
        <v>300</v>
      </c>
      <c r="D12" s="2">
        <v>269</v>
      </c>
      <c r="E12" s="2">
        <v>290</v>
      </c>
      <c r="F12" s="59">
        <f>3/3</f>
        <v>1</v>
      </c>
      <c r="G12" s="60">
        <f>6/9</f>
        <v>0.66666666666666663</v>
      </c>
      <c r="H12" s="61">
        <f t="shared" ref="H12:H13" si="8">3/3</f>
        <v>1</v>
      </c>
      <c r="I12" s="61">
        <f>7/11</f>
        <v>0.63636363636363635</v>
      </c>
      <c r="J12" s="62">
        <f t="shared" ref="J12:J13" si="9">3/3</f>
        <v>1</v>
      </c>
      <c r="K12" s="62">
        <f>7/10</f>
        <v>0.7</v>
      </c>
      <c r="M12" s="59">
        <f>3</f>
        <v>3</v>
      </c>
      <c r="N12" s="60">
        <f>6</f>
        <v>6</v>
      </c>
      <c r="O12" s="60">
        <f t="shared" si="2"/>
        <v>9</v>
      </c>
      <c r="P12" s="61">
        <f>3</f>
        <v>3</v>
      </c>
      <c r="Q12" s="61">
        <f>7</f>
        <v>7</v>
      </c>
      <c r="R12" s="61">
        <f t="shared" si="3"/>
        <v>10</v>
      </c>
      <c r="S12" s="62">
        <f>3</f>
        <v>3</v>
      </c>
      <c r="T12" s="62">
        <f>7</f>
        <v>7</v>
      </c>
      <c r="U12" s="62">
        <f t="shared" si="4"/>
        <v>10</v>
      </c>
    </row>
    <row r="13" spans="1:34" ht="15.75" customHeight="1">
      <c r="A13" s="1">
        <v>42138</v>
      </c>
      <c r="B13" s="2" t="s">
        <v>57</v>
      </c>
      <c r="C13" s="2">
        <v>300</v>
      </c>
      <c r="D13" s="2">
        <v>300</v>
      </c>
      <c r="E13" s="2">
        <v>300</v>
      </c>
      <c r="F13" s="63">
        <f t="shared" ref="F13:F15" si="10">2/3</f>
        <v>0.66666666666666663</v>
      </c>
      <c r="G13" s="63">
        <f>3/11</f>
        <v>0.27272727272727271</v>
      </c>
      <c r="H13" s="64">
        <f t="shared" si="8"/>
        <v>1</v>
      </c>
      <c r="I13" s="64">
        <f>1/10</f>
        <v>0.1</v>
      </c>
      <c r="J13" s="59">
        <f t="shared" si="9"/>
        <v>1</v>
      </c>
      <c r="K13" s="59">
        <f>3/9</f>
        <v>0.33333333333333331</v>
      </c>
      <c r="M13" s="63">
        <f>2</f>
        <v>2</v>
      </c>
      <c r="N13" s="63">
        <f>3</f>
        <v>3</v>
      </c>
      <c r="O13" s="63">
        <f t="shared" si="2"/>
        <v>5</v>
      </c>
      <c r="P13" s="64">
        <f>3</f>
        <v>3</v>
      </c>
      <c r="Q13" s="64">
        <f>1</f>
        <v>1</v>
      </c>
      <c r="R13" s="64">
        <f t="shared" si="3"/>
        <v>4</v>
      </c>
      <c r="S13" s="59">
        <f>3</f>
        <v>3</v>
      </c>
      <c r="T13" s="59">
        <f>3</f>
        <v>3</v>
      </c>
      <c r="U13" s="59">
        <f t="shared" si="4"/>
        <v>6</v>
      </c>
    </row>
    <row r="14" spans="1:34" ht="15.75" customHeight="1">
      <c r="A14" s="1">
        <v>42139</v>
      </c>
      <c r="B14" s="2" t="s">
        <v>58</v>
      </c>
      <c r="C14" s="2">
        <v>300</v>
      </c>
      <c r="D14" s="2">
        <v>300</v>
      </c>
      <c r="E14" s="2">
        <v>300</v>
      </c>
      <c r="F14" s="64">
        <f t="shared" si="10"/>
        <v>0.66666666666666663</v>
      </c>
      <c r="G14" s="62">
        <f>1/10</f>
        <v>0.1</v>
      </c>
      <c r="H14" s="60">
        <f>1/3</f>
        <v>0.33333333333333331</v>
      </c>
      <c r="I14" s="60">
        <f>2/9</f>
        <v>0.22222222222222221</v>
      </c>
      <c r="J14" s="61">
        <f>1/3</f>
        <v>0.33333333333333331</v>
      </c>
      <c r="K14" s="61">
        <f>3/11</f>
        <v>0.27272727272727271</v>
      </c>
      <c r="M14" s="64">
        <f>2</f>
        <v>2</v>
      </c>
      <c r="N14" s="62">
        <f>1</f>
        <v>1</v>
      </c>
      <c r="O14" s="62">
        <f t="shared" si="2"/>
        <v>3</v>
      </c>
      <c r="P14" s="60">
        <f>1</f>
        <v>1</v>
      </c>
      <c r="Q14" s="60">
        <f>2</f>
        <v>2</v>
      </c>
      <c r="R14" s="60">
        <f t="shared" si="3"/>
        <v>3</v>
      </c>
      <c r="S14" s="61">
        <f>1</f>
        <v>1</v>
      </c>
      <c r="T14" s="61">
        <f>3</f>
        <v>3</v>
      </c>
      <c r="U14" s="61">
        <f t="shared" si="4"/>
        <v>4</v>
      </c>
    </row>
    <row r="15" spans="1:34" ht="15.75" customHeight="1">
      <c r="A15" s="1">
        <v>42139</v>
      </c>
      <c r="B15" s="2" t="s">
        <v>59</v>
      </c>
      <c r="C15" s="2">
        <v>300</v>
      </c>
      <c r="D15" s="2">
        <v>247</v>
      </c>
      <c r="E15" s="2">
        <v>179</v>
      </c>
      <c r="F15" s="59">
        <f t="shared" si="10"/>
        <v>0.66666666666666663</v>
      </c>
      <c r="G15" s="59">
        <f>5/9</f>
        <v>0.55555555555555558</v>
      </c>
      <c r="H15" s="63">
        <f>2/3</f>
        <v>0.66666666666666663</v>
      </c>
      <c r="I15" s="63">
        <f>7/11</f>
        <v>0.63636363636363635</v>
      </c>
      <c r="J15" s="64">
        <f t="shared" ref="J15:J16" si="11">3/3</f>
        <v>1</v>
      </c>
      <c r="K15" s="62">
        <f>9/10</f>
        <v>0.9</v>
      </c>
      <c r="M15" s="59">
        <f>2</f>
        <v>2</v>
      </c>
      <c r="N15" s="59">
        <f>5</f>
        <v>5</v>
      </c>
      <c r="O15" s="59">
        <f t="shared" si="2"/>
        <v>7</v>
      </c>
      <c r="P15" s="63">
        <f>2</f>
        <v>2</v>
      </c>
      <c r="Q15" s="63">
        <f>7</f>
        <v>7</v>
      </c>
      <c r="R15" s="63">
        <f t="shared" si="3"/>
        <v>9</v>
      </c>
      <c r="S15" s="64">
        <f>3</f>
        <v>3</v>
      </c>
      <c r="T15" s="62">
        <f>9</f>
        <v>9</v>
      </c>
      <c r="U15" s="62">
        <f t="shared" si="4"/>
        <v>12</v>
      </c>
    </row>
    <row r="16" spans="1:34" ht="15.75" customHeight="1">
      <c r="A16" s="65">
        <v>42142</v>
      </c>
      <c r="B16" s="2" t="s">
        <v>60</v>
      </c>
      <c r="C16" s="2">
        <v>300</v>
      </c>
      <c r="D16" s="2">
        <v>300</v>
      </c>
      <c r="E16" s="2">
        <v>300</v>
      </c>
      <c r="F16" s="63">
        <f t="shared" ref="F16:F17" si="12">3/3</f>
        <v>1</v>
      </c>
      <c r="G16" s="66">
        <f>7/11</f>
        <v>0.63636363636363635</v>
      </c>
      <c r="H16" s="67">
        <f>3/3</f>
        <v>1</v>
      </c>
      <c r="I16" s="67">
        <f>6/10</f>
        <v>0.6</v>
      </c>
      <c r="J16" s="68">
        <f t="shared" si="11"/>
        <v>1</v>
      </c>
      <c r="K16" s="68">
        <f>6/9</f>
        <v>0.66666666666666663</v>
      </c>
      <c r="M16" s="63">
        <f>3</f>
        <v>3</v>
      </c>
      <c r="N16" s="66">
        <f>7</f>
        <v>7</v>
      </c>
      <c r="O16" s="66">
        <f t="shared" si="2"/>
        <v>10</v>
      </c>
      <c r="P16" s="67">
        <f>3</f>
        <v>3</v>
      </c>
      <c r="Q16" s="67">
        <f>7</f>
        <v>7</v>
      </c>
      <c r="R16" s="67">
        <f t="shared" si="3"/>
        <v>10</v>
      </c>
      <c r="S16" s="68">
        <f>3</f>
        <v>3</v>
      </c>
      <c r="T16" s="68">
        <f>6</f>
        <v>6</v>
      </c>
      <c r="U16" s="68">
        <f t="shared" si="4"/>
        <v>9</v>
      </c>
      <c r="V16" s="69"/>
      <c r="Z16" s="69"/>
      <c r="AD16" s="69"/>
      <c r="AH16" s="69"/>
    </row>
    <row r="17" spans="1:21" ht="15.75" customHeight="1">
      <c r="A17" s="1">
        <v>42142</v>
      </c>
      <c r="B17" s="2" t="s">
        <v>61</v>
      </c>
      <c r="C17" s="2">
        <v>300</v>
      </c>
      <c r="D17" s="2">
        <v>268</v>
      </c>
      <c r="E17" s="2">
        <v>300</v>
      </c>
      <c r="F17" s="64">
        <f t="shared" si="12"/>
        <v>1</v>
      </c>
      <c r="G17" s="62">
        <f>5/10</f>
        <v>0.5</v>
      </c>
      <c r="H17" s="60">
        <f>1/3</f>
        <v>0.33333333333333331</v>
      </c>
      <c r="I17" s="60">
        <f>3/9</f>
        <v>0.33333333333333331</v>
      </c>
      <c r="J17" s="61">
        <f t="shared" ref="J17:J18" si="13">2/3</f>
        <v>0.66666666666666663</v>
      </c>
      <c r="K17" s="61">
        <f>6/11</f>
        <v>0.54545454545454541</v>
      </c>
      <c r="M17" s="64">
        <f>3</f>
        <v>3</v>
      </c>
      <c r="N17" s="62">
        <f>5</f>
        <v>5</v>
      </c>
      <c r="O17" s="62">
        <f t="shared" si="2"/>
        <v>8</v>
      </c>
      <c r="P17" s="60">
        <f>1</f>
        <v>1</v>
      </c>
      <c r="Q17" s="60">
        <f>3</f>
        <v>3</v>
      </c>
      <c r="R17" s="60">
        <f t="shared" si="3"/>
        <v>4</v>
      </c>
      <c r="S17" s="61">
        <f>2</f>
        <v>2</v>
      </c>
      <c r="T17" s="61">
        <f>6</f>
        <v>6</v>
      </c>
      <c r="U17" s="61">
        <f t="shared" si="4"/>
        <v>8</v>
      </c>
    </row>
    <row r="18" spans="1:21" ht="15.75" customHeight="1">
      <c r="A18" s="1">
        <v>42143</v>
      </c>
      <c r="B18" s="2" t="s">
        <v>62</v>
      </c>
      <c r="C18" s="2">
        <v>300</v>
      </c>
      <c r="D18" s="2">
        <v>255</v>
      </c>
      <c r="E18" s="2">
        <v>300</v>
      </c>
      <c r="F18" s="70">
        <f t="shared" ref="F18:F20" si="14">2/3</f>
        <v>0.66666666666666663</v>
      </c>
      <c r="G18" s="71">
        <f>5/9</f>
        <v>0.55555555555555558</v>
      </c>
      <c r="H18" s="61">
        <f>3/3</f>
        <v>1</v>
      </c>
      <c r="I18" s="61">
        <f>7/11</f>
        <v>0.63636363636363635</v>
      </c>
      <c r="J18" s="62">
        <f t="shared" si="13"/>
        <v>0.66666666666666663</v>
      </c>
      <c r="K18" s="62">
        <f>5/10</f>
        <v>0.5</v>
      </c>
      <c r="M18" s="109">
        <f>2</f>
        <v>2</v>
      </c>
      <c r="N18" s="71">
        <f>5</f>
        <v>5</v>
      </c>
      <c r="O18" s="71">
        <f t="shared" si="2"/>
        <v>7</v>
      </c>
      <c r="P18" s="61">
        <f>3</f>
        <v>3</v>
      </c>
      <c r="Q18" s="61">
        <f>7</f>
        <v>7</v>
      </c>
      <c r="R18" s="61">
        <f t="shared" si="3"/>
        <v>10</v>
      </c>
      <c r="S18" s="62">
        <f>2</f>
        <v>2</v>
      </c>
      <c r="T18" s="62">
        <f>5</f>
        <v>5</v>
      </c>
      <c r="U18" s="62">
        <f t="shared" si="4"/>
        <v>7</v>
      </c>
    </row>
    <row r="19" spans="1:21" ht="15.75" customHeight="1">
      <c r="A19" s="1">
        <v>42143</v>
      </c>
      <c r="B19" s="2" t="s">
        <v>63</v>
      </c>
      <c r="C19" s="2">
        <v>284</v>
      </c>
      <c r="D19" s="2">
        <v>300</v>
      </c>
      <c r="E19" s="2">
        <v>300</v>
      </c>
      <c r="F19" s="63">
        <f t="shared" si="14"/>
        <v>0.66666666666666663</v>
      </c>
      <c r="G19" s="61">
        <f>4/11</f>
        <v>0.36363636363636365</v>
      </c>
      <c r="H19" s="62">
        <f>2/3</f>
        <v>0.66666666666666663</v>
      </c>
      <c r="I19" s="62">
        <f>5/10</f>
        <v>0.5</v>
      </c>
      <c r="J19" s="60">
        <f>3/3</f>
        <v>1</v>
      </c>
      <c r="K19" s="60">
        <f>3/9</f>
        <v>0.33333333333333331</v>
      </c>
      <c r="M19" s="63">
        <f>2</f>
        <v>2</v>
      </c>
      <c r="N19" s="61">
        <f>4</f>
        <v>4</v>
      </c>
      <c r="O19" s="61">
        <f t="shared" si="2"/>
        <v>6</v>
      </c>
      <c r="P19" s="62">
        <f>2</f>
        <v>2</v>
      </c>
      <c r="Q19" s="62">
        <f>5</f>
        <v>5</v>
      </c>
      <c r="R19" s="62">
        <f t="shared" si="3"/>
        <v>7</v>
      </c>
      <c r="S19" s="60">
        <f>3</f>
        <v>3</v>
      </c>
      <c r="T19" s="60">
        <f>3</f>
        <v>3</v>
      </c>
      <c r="U19" s="60">
        <f t="shared" si="4"/>
        <v>6</v>
      </c>
    </row>
    <row r="20" spans="1:21" ht="15.75" customHeight="1">
      <c r="A20" s="1">
        <v>42144</v>
      </c>
      <c r="B20" s="2" t="s">
        <v>88</v>
      </c>
      <c r="C20" s="2">
        <v>300</v>
      </c>
      <c r="D20" s="2">
        <v>300</v>
      </c>
      <c r="E20" s="2">
        <v>300</v>
      </c>
      <c r="F20" s="62">
        <f t="shared" si="14"/>
        <v>0.66666666666666663</v>
      </c>
      <c r="G20" s="62">
        <f>5/10</f>
        <v>0.5</v>
      </c>
      <c r="H20" s="60">
        <f>3/3</f>
        <v>1</v>
      </c>
      <c r="I20" s="60">
        <f>6/9</f>
        <v>0.66666666666666663</v>
      </c>
      <c r="J20" s="61">
        <f t="shared" ref="J20" si="15">3/3</f>
        <v>1</v>
      </c>
      <c r="K20" s="61">
        <f>9/11</f>
        <v>0.81818181818181823</v>
      </c>
      <c r="M20" s="62">
        <f>2</f>
        <v>2</v>
      </c>
      <c r="N20" s="62">
        <f>4</f>
        <v>4</v>
      </c>
      <c r="O20" s="62">
        <f t="shared" si="2"/>
        <v>6</v>
      </c>
      <c r="P20" s="60">
        <v>3</v>
      </c>
      <c r="Q20" s="60">
        <v>6</v>
      </c>
      <c r="R20" s="60">
        <f t="shared" si="3"/>
        <v>9</v>
      </c>
      <c r="S20" s="61">
        <f>3</f>
        <v>3</v>
      </c>
      <c r="T20" s="61">
        <f>9</f>
        <v>9</v>
      </c>
      <c r="U20" s="61">
        <f t="shared" si="4"/>
        <v>12</v>
      </c>
    </row>
    <row r="22" spans="1:21" ht="15.75" customHeight="1">
      <c r="B22" s="72"/>
      <c r="C22" s="73"/>
      <c r="D22" s="73"/>
      <c r="E22" s="73"/>
      <c r="F22" s="73"/>
      <c r="G22" s="73"/>
      <c r="H22" s="73"/>
      <c r="I22" s="73"/>
      <c r="J22" s="73"/>
      <c r="K22" s="73"/>
    </row>
    <row r="23" spans="1:21" ht="15.75" customHeight="1">
      <c r="B23" s="2"/>
    </row>
    <row r="24" spans="1:21" ht="15.75" customHeight="1">
      <c r="F24" s="10" t="s">
        <v>114</v>
      </c>
      <c r="J24" s="10" t="s">
        <v>115</v>
      </c>
    </row>
    <row r="25" spans="1:21" ht="15.75" customHeight="1">
      <c r="F25" s="74" t="s">
        <v>67</v>
      </c>
      <c r="G25" s="12" t="s">
        <v>15</v>
      </c>
      <c r="H25" s="12" t="s">
        <v>16</v>
      </c>
      <c r="I25" s="15" t="s">
        <v>17</v>
      </c>
      <c r="J25" s="74" t="s">
        <v>67</v>
      </c>
      <c r="K25" s="12" t="s">
        <v>15</v>
      </c>
      <c r="L25" s="12" t="s">
        <v>16</v>
      </c>
      <c r="M25" s="15" t="s">
        <v>17</v>
      </c>
      <c r="P25" s="97" t="s">
        <v>67</v>
      </c>
      <c r="Q25" s="98" t="s">
        <v>15</v>
      </c>
      <c r="R25" s="98" t="s">
        <v>16</v>
      </c>
      <c r="S25" s="99" t="s">
        <v>17</v>
      </c>
    </row>
    <row r="26" spans="1:21" ht="15.75" customHeight="1">
      <c r="F26" s="33" t="s">
        <v>68</v>
      </c>
      <c r="G26" s="10">
        <f>AVERAGE(F12,F15,F18)</f>
        <v>0.77777777777777768</v>
      </c>
      <c r="H26" s="10">
        <f>AVERAGE(H14,H17,H20)</f>
        <v>0.55555555555555547</v>
      </c>
      <c r="I26" s="75">
        <f>AVERAGE(J13,J16,J19)</f>
        <v>1</v>
      </c>
      <c r="J26" s="33" t="s">
        <v>68</v>
      </c>
      <c r="K26" s="86">
        <f>AVERAGE(F2,F5,F8)</f>
        <v>0.89</v>
      </c>
      <c r="L26" s="10">
        <f>AVERAGE(H4,H7,H10)</f>
        <v>0.77777777777777768</v>
      </c>
      <c r="M26" s="75">
        <f>AVERAGE(J3,J6,J9)</f>
        <v>0.88888888888888884</v>
      </c>
      <c r="P26" s="100" t="s">
        <v>104</v>
      </c>
      <c r="Q26" s="57">
        <f>AVERAGE(O2,O5,O8,O12,O15,O18)</f>
        <v>7.5</v>
      </c>
      <c r="R26" s="57">
        <f>AVERAGE(R4,R7,R10,R14,R17,R20)</f>
        <v>5.333333333333333</v>
      </c>
      <c r="S26" s="58">
        <f>AVERAGE(U3,U6,U9,U13,U16,U19)</f>
        <v>7</v>
      </c>
    </row>
    <row r="27" spans="1:21" ht="15.75" customHeight="1">
      <c r="C27" s="2" t="s">
        <v>64</v>
      </c>
      <c r="D27" s="2" t="s">
        <v>65</v>
      </c>
      <c r="E27" s="2" t="s">
        <v>66</v>
      </c>
      <c r="F27" s="34" t="s">
        <v>69</v>
      </c>
      <c r="G27" s="76">
        <f>AVERAGE(G12,G15,G18)</f>
        <v>0.59259259259259267</v>
      </c>
      <c r="H27" s="76">
        <f>AVERAGE(I14,I17,I20)</f>
        <v>0.40740740740740744</v>
      </c>
      <c r="I27" s="77">
        <f>AVERAGE(K13,K16,K19)</f>
        <v>0.44444444444444442</v>
      </c>
      <c r="J27" s="34" t="s">
        <v>69</v>
      </c>
      <c r="K27" s="76">
        <f>AVERAGE(G2,G5,G8)</f>
        <v>0.70370370370370372</v>
      </c>
      <c r="L27" s="76">
        <f>AVERAGE(I4,I7,I10)</f>
        <v>0.66666666666666663</v>
      </c>
      <c r="M27" s="77">
        <f>AVERAGE(K3,K6,K9)</f>
        <v>0.59259259259259256</v>
      </c>
      <c r="P27" s="2"/>
    </row>
    <row r="28" spans="1:21" ht="15.75" customHeight="1">
      <c r="C28" s="69">
        <f>90/483</f>
        <v>0.18633540372670807</v>
      </c>
      <c r="D28" s="10">
        <f>27/481</f>
        <v>5.6133056133056136E-2</v>
      </c>
      <c r="E28" s="10">
        <f>30/430</f>
        <v>6.9767441860465115E-2</v>
      </c>
      <c r="F28" s="2"/>
      <c r="J28" s="2"/>
      <c r="P28" s="101" t="s">
        <v>70</v>
      </c>
      <c r="Q28" s="98" t="s">
        <v>15</v>
      </c>
      <c r="R28" s="98" t="s">
        <v>16</v>
      </c>
      <c r="S28" s="99" t="s">
        <v>17</v>
      </c>
    </row>
    <row r="29" spans="1:21" ht="15.75" customHeight="1">
      <c r="C29" s="69">
        <f>160/483</f>
        <v>0.33126293995859213</v>
      </c>
      <c r="D29" s="10">
        <f>34/481</f>
        <v>7.068607068607069E-2</v>
      </c>
      <c r="E29" s="10">
        <f>42/430</f>
        <v>9.7674418604651161E-2</v>
      </c>
      <c r="F29" s="78" t="s">
        <v>70</v>
      </c>
      <c r="G29" s="12" t="s">
        <v>15</v>
      </c>
      <c r="H29" s="12" t="s">
        <v>16</v>
      </c>
      <c r="I29" s="15" t="s">
        <v>17</v>
      </c>
      <c r="J29" s="78" t="s">
        <v>70</v>
      </c>
      <c r="K29" s="12" t="s">
        <v>15</v>
      </c>
      <c r="L29" s="12" t="s">
        <v>16</v>
      </c>
      <c r="M29" s="15" t="s">
        <v>17</v>
      </c>
      <c r="P29" s="100" t="s">
        <v>104</v>
      </c>
      <c r="Q29" s="57">
        <f>AVERAGE(O3,O6,O9,O13,O16,O19)</f>
        <v>7.166666666666667</v>
      </c>
      <c r="R29" s="57">
        <f>AVERAGE(R2,R5,R8,R12,R16,R15,R18)</f>
        <v>9.7142857142857135</v>
      </c>
      <c r="S29" s="58">
        <f>AVERAGE(U4,U7,U10,U14,U17,U20)</f>
        <v>8</v>
      </c>
    </row>
    <row r="30" spans="1:21" ht="15.75" customHeight="1">
      <c r="C30" s="69">
        <f>210/483</f>
        <v>0.43478260869565216</v>
      </c>
      <c r="D30" s="10">
        <f>127/481</f>
        <v>0.26403326403326405</v>
      </c>
      <c r="E30" s="10">
        <f>80/430</f>
        <v>0.18604651162790697</v>
      </c>
      <c r="F30" s="33" t="s">
        <v>68</v>
      </c>
      <c r="G30" s="10">
        <f>AVERAGE(F13,F16,F19)</f>
        <v>0.77777777777777768</v>
      </c>
      <c r="H30" s="10">
        <f>AVERAGE(H12,H15,H18)</f>
        <v>0.88888888888888884</v>
      </c>
      <c r="I30" s="75">
        <f>AVERAGE(J14,J17,J20)</f>
        <v>0.66666666666666663</v>
      </c>
      <c r="J30" s="33" t="s">
        <v>68</v>
      </c>
      <c r="K30" s="10">
        <f>AVERAGE(F3,F6,F9)</f>
        <v>0.88888888888888884</v>
      </c>
      <c r="L30" s="10">
        <f>AVERAGE(H2,H5,H8)</f>
        <v>1</v>
      </c>
      <c r="M30" s="75">
        <f>AVERAGE(J4,J7,J10)</f>
        <v>0.88888888888888884</v>
      </c>
      <c r="P30" s="2"/>
    </row>
    <row r="31" spans="1:21" ht="15.75" customHeight="1">
      <c r="C31" s="69">
        <f>298/483</f>
        <v>0.61697722567287783</v>
      </c>
      <c r="D31" s="10">
        <f>207/481</f>
        <v>0.43035343035343038</v>
      </c>
      <c r="E31" s="10">
        <f>160/430</f>
        <v>0.37209302325581395</v>
      </c>
      <c r="F31" s="34" t="s">
        <v>69</v>
      </c>
      <c r="G31" s="76">
        <f>AVERAGE(G13,G16,G19)</f>
        <v>0.42424242424242425</v>
      </c>
      <c r="H31" s="76">
        <f>AVERAGE(I12,I15,I18)</f>
        <v>0.63636363636363635</v>
      </c>
      <c r="I31" s="77">
        <f>AVERAGE(K14,K17,K20)</f>
        <v>0.54545454545454541</v>
      </c>
      <c r="J31" s="34" t="s">
        <v>69</v>
      </c>
      <c r="K31" s="76">
        <f>AVERAGE(G3,G6,G9)</f>
        <v>0.42424242424242425</v>
      </c>
      <c r="L31" s="76">
        <f>AVERAGE(I2,I5,I8)</f>
        <v>0.60606060606060608</v>
      </c>
      <c r="M31" s="77">
        <f>AVERAGE(K4,K7,K10)</f>
        <v>0.54545454545454541</v>
      </c>
      <c r="P31" s="102" t="s">
        <v>71</v>
      </c>
      <c r="Q31" s="98" t="s">
        <v>15</v>
      </c>
      <c r="R31" s="98" t="s">
        <v>16</v>
      </c>
      <c r="S31" s="99" t="s">
        <v>17</v>
      </c>
    </row>
    <row r="32" spans="1:21" ht="15.75" customHeight="1">
      <c r="C32" s="69">
        <f>317/483</f>
        <v>0.65631469979296064</v>
      </c>
      <c r="D32" s="69">
        <f>218/481</f>
        <v>0.45322245322245325</v>
      </c>
      <c r="E32" s="69">
        <f>300/430</f>
        <v>0.69767441860465118</v>
      </c>
      <c r="F32" s="2"/>
      <c r="J32" s="2"/>
      <c r="P32" s="100" t="s">
        <v>104</v>
      </c>
      <c r="Q32" s="57">
        <f>AVERAGE(O4,O7,O10,O14,O17,O20)</f>
        <v>5.833333333333333</v>
      </c>
      <c r="R32" s="57">
        <f>AVERAGE(R3,R6,R9,R13,R19,R16)</f>
        <v>7</v>
      </c>
      <c r="S32" s="58">
        <f>AVERAGE(U2,U5,U8,U12,U15,U18)</f>
        <v>9.3333333333333339</v>
      </c>
    </row>
    <row r="33" spans="3:19" ht="15.75" customHeight="1">
      <c r="D33" s="10">
        <f>236/481</f>
        <v>0.49064449064449067</v>
      </c>
      <c r="E33" s="10">
        <f>334/430</f>
        <v>0.77674418604651163</v>
      </c>
      <c r="F33" s="79" t="s">
        <v>71</v>
      </c>
      <c r="G33" s="12" t="s">
        <v>15</v>
      </c>
      <c r="H33" s="12" t="s">
        <v>16</v>
      </c>
      <c r="I33" s="15" t="s">
        <v>17</v>
      </c>
      <c r="J33" s="79" t="s">
        <v>71</v>
      </c>
      <c r="K33" s="12" t="s">
        <v>15</v>
      </c>
      <c r="L33" s="12" t="s">
        <v>16</v>
      </c>
      <c r="M33" s="15" t="s">
        <v>17</v>
      </c>
      <c r="P33" s="2"/>
    </row>
    <row r="34" spans="3:19" ht="15.75" customHeight="1">
      <c r="D34" s="10">
        <f>440/481</f>
        <v>0.91476091476091481</v>
      </c>
      <c r="E34" s="10">
        <f>352/430</f>
        <v>0.81860465116279069</v>
      </c>
      <c r="F34" s="33" t="s">
        <v>68</v>
      </c>
      <c r="G34" s="10">
        <f>AVERAGE(F14,F17,F20)</f>
        <v>0.77777777777777768</v>
      </c>
      <c r="H34" s="10">
        <f>AVERAGE(H13,H16,H19)</f>
        <v>0.88888888888888884</v>
      </c>
      <c r="I34" s="75">
        <f>AVERAGE(J12,J15,J18)</f>
        <v>0.88888888888888884</v>
      </c>
      <c r="J34" s="33" t="s">
        <v>68</v>
      </c>
      <c r="K34" s="10">
        <f>AVERAGE(F7,F10,F4)</f>
        <v>0.89</v>
      </c>
      <c r="L34" s="10">
        <f>AVERAGE(H3,H6,H9)</f>
        <v>0.77777777777777768</v>
      </c>
      <c r="M34" s="75">
        <f>AVERAGE(J2,J5,J8)</f>
        <v>0.88888888888888884</v>
      </c>
      <c r="P34" s="103" t="s">
        <v>75</v>
      </c>
      <c r="Q34" s="104" t="s">
        <v>15</v>
      </c>
      <c r="R34" s="104" t="s">
        <v>16</v>
      </c>
      <c r="S34" s="105" t="s">
        <v>17</v>
      </c>
    </row>
    <row r="35" spans="3:19" ht="15.75" customHeight="1">
      <c r="E35" s="10">
        <f>377/430</f>
        <v>0.87674418604651161</v>
      </c>
      <c r="F35" s="34" t="s">
        <v>69</v>
      </c>
      <c r="G35" s="76">
        <f>AVERAGE(G14,G17,G20)</f>
        <v>0.3666666666666667</v>
      </c>
      <c r="H35" s="76">
        <f>AVERAGE(I13,I16,I19)</f>
        <v>0.39999999999999997</v>
      </c>
      <c r="I35" s="77">
        <f>AVERAGE(K12,K15,K18)</f>
        <v>0.70000000000000007</v>
      </c>
      <c r="J35" s="34" t="s">
        <v>69</v>
      </c>
      <c r="K35" s="76">
        <f>AVERAGE(G4,G7,G10)</f>
        <v>0.5</v>
      </c>
      <c r="L35" s="76">
        <f>AVERAGE(I3,I6,I9)</f>
        <v>0.66666666666666663</v>
      </c>
      <c r="M35" s="87">
        <f>AVERAGE(K2,K5,K8)</f>
        <v>0.66666666666666663</v>
      </c>
      <c r="P35" s="106" t="s">
        <v>68</v>
      </c>
      <c r="Q35" s="107">
        <f>AVERAGE(O2:O20)</f>
        <v>6.833333333333333</v>
      </c>
      <c r="R35" s="107">
        <f>AVERAGE(R2:R20)</f>
        <v>7.333333333333333</v>
      </c>
      <c r="S35" s="108">
        <f>AVERAGE(U2:U20)</f>
        <v>8.1111111111111107</v>
      </c>
    </row>
    <row r="36" spans="3:19" ht="15.75" customHeight="1">
      <c r="E36" s="10">
        <f>422/430</f>
        <v>0.98139534883720925</v>
      </c>
      <c r="F36" s="2"/>
      <c r="J36" s="2"/>
    </row>
    <row r="37" spans="3:19" ht="15.75" customHeight="1">
      <c r="F37" s="82" t="s">
        <v>75</v>
      </c>
      <c r="G37" s="81" t="s">
        <v>15</v>
      </c>
      <c r="H37" s="81" t="s">
        <v>16</v>
      </c>
      <c r="I37" s="81" t="s">
        <v>17</v>
      </c>
      <c r="J37" s="82" t="s">
        <v>75</v>
      </c>
      <c r="K37" s="81" t="s">
        <v>15</v>
      </c>
      <c r="L37" s="81" t="s">
        <v>16</v>
      </c>
      <c r="M37" s="81" t="s">
        <v>17</v>
      </c>
    </row>
    <row r="38" spans="3:19" ht="15.75" customHeight="1">
      <c r="C38" s="2" t="s">
        <v>72</v>
      </c>
      <c r="D38" s="2" t="s">
        <v>73</v>
      </c>
      <c r="E38" s="2" t="s">
        <v>74</v>
      </c>
      <c r="F38" s="80" t="s">
        <v>68</v>
      </c>
      <c r="G38" s="81">
        <f>AVERAGE(G26,G30,G34)</f>
        <v>0.77777777777777768</v>
      </c>
      <c r="H38" s="81">
        <f t="shared" ref="H38:I39" si="16">AVERAGE(H26,H30,H34)</f>
        <v>0.77777777777777768</v>
      </c>
      <c r="I38" s="81">
        <f t="shared" si="16"/>
        <v>0.85185185185185175</v>
      </c>
      <c r="J38" s="80" t="s">
        <v>68</v>
      </c>
      <c r="K38" s="81">
        <f>AVERAGE(K26,K30,K34)</f>
        <v>0.88962962962962966</v>
      </c>
      <c r="L38" s="81">
        <f t="shared" ref="L38:M38" si="17">AVERAGE(L26,L30,L34)</f>
        <v>0.85185185185185175</v>
      </c>
      <c r="M38" s="81">
        <f t="shared" si="17"/>
        <v>0.88888888888888884</v>
      </c>
    </row>
    <row r="39" spans="3:19" ht="15.75" customHeight="1">
      <c r="C39" s="10">
        <f>70/483</f>
        <v>0.14492753623188406</v>
      </c>
      <c r="D39" s="10">
        <f>35/481</f>
        <v>7.2765072765072769E-2</v>
      </c>
      <c r="E39" s="10">
        <f>42/430</f>
        <v>9.7674418604651161E-2</v>
      </c>
      <c r="F39" s="80" t="s">
        <v>69</v>
      </c>
      <c r="G39" s="81">
        <f>AVERAGE(G27,G31,G35)</f>
        <v>0.46116722783389452</v>
      </c>
      <c r="H39" s="81">
        <f t="shared" si="16"/>
        <v>0.48125701459034786</v>
      </c>
      <c r="I39" s="81">
        <f t="shared" si="16"/>
        <v>0.5632996632996633</v>
      </c>
      <c r="J39" s="80" t="s">
        <v>69</v>
      </c>
      <c r="K39" s="81">
        <f>AVERAGE(K27,K31,K35)</f>
        <v>0.54264870931537601</v>
      </c>
      <c r="L39" s="81">
        <f t="shared" ref="L39:M39" si="18">AVERAGE(L27,L31,L35)</f>
        <v>0.64646464646464652</v>
      </c>
      <c r="M39" s="81">
        <f t="shared" si="18"/>
        <v>0.60157126823793483</v>
      </c>
    </row>
    <row r="40" spans="3:19" ht="15.75" customHeight="1">
      <c r="C40" s="10">
        <f>146/483</f>
        <v>0.3022774327122153</v>
      </c>
      <c r="D40" s="10">
        <f>148/481</f>
        <v>0.30769230769230771</v>
      </c>
      <c r="E40" s="10">
        <f>107/430</f>
        <v>0.24883720930232558</v>
      </c>
    </row>
    <row r="41" spans="3:19" ht="15.75" customHeight="1">
      <c r="C41" s="10">
        <f>222/483</f>
        <v>0.45962732919254656</v>
      </c>
      <c r="D41" s="10">
        <f>180/481</f>
        <v>0.37422037422037424</v>
      </c>
      <c r="E41" s="10">
        <f>243/430</f>
        <v>0.56511627906976747</v>
      </c>
      <c r="K41" s="10" t="s">
        <v>91</v>
      </c>
      <c r="L41" s="10" t="s">
        <v>92</v>
      </c>
      <c r="M41" s="10" t="s">
        <v>93</v>
      </c>
    </row>
    <row r="42" spans="3:19" ht="15.75" customHeight="1">
      <c r="C42" s="10">
        <f>266/483</f>
        <v>0.55072463768115942</v>
      </c>
      <c r="D42" s="10">
        <f>260/481</f>
        <v>0.54054054054054057</v>
      </c>
      <c r="E42" s="10">
        <f>290/430</f>
        <v>0.67441860465116277</v>
      </c>
      <c r="J42" s="88"/>
      <c r="K42" s="88" t="s">
        <v>15</v>
      </c>
      <c r="L42" s="88" t="s">
        <v>16</v>
      </c>
      <c r="M42" s="88" t="s">
        <v>17</v>
      </c>
    </row>
    <row r="43" spans="3:19" ht="15.75" customHeight="1">
      <c r="C43" s="69">
        <f>324/483</f>
        <v>0.67080745341614911</v>
      </c>
      <c r="D43" s="69">
        <f>381/481</f>
        <v>0.79209979209979209</v>
      </c>
      <c r="E43" s="69">
        <f>310/430</f>
        <v>0.72093023255813948</v>
      </c>
      <c r="J43" s="88" t="s">
        <v>89</v>
      </c>
      <c r="K43" s="132">
        <f t="shared" ref="K43:M44" si="19">AVERAGE(K47,K51,K55)</f>
        <v>0.83370370370370372</v>
      </c>
      <c r="L43" s="132">
        <f t="shared" si="19"/>
        <v>0.81481481481481477</v>
      </c>
      <c r="M43" s="132">
        <f t="shared" si="19"/>
        <v>0.87037037037037024</v>
      </c>
    </row>
    <row r="44" spans="3:19" ht="15.75" customHeight="1">
      <c r="C44" s="10">
        <f>346/483</f>
        <v>0.71635610766045543</v>
      </c>
      <c r="D44" s="10">
        <f>236/481</f>
        <v>0.49064449064449067</v>
      </c>
      <c r="E44" s="10">
        <f>332/430</f>
        <v>0.77209302325581397</v>
      </c>
      <c r="J44" s="88" t="s">
        <v>90</v>
      </c>
      <c r="K44" s="73">
        <f t="shared" si="19"/>
        <v>0.50190796857463527</v>
      </c>
      <c r="L44" s="73">
        <f t="shared" si="19"/>
        <v>0.56386083052749714</v>
      </c>
      <c r="M44" s="73">
        <f t="shared" si="19"/>
        <v>0.58243546576879912</v>
      </c>
    </row>
    <row r="45" spans="3:19" ht="15.75" customHeight="1">
      <c r="D45" s="10">
        <f>218/481</f>
        <v>0.45322245322245325</v>
      </c>
      <c r="E45" s="10">
        <f>377/430</f>
        <v>0.87674418604651161</v>
      </c>
      <c r="J45" s="88"/>
      <c r="K45" s="88"/>
      <c r="L45" s="88"/>
      <c r="M45" s="88"/>
    </row>
    <row r="46" spans="3:19" ht="15.75" customHeight="1">
      <c r="E46" s="10">
        <f>384/430</f>
        <v>0.89302325581395348</v>
      </c>
      <c r="J46" s="89" t="s">
        <v>67</v>
      </c>
      <c r="K46" s="90" t="s">
        <v>15</v>
      </c>
      <c r="L46" s="90" t="s">
        <v>16</v>
      </c>
      <c r="M46" s="90" t="s">
        <v>17</v>
      </c>
    </row>
    <row r="47" spans="3:19" ht="15.75" customHeight="1">
      <c r="J47" s="88" t="s">
        <v>89</v>
      </c>
      <c r="K47" s="91">
        <f t="shared" ref="K47:M48" si="20">AVERAGE(K26,G26)</f>
        <v>0.8338888888888889</v>
      </c>
      <c r="L47" s="91">
        <f t="shared" si="20"/>
        <v>0.66666666666666652</v>
      </c>
      <c r="M47" s="91">
        <f t="shared" si="20"/>
        <v>0.94444444444444442</v>
      </c>
    </row>
    <row r="48" spans="3:19" ht="15.75" customHeight="1">
      <c r="C48" s="2" t="s">
        <v>76</v>
      </c>
      <c r="D48" s="2" t="s">
        <v>77</v>
      </c>
      <c r="E48" s="2" t="s">
        <v>78</v>
      </c>
      <c r="J48" s="88" t="s">
        <v>90</v>
      </c>
      <c r="K48" s="88">
        <f t="shared" si="20"/>
        <v>0.64814814814814814</v>
      </c>
      <c r="L48" s="88">
        <f t="shared" si="20"/>
        <v>0.53703703703703698</v>
      </c>
      <c r="M48" s="88">
        <f t="shared" si="20"/>
        <v>0.51851851851851849</v>
      </c>
    </row>
    <row r="49" spans="3:18" ht="15.75" customHeight="1">
      <c r="C49" s="2">
        <f>5/430</f>
        <v>1.1627906976744186E-2</v>
      </c>
      <c r="D49" s="2">
        <f>11/483</f>
        <v>2.2774327122153208E-2</v>
      </c>
      <c r="E49" s="2">
        <f>9/481</f>
        <v>1.8711018711018712E-2</v>
      </c>
      <c r="J49" s="88"/>
      <c r="K49" s="88"/>
      <c r="L49" s="88"/>
      <c r="M49" s="88"/>
    </row>
    <row r="50" spans="3:18" ht="15.75" customHeight="1">
      <c r="C50" s="10">
        <f>10/430</f>
        <v>2.3255813953488372E-2</v>
      </c>
      <c r="D50" s="10">
        <f>35/483</f>
        <v>7.2463768115942032E-2</v>
      </c>
      <c r="E50" s="10">
        <f>35/481</f>
        <v>7.2765072765072769E-2</v>
      </c>
      <c r="J50" s="92" t="s">
        <v>70</v>
      </c>
      <c r="K50" s="90" t="s">
        <v>15</v>
      </c>
      <c r="L50" s="90" t="s">
        <v>16</v>
      </c>
      <c r="M50" s="90" t="s">
        <v>17</v>
      </c>
    </row>
    <row r="51" spans="3:18" ht="15.75" customHeight="1">
      <c r="C51" s="10">
        <f>20/430</f>
        <v>4.6511627906976744E-2</v>
      </c>
      <c r="D51" s="10">
        <f>268/483</f>
        <v>0.5548654244306418</v>
      </c>
      <c r="E51" s="10">
        <f>25/481</f>
        <v>5.1975051975051978E-2</v>
      </c>
      <c r="J51" s="88" t="s">
        <v>89</v>
      </c>
      <c r="K51" s="91">
        <f t="shared" ref="K51:M52" si="21">AVERAGE(K30,G30)</f>
        <v>0.83333333333333326</v>
      </c>
      <c r="L51" s="91">
        <f t="shared" si="21"/>
        <v>0.94444444444444442</v>
      </c>
      <c r="M51" s="91">
        <f t="shared" si="21"/>
        <v>0.77777777777777768</v>
      </c>
    </row>
    <row r="52" spans="3:18" ht="15.75" customHeight="1">
      <c r="C52" s="10">
        <f>25/430</f>
        <v>5.8139534883720929E-2</v>
      </c>
      <c r="D52" s="10">
        <f>324/483</f>
        <v>0.67080745341614911</v>
      </c>
      <c r="E52" s="10">
        <f>98/481</f>
        <v>0.20374220374220375</v>
      </c>
      <c r="J52" s="88" t="s">
        <v>90</v>
      </c>
      <c r="K52" s="88">
        <f t="shared" si="21"/>
        <v>0.42424242424242425</v>
      </c>
      <c r="L52" s="88">
        <f t="shared" si="21"/>
        <v>0.62121212121212122</v>
      </c>
      <c r="M52" s="88">
        <f t="shared" si="21"/>
        <v>0.54545454545454541</v>
      </c>
    </row>
    <row r="53" spans="3:18" ht="15.75" customHeight="1">
      <c r="C53" s="69">
        <f>158/430</f>
        <v>0.36744186046511629</v>
      </c>
      <c r="D53" s="69">
        <f>87/483</f>
        <v>0.18012422360248448</v>
      </c>
      <c r="E53" s="69">
        <f>102/481</f>
        <v>0.21205821205821207</v>
      </c>
      <c r="J53" s="88"/>
      <c r="K53" s="88"/>
      <c r="L53" s="88"/>
      <c r="M53" s="88"/>
    </row>
    <row r="54" spans="3:18" ht="15.75" customHeight="1">
      <c r="C54" s="10">
        <f>170/430</f>
        <v>0.39534883720930231</v>
      </c>
      <c r="J54" s="93" t="s">
        <v>71</v>
      </c>
      <c r="K54" s="90" t="s">
        <v>15</v>
      </c>
      <c r="L54" s="90" t="s">
        <v>16</v>
      </c>
      <c r="M54" s="90" t="s">
        <v>17</v>
      </c>
    </row>
    <row r="55" spans="3:18" ht="15.75" customHeight="1">
      <c r="C55" s="10">
        <f>196/430</f>
        <v>0.45581395348837211</v>
      </c>
      <c r="J55" s="88" t="s">
        <v>89</v>
      </c>
      <c r="K55" s="91">
        <f t="shared" ref="K55:M56" si="22">AVERAGE(K34,G34)</f>
        <v>0.8338888888888889</v>
      </c>
      <c r="L55" s="91">
        <f t="shared" si="22"/>
        <v>0.83333333333333326</v>
      </c>
      <c r="M55" s="91">
        <f t="shared" si="22"/>
        <v>0.88888888888888884</v>
      </c>
    </row>
    <row r="56" spans="3:18" ht="15.75" customHeight="1">
      <c r="J56" s="88" t="s">
        <v>90</v>
      </c>
      <c r="K56" s="88">
        <f t="shared" si="22"/>
        <v>0.43333333333333335</v>
      </c>
      <c r="L56" s="88">
        <f t="shared" si="22"/>
        <v>0.53333333333333333</v>
      </c>
      <c r="M56" s="88">
        <f t="shared" si="22"/>
        <v>0.68333333333333335</v>
      </c>
    </row>
    <row r="57" spans="3:18" ht="15.75" customHeight="1">
      <c r="C57" s="2" t="s">
        <v>79</v>
      </c>
      <c r="D57" s="2" t="s">
        <v>80</v>
      </c>
      <c r="E57" s="2" t="s">
        <v>81</v>
      </c>
    </row>
    <row r="58" spans="3:18" ht="15.75" customHeight="1">
      <c r="C58" s="10">
        <f>9/481</f>
        <v>1.8711018711018712E-2</v>
      </c>
      <c r="D58" s="10">
        <f>20/430</f>
        <v>4.6511627906976744E-2</v>
      </c>
      <c r="E58" s="10">
        <f>11/483</f>
        <v>2.2774327122153208E-2</v>
      </c>
      <c r="F58" s="110" t="s">
        <v>67</v>
      </c>
      <c r="G58" s="111" t="s">
        <v>117</v>
      </c>
      <c r="H58" s="111" t="s">
        <v>118</v>
      </c>
      <c r="I58" s="111" t="s">
        <v>119</v>
      </c>
      <c r="J58" s="111" t="s">
        <v>121</v>
      </c>
      <c r="K58" s="111" t="s">
        <v>122</v>
      </c>
      <c r="L58" s="111" t="s">
        <v>123</v>
      </c>
      <c r="M58" s="111" t="s">
        <v>125</v>
      </c>
      <c r="N58" s="111" t="s">
        <v>126</v>
      </c>
      <c r="O58" s="111" t="s">
        <v>127</v>
      </c>
      <c r="P58" s="112" t="s">
        <v>116</v>
      </c>
      <c r="Q58" s="112" t="s">
        <v>120</v>
      </c>
      <c r="R58" s="113" t="s">
        <v>124</v>
      </c>
    </row>
    <row r="59" spans="3:18" ht="15.75" customHeight="1">
      <c r="C59" s="10">
        <f>129/481</f>
        <v>0.26819126819126821</v>
      </c>
      <c r="D59" s="10">
        <f>30/430</f>
        <v>6.9767441860465115E-2</v>
      </c>
      <c r="E59" s="10">
        <f>90/483</f>
        <v>0.18633540372670807</v>
      </c>
      <c r="F59" s="53" t="s">
        <v>128</v>
      </c>
      <c r="G59" s="54">
        <v>0</v>
      </c>
      <c r="H59" s="54">
        <v>0</v>
      </c>
      <c r="I59" s="54">
        <v>1</v>
      </c>
      <c r="J59" s="54">
        <v>1</v>
      </c>
      <c r="K59" s="54">
        <v>1</v>
      </c>
      <c r="L59" s="54">
        <v>1</v>
      </c>
      <c r="M59" s="54">
        <v>1</v>
      </c>
      <c r="N59" s="54">
        <v>0</v>
      </c>
      <c r="O59" s="54">
        <v>0</v>
      </c>
      <c r="P59" s="54">
        <v>0</v>
      </c>
      <c r="Q59" s="54">
        <v>1</v>
      </c>
      <c r="R59" s="55">
        <v>1</v>
      </c>
    </row>
    <row r="60" spans="3:18" ht="15.75" customHeight="1">
      <c r="C60" s="10">
        <f>150/481</f>
        <v>0.31185031185031187</v>
      </c>
      <c r="D60" s="10">
        <f>335/430</f>
        <v>0.77906976744186052</v>
      </c>
      <c r="E60" s="10">
        <f>234/483</f>
        <v>0.48447204968944102</v>
      </c>
      <c r="F60" s="53" t="s">
        <v>129</v>
      </c>
      <c r="G60" s="54">
        <v>0</v>
      </c>
      <c r="H60" s="54">
        <v>1</v>
      </c>
      <c r="I60" s="54">
        <v>1</v>
      </c>
      <c r="J60" s="54">
        <v>1</v>
      </c>
      <c r="K60" s="54">
        <v>0</v>
      </c>
      <c r="L60" s="54">
        <v>1</v>
      </c>
      <c r="M60" s="54">
        <v>1</v>
      </c>
      <c r="N60" s="54">
        <v>0</v>
      </c>
      <c r="O60" s="54">
        <v>0</v>
      </c>
      <c r="P60" s="54">
        <v>1</v>
      </c>
      <c r="Q60" s="54">
        <v>1</v>
      </c>
      <c r="R60" s="55">
        <v>0</v>
      </c>
    </row>
    <row r="61" spans="3:18" ht="15.75" customHeight="1">
      <c r="C61" s="10">
        <f>220/481</f>
        <v>0.45738045738045741</v>
      </c>
      <c r="D61" s="10">
        <f>356/430</f>
        <v>0.82790697674418601</v>
      </c>
      <c r="E61" s="10">
        <f>324/483</f>
        <v>0.67080745341614911</v>
      </c>
      <c r="F61" s="53" t="s">
        <v>130</v>
      </c>
      <c r="G61" s="54">
        <v>1</v>
      </c>
      <c r="H61" s="54">
        <v>1</v>
      </c>
      <c r="I61" s="54">
        <v>1</v>
      </c>
      <c r="J61" s="54">
        <v>1</v>
      </c>
      <c r="K61" s="54">
        <v>1</v>
      </c>
      <c r="L61" s="54">
        <v>1</v>
      </c>
      <c r="M61" s="54">
        <v>0</v>
      </c>
      <c r="N61" s="54">
        <v>0</v>
      </c>
      <c r="O61" s="54">
        <v>0</v>
      </c>
      <c r="P61" s="54">
        <v>1</v>
      </c>
      <c r="Q61" s="54">
        <v>1</v>
      </c>
      <c r="R61" s="55">
        <v>1</v>
      </c>
    </row>
    <row r="62" spans="3:18" ht="15.75" customHeight="1">
      <c r="C62" s="69"/>
      <c r="D62" s="69">
        <f>380/430</f>
        <v>0.88372093023255816</v>
      </c>
      <c r="E62" s="69">
        <f>337/483</f>
        <v>0.6977225672877847</v>
      </c>
      <c r="F62" s="116" t="s">
        <v>131</v>
      </c>
      <c r="G62" s="166">
        <v>0</v>
      </c>
      <c r="H62" s="166">
        <v>0</v>
      </c>
      <c r="I62" s="166">
        <v>0</v>
      </c>
      <c r="J62" s="166">
        <v>0</v>
      </c>
      <c r="K62" s="166">
        <v>1</v>
      </c>
      <c r="L62" s="166">
        <v>1</v>
      </c>
      <c r="M62" s="166">
        <v>0</v>
      </c>
      <c r="N62" s="166">
        <v>0</v>
      </c>
      <c r="O62" s="166">
        <v>0</v>
      </c>
      <c r="P62" s="166">
        <v>0</v>
      </c>
      <c r="Q62" s="166">
        <v>1</v>
      </c>
      <c r="R62" s="167">
        <v>0</v>
      </c>
    </row>
    <row r="63" spans="3:18" ht="15.75" customHeight="1">
      <c r="D63" s="10">
        <f>391/430</f>
        <v>0.90930232558139534</v>
      </c>
      <c r="F63" s="116" t="s">
        <v>132</v>
      </c>
      <c r="G63" s="166">
        <v>0</v>
      </c>
      <c r="H63" s="166">
        <v>0</v>
      </c>
      <c r="I63" s="166">
        <v>1</v>
      </c>
      <c r="J63" s="166">
        <v>1</v>
      </c>
      <c r="K63" s="166">
        <v>0</v>
      </c>
      <c r="L63" s="166">
        <v>1</v>
      </c>
      <c r="M63" s="166">
        <v>0</v>
      </c>
      <c r="N63" s="166">
        <v>0</v>
      </c>
      <c r="O63" s="166">
        <v>0</v>
      </c>
      <c r="P63" s="166">
        <v>0</v>
      </c>
      <c r="Q63" s="166">
        <v>1</v>
      </c>
      <c r="R63" s="167">
        <v>0</v>
      </c>
    </row>
    <row r="64" spans="3:18" ht="15.75" customHeight="1">
      <c r="D64" s="10">
        <f>408/430</f>
        <v>0.94883720930232562</v>
      </c>
      <c r="F64" s="116" t="s">
        <v>133</v>
      </c>
      <c r="G64" s="166">
        <v>1</v>
      </c>
      <c r="H64" s="166">
        <v>1</v>
      </c>
      <c r="I64" s="166">
        <v>1</v>
      </c>
      <c r="J64" s="166">
        <v>1</v>
      </c>
      <c r="K64" s="166">
        <v>1</v>
      </c>
      <c r="L64" s="166">
        <v>0</v>
      </c>
      <c r="M64" s="166">
        <v>1</v>
      </c>
      <c r="N64" s="166">
        <v>0</v>
      </c>
      <c r="O64" s="166">
        <v>0</v>
      </c>
      <c r="P64" s="166">
        <v>1</v>
      </c>
      <c r="Q64" s="166">
        <v>1</v>
      </c>
      <c r="R64" s="167">
        <v>1</v>
      </c>
    </row>
    <row r="65" spans="3:20" ht="15.75" customHeight="1">
      <c r="F65" s="53" t="s">
        <v>134</v>
      </c>
      <c r="G65" s="54">
        <v>0</v>
      </c>
      <c r="H65" s="54">
        <v>0</v>
      </c>
      <c r="I65" s="54">
        <v>1</v>
      </c>
      <c r="J65" s="54">
        <v>1</v>
      </c>
      <c r="K65" s="54">
        <v>0</v>
      </c>
      <c r="L65" s="54">
        <v>1</v>
      </c>
      <c r="M65" s="54">
        <v>0</v>
      </c>
      <c r="N65" s="54">
        <v>0</v>
      </c>
      <c r="O65" s="54">
        <v>0</v>
      </c>
      <c r="P65" s="54">
        <v>1</v>
      </c>
      <c r="Q65" s="54">
        <v>1</v>
      </c>
      <c r="R65" s="55">
        <v>1</v>
      </c>
    </row>
    <row r="66" spans="3:20" ht="15.75" customHeight="1">
      <c r="C66" s="2" t="s">
        <v>82</v>
      </c>
      <c r="D66" s="2" t="s">
        <v>83</v>
      </c>
      <c r="E66" s="2" t="s">
        <v>84</v>
      </c>
      <c r="F66" s="114" t="s">
        <v>135</v>
      </c>
      <c r="G66" s="54">
        <v>1</v>
      </c>
      <c r="H66" s="54">
        <v>1</v>
      </c>
      <c r="I66" s="54">
        <v>1</v>
      </c>
      <c r="J66" s="54">
        <v>1</v>
      </c>
      <c r="K66" s="54">
        <v>1</v>
      </c>
      <c r="L66" s="54">
        <v>0</v>
      </c>
      <c r="M66" s="54">
        <v>1</v>
      </c>
      <c r="N66" s="54">
        <v>0</v>
      </c>
      <c r="O66" s="54">
        <v>0</v>
      </c>
      <c r="P66" s="54">
        <v>1</v>
      </c>
      <c r="Q66" s="54">
        <v>1</v>
      </c>
      <c r="R66" s="55">
        <v>1</v>
      </c>
    </row>
    <row r="67" spans="3:20" ht="15.75" customHeight="1">
      <c r="C67" s="2">
        <f>27/481</f>
        <v>5.6133056133056136E-2</v>
      </c>
      <c r="D67" s="10">
        <f>9/430</f>
        <v>2.0930232558139535E-2</v>
      </c>
      <c r="E67" s="10">
        <f>11/483</f>
        <v>2.2774327122153208E-2</v>
      </c>
      <c r="F67" s="53" t="s">
        <v>136</v>
      </c>
      <c r="G67" s="54">
        <v>0</v>
      </c>
      <c r="H67" s="54">
        <v>0</v>
      </c>
      <c r="I67" s="54">
        <v>1</v>
      </c>
      <c r="J67" s="54">
        <v>1</v>
      </c>
      <c r="K67" s="54">
        <v>0</v>
      </c>
      <c r="L67" s="54">
        <v>0</v>
      </c>
      <c r="M67" s="54">
        <v>1</v>
      </c>
      <c r="N67" s="54">
        <v>0</v>
      </c>
      <c r="O67" s="54">
        <v>0</v>
      </c>
      <c r="P67" s="54">
        <v>1</v>
      </c>
      <c r="Q67" s="54">
        <v>1</v>
      </c>
      <c r="R67" s="55">
        <v>1</v>
      </c>
    </row>
    <row r="68" spans="3:20" ht="15.75" customHeight="1">
      <c r="C68" s="10">
        <f>35/481</f>
        <v>7.2765072765072769E-2</v>
      </c>
      <c r="D68" s="10">
        <f>20/430</f>
        <v>4.6511627906976744E-2</v>
      </c>
      <c r="E68" s="10">
        <f>82/483</f>
        <v>0.16977225672877846</v>
      </c>
      <c r="F68" s="115" t="s">
        <v>137</v>
      </c>
      <c r="G68" s="54">
        <f t="shared" ref="G68:R68" si="23">SUM(G59:G61)</f>
        <v>1</v>
      </c>
      <c r="H68" s="54">
        <f t="shared" si="23"/>
        <v>2</v>
      </c>
      <c r="I68" s="54">
        <f t="shared" si="23"/>
        <v>3</v>
      </c>
      <c r="J68" s="54">
        <f t="shared" si="23"/>
        <v>3</v>
      </c>
      <c r="K68" s="54">
        <f t="shared" si="23"/>
        <v>2</v>
      </c>
      <c r="L68" s="54">
        <f t="shared" si="23"/>
        <v>3</v>
      </c>
      <c r="M68" s="54">
        <f t="shared" si="23"/>
        <v>2</v>
      </c>
      <c r="N68" s="54">
        <f t="shared" si="23"/>
        <v>0</v>
      </c>
      <c r="O68" s="54">
        <f t="shared" si="23"/>
        <v>0</v>
      </c>
      <c r="P68" s="54">
        <f t="shared" si="23"/>
        <v>2</v>
      </c>
      <c r="Q68" s="54">
        <f t="shared" si="23"/>
        <v>3</v>
      </c>
      <c r="R68" s="55">
        <f t="shared" si="23"/>
        <v>2</v>
      </c>
    </row>
    <row r="69" spans="3:20" ht="15.75" customHeight="1">
      <c r="C69" s="10">
        <f>98/481</f>
        <v>0.20374220374220375</v>
      </c>
      <c r="D69" s="10">
        <f>43/430</f>
        <v>0.1</v>
      </c>
      <c r="E69" s="10">
        <f>146/483</f>
        <v>0.3022774327122153</v>
      </c>
      <c r="F69" s="116" t="s">
        <v>92</v>
      </c>
      <c r="G69" s="54">
        <f t="shared" ref="G69:R69" si="24">SUM(G62:G64)</f>
        <v>1</v>
      </c>
      <c r="H69" s="54">
        <f t="shared" si="24"/>
        <v>1</v>
      </c>
      <c r="I69" s="54">
        <f t="shared" si="24"/>
        <v>2</v>
      </c>
      <c r="J69" s="54">
        <f t="shared" si="24"/>
        <v>2</v>
      </c>
      <c r="K69" s="54">
        <f t="shared" si="24"/>
        <v>2</v>
      </c>
      <c r="L69" s="54">
        <f t="shared" si="24"/>
        <v>2</v>
      </c>
      <c r="M69" s="54">
        <f t="shared" si="24"/>
        <v>1</v>
      </c>
      <c r="N69" s="54">
        <f t="shared" si="24"/>
        <v>0</v>
      </c>
      <c r="O69" s="54">
        <f t="shared" si="24"/>
        <v>0</v>
      </c>
      <c r="P69" s="54">
        <f t="shared" si="24"/>
        <v>1</v>
      </c>
      <c r="Q69" s="54">
        <f t="shared" si="24"/>
        <v>3</v>
      </c>
      <c r="R69" s="55">
        <f t="shared" si="24"/>
        <v>1</v>
      </c>
    </row>
    <row r="70" spans="3:20" ht="15.75" customHeight="1">
      <c r="C70" s="10">
        <f>106/481</f>
        <v>0.22037422037422039</v>
      </c>
      <c r="D70" s="10">
        <f>79/430</f>
        <v>0.18372093023255814</v>
      </c>
      <c r="E70" s="10">
        <f>234/483</f>
        <v>0.48447204968944102</v>
      </c>
      <c r="F70" s="117" t="s">
        <v>93</v>
      </c>
      <c r="G70" s="57">
        <f t="shared" ref="G70:R70" si="25">SUM(G65:G67)</f>
        <v>1</v>
      </c>
      <c r="H70" s="57">
        <f t="shared" si="25"/>
        <v>1</v>
      </c>
      <c r="I70" s="57">
        <f t="shared" si="25"/>
        <v>3</v>
      </c>
      <c r="J70" s="57">
        <f t="shared" si="25"/>
        <v>3</v>
      </c>
      <c r="K70" s="57">
        <f t="shared" si="25"/>
        <v>1</v>
      </c>
      <c r="L70" s="57">
        <f t="shared" si="25"/>
        <v>1</v>
      </c>
      <c r="M70" s="57">
        <f t="shared" si="25"/>
        <v>2</v>
      </c>
      <c r="N70" s="57">
        <f t="shared" si="25"/>
        <v>0</v>
      </c>
      <c r="O70" s="57">
        <f t="shared" si="25"/>
        <v>0</v>
      </c>
      <c r="P70" s="57">
        <f t="shared" si="25"/>
        <v>3</v>
      </c>
      <c r="Q70" s="57">
        <f t="shared" si="25"/>
        <v>3</v>
      </c>
      <c r="R70" s="58">
        <f t="shared" si="25"/>
        <v>3</v>
      </c>
    </row>
    <row r="71" spans="3:20" ht="15.75" customHeight="1" thickBot="1">
      <c r="C71" s="69">
        <f>148/481</f>
        <v>0.30769230769230771</v>
      </c>
      <c r="D71" s="69">
        <f>173/430</f>
        <v>0.40232558139534885</v>
      </c>
      <c r="E71" s="69">
        <f>267/483</f>
        <v>0.55279503105590067</v>
      </c>
    </row>
    <row r="72" spans="3:20" ht="15.75" customHeight="1">
      <c r="C72" s="10">
        <f>180/481</f>
        <v>0.37422037422037424</v>
      </c>
      <c r="D72" s="10">
        <f>198/430</f>
        <v>0.46046511627906977</v>
      </c>
      <c r="E72" s="10">
        <f>402/483</f>
        <v>0.83229813664596275</v>
      </c>
      <c r="F72" s="119" t="s">
        <v>70</v>
      </c>
      <c r="G72" s="120" t="s">
        <v>117</v>
      </c>
      <c r="H72" s="120" t="s">
        <v>118</v>
      </c>
      <c r="I72" s="120" t="s">
        <v>119</v>
      </c>
      <c r="J72" s="120" t="s">
        <v>121</v>
      </c>
      <c r="K72" s="120" t="s">
        <v>122</v>
      </c>
      <c r="L72" s="120" t="s">
        <v>123</v>
      </c>
      <c r="M72" s="120" t="s">
        <v>125</v>
      </c>
      <c r="N72" s="120" t="s">
        <v>126</v>
      </c>
      <c r="O72" s="120" t="s">
        <v>127</v>
      </c>
      <c r="P72" s="120" t="s">
        <v>138</v>
      </c>
      <c r="Q72" s="120" t="s">
        <v>142</v>
      </c>
      <c r="R72" s="120" t="s">
        <v>116</v>
      </c>
      <c r="S72" s="120" t="s">
        <v>120</v>
      </c>
      <c r="T72" s="121" t="s">
        <v>124</v>
      </c>
    </row>
    <row r="73" spans="3:20" ht="15.75" customHeight="1">
      <c r="C73" s="10">
        <f>261/481</f>
        <v>0.54261954261954259</v>
      </c>
      <c r="D73" s="10">
        <f>223/430</f>
        <v>0.51860465116279075</v>
      </c>
      <c r="E73" s="10">
        <f>457/483</f>
        <v>0.94616977225672882</v>
      </c>
      <c r="F73" s="122" t="s">
        <v>139</v>
      </c>
      <c r="G73" s="54">
        <v>1</v>
      </c>
      <c r="H73" s="54">
        <v>1</v>
      </c>
      <c r="I73" s="54">
        <v>1</v>
      </c>
      <c r="J73" s="54">
        <v>1</v>
      </c>
      <c r="K73" s="54">
        <v>1</v>
      </c>
      <c r="L73" s="54">
        <v>0</v>
      </c>
      <c r="M73" s="54">
        <v>0</v>
      </c>
      <c r="N73" s="54">
        <v>0</v>
      </c>
      <c r="O73" s="54">
        <v>1</v>
      </c>
      <c r="P73" s="54">
        <v>1</v>
      </c>
      <c r="Q73" s="54">
        <v>0</v>
      </c>
      <c r="R73" s="54">
        <v>1</v>
      </c>
      <c r="S73" s="54">
        <v>1</v>
      </c>
      <c r="T73" s="123">
        <v>1</v>
      </c>
    </row>
    <row r="74" spans="3:20" ht="15.75" customHeight="1">
      <c r="C74" s="10">
        <f>315/481</f>
        <v>0.65488565488565487</v>
      </c>
      <c r="D74" s="10">
        <f>240/430</f>
        <v>0.55813953488372092</v>
      </c>
      <c r="F74" s="122" t="s">
        <v>140</v>
      </c>
      <c r="G74" s="54">
        <v>1</v>
      </c>
      <c r="H74" s="54">
        <v>1</v>
      </c>
      <c r="I74" s="54">
        <v>0</v>
      </c>
      <c r="J74" s="54">
        <v>1</v>
      </c>
      <c r="K74" s="54">
        <v>1</v>
      </c>
      <c r="L74" s="54">
        <v>0</v>
      </c>
      <c r="M74" s="54">
        <v>0</v>
      </c>
      <c r="N74" s="54">
        <v>0</v>
      </c>
      <c r="O74" s="54">
        <v>0</v>
      </c>
      <c r="P74" s="54">
        <v>0</v>
      </c>
      <c r="Q74" s="54">
        <v>0</v>
      </c>
      <c r="R74" s="54">
        <v>1</v>
      </c>
      <c r="S74" s="54">
        <v>1</v>
      </c>
      <c r="T74" s="123">
        <v>0</v>
      </c>
    </row>
    <row r="75" spans="3:20" ht="15.75" customHeight="1">
      <c r="C75" s="10">
        <f>393/481</f>
        <v>0.81704781704781704</v>
      </c>
      <c r="D75" s="10">
        <f>310/430</f>
        <v>0.72093023255813948</v>
      </c>
      <c r="F75" s="124" t="s">
        <v>141</v>
      </c>
      <c r="G75" s="54">
        <v>0</v>
      </c>
      <c r="H75" s="54">
        <v>0</v>
      </c>
      <c r="I75" s="54">
        <v>0</v>
      </c>
      <c r="J75" s="54">
        <v>1</v>
      </c>
      <c r="K75" s="54">
        <v>1</v>
      </c>
      <c r="L75" s="54">
        <v>1</v>
      </c>
      <c r="M75" s="54">
        <v>0</v>
      </c>
      <c r="N75" s="54">
        <v>0</v>
      </c>
      <c r="O75" s="54">
        <v>0</v>
      </c>
      <c r="P75" s="54">
        <v>0</v>
      </c>
      <c r="Q75" s="54">
        <v>0</v>
      </c>
      <c r="R75" s="54">
        <v>1</v>
      </c>
      <c r="S75" s="54">
        <v>1</v>
      </c>
      <c r="T75" s="123">
        <v>0</v>
      </c>
    </row>
    <row r="76" spans="3:20" ht="15.75" customHeight="1">
      <c r="C76" s="10">
        <f>440/481</f>
        <v>0.91476091476091481</v>
      </c>
      <c r="D76" s="10">
        <f>353/430</f>
        <v>0.82093023255813957</v>
      </c>
      <c r="F76" s="124" t="s">
        <v>143</v>
      </c>
      <c r="G76" s="54">
        <v>1</v>
      </c>
      <c r="H76" s="54">
        <v>1</v>
      </c>
      <c r="I76" s="54">
        <v>0</v>
      </c>
      <c r="J76" s="54">
        <v>0</v>
      </c>
      <c r="K76" s="54">
        <v>1</v>
      </c>
      <c r="L76" s="54">
        <v>1</v>
      </c>
      <c r="M76" s="54">
        <v>0</v>
      </c>
      <c r="N76" s="54">
        <v>1</v>
      </c>
      <c r="O76" s="54">
        <v>1</v>
      </c>
      <c r="P76" s="54">
        <v>1</v>
      </c>
      <c r="Q76" s="54">
        <v>0</v>
      </c>
      <c r="R76" s="54">
        <v>1</v>
      </c>
      <c r="S76" s="54">
        <v>1</v>
      </c>
      <c r="T76" s="123">
        <v>1</v>
      </c>
    </row>
    <row r="77" spans="3:20" ht="15.75" customHeight="1">
      <c r="D77" s="10">
        <f>363/430</f>
        <v>0.84418604651162787</v>
      </c>
      <c r="F77" s="124" t="s">
        <v>144</v>
      </c>
      <c r="G77" s="54">
        <v>1</v>
      </c>
      <c r="H77" s="54">
        <v>1</v>
      </c>
      <c r="I77" s="54">
        <v>0</v>
      </c>
      <c r="J77" s="54">
        <v>1</v>
      </c>
      <c r="K77" s="54">
        <v>1</v>
      </c>
      <c r="L77" s="54">
        <v>1</v>
      </c>
      <c r="M77" s="54">
        <v>1</v>
      </c>
      <c r="N77" s="54">
        <v>1</v>
      </c>
      <c r="O77" s="54">
        <v>0</v>
      </c>
      <c r="P77" s="54">
        <v>0</v>
      </c>
      <c r="Q77" s="54">
        <v>0</v>
      </c>
      <c r="R77" s="54">
        <v>1</v>
      </c>
      <c r="S77" s="54">
        <v>1</v>
      </c>
      <c r="T77" s="123">
        <v>0</v>
      </c>
    </row>
    <row r="78" spans="3:20" ht="15.75" customHeight="1">
      <c r="D78" s="10">
        <f>384/430</f>
        <v>0.89302325581395348</v>
      </c>
      <c r="F78" s="124" t="s">
        <v>145</v>
      </c>
      <c r="G78" s="54">
        <v>1</v>
      </c>
      <c r="H78" s="54">
        <v>0</v>
      </c>
      <c r="I78" s="54">
        <v>0</v>
      </c>
      <c r="J78" s="54">
        <v>1</v>
      </c>
      <c r="K78" s="54">
        <v>1</v>
      </c>
      <c r="L78" s="54">
        <v>1</v>
      </c>
      <c r="M78" s="54">
        <v>0</v>
      </c>
      <c r="N78" s="54">
        <v>0</v>
      </c>
      <c r="O78" s="54">
        <v>1</v>
      </c>
      <c r="P78" s="54">
        <v>1</v>
      </c>
      <c r="Q78" s="54">
        <v>1</v>
      </c>
      <c r="R78" s="54">
        <v>1</v>
      </c>
      <c r="S78" s="54">
        <v>1</v>
      </c>
      <c r="T78" s="123">
        <v>1</v>
      </c>
    </row>
    <row r="79" spans="3:20" ht="15.75" customHeight="1">
      <c r="F79" s="124" t="s">
        <v>146</v>
      </c>
      <c r="G79" s="54">
        <v>1</v>
      </c>
      <c r="H79" s="54">
        <v>0</v>
      </c>
      <c r="I79" s="54">
        <v>1</v>
      </c>
      <c r="J79" s="54">
        <v>1</v>
      </c>
      <c r="K79" s="54">
        <v>1</v>
      </c>
      <c r="L79" s="54">
        <v>1</v>
      </c>
      <c r="M79" s="54">
        <v>1</v>
      </c>
      <c r="N79" s="54">
        <v>1</v>
      </c>
      <c r="O79" s="54">
        <v>1</v>
      </c>
      <c r="P79" s="54">
        <v>1</v>
      </c>
      <c r="Q79" s="54">
        <v>0</v>
      </c>
      <c r="R79" s="54">
        <v>1</v>
      </c>
      <c r="S79" s="54">
        <v>1</v>
      </c>
      <c r="T79" s="123">
        <v>1</v>
      </c>
    </row>
    <row r="80" spans="3:20" ht="15.75" customHeight="1">
      <c r="C80" s="2" t="s">
        <v>85</v>
      </c>
      <c r="D80" s="2" t="s">
        <v>86</v>
      </c>
      <c r="E80" s="2" t="s">
        <v>87</v>
      </c>
      <c r="F80" s="125" t="s">
        <v>148</v>
      </c>
      <c r="G80" s="54">
        <v>1</v>
      </c>
      <c r="H80" s="54">
        <v>1</v>
      </c>
      <c r="I80" s="54">
        <v>1</v>
      </c>
      <c r="J80" s="54">
        <v>0</v>
      </c>
      <c r="K80" s="54">
        <v>0</v>
      </c>
      <c r="L80" s="54">
        <v>0</v>
      </c>
      <c r="M80" s="54">
        <v>0</v>
      </c>
      <c r="N80" s="54">
        <v>0</v>
      </c>
      <c r="O80" s="54">
        <v>0</v>
      </c>
      <c r="P80" s="54">
        <v>0</v>
      </c>
      <c r="Q80" s="54">
        <v>0</v>
      </c>
      <c r="R80" s="54">
        <v>1</v>
      </c>
      <c r="S80" s="54">
        <v>0</v>
      </c>
      <c r="T80" s="123">
        <v>0</v>
      </c>
    </row>
    <row r="81" spans="3:20" ht="15.75" customHeight="1">
      <c r="C81" s="2"/>
      <c r="D81" s="2"/>
      <c r="E81" s="2"/>
      <c r="F81" s="124" t="s">
        <v>147</v>
      </c>
      <c r="G81" s="54">
        <v>1</v>
      </c>
      <c r="H81" s="54">
        <v>1</v>
      </c>
      <c r="I81" s="54">
        <v>1</v>
      </c>
      <c r="J81" s="54">
        <v>1</v>
      </c>
      <c r="K81" s="54">
        <v>1</v>
      </c>
      <c r="L81" s="54">
        <v>0</v>
      </c>
      <c r="M81" s="54">
        <v>0</v>
      </c>
      <c r="N81" s="54">
        <v>0</v>
      </c>
      <c r="O81" s="54">
        <v>1</v>
      </c>
      <c r="P81" s="54">
        <v>0</v>
      </c>
      <c r="Q81" s="54">
        <v>0</v>
      </c>
      <c r="R81" s="54">
        <v>1</v>
      </c>
      <c r="S81" s="54">
        <v>1</v>
      </c>
      <c r="T81" s="123">
        <v>0</v>
      </c>
    </row>
    <row r="82" spans="3:20" ht="15.75" customHeight="1">
      <c r="C82" s="2"/>
      <c r="D82" s="2"/>
      <c r="E82" s="2"/>
      <c r="F82" s="126" t="s">
        <v>137</v>
      </c>
      <c r="G82" s="54">
        <f>SUM(G73:G75)</f>
        <v>2</v>
      </c>
      <c r="H82" s="54">
        <f t="shared" ref="H82:T82" si="26">SUM(H73:H75)</f>
        <v>2</v>
      </c>
      <c r="I82" s="54">
        <f t="shared" si="26"/>
        <v>1</v>
      </c>
      <c r="J82" s="54">
        <f t="shared" si="26"/>
        <v>3</v>
      </c>
      <c r="K82" s="54">
        <f t="shared" si="26"/>
        <v>3</v>
      </c>
      <c r="L82" s="54">
        <f t="shared" si="26"/>
        <v>1</v>
      </c>
      <c r="M82" s="54">
        <f t="shared" si="26"/>
        <v>0</v>
      </c>
      <c r="N82" s="54">
        <f t="shared" si="26"/>
        <v>0</v>
      </c>
      <c r="O82" s="54">
        <f t="shared" si="26"/>
        <v>1</v>
      </c>
      <c r="P82" s="54">
        <f t="shared" si="26"/>
        <v>1</v>
      </c>
      <c r="Q82" s="54">
        <f t="shared" si="26"/>
        <v>0</v>
      </c>
      <c r="R82" s="54">
        <f t="shared" si="26"/>
        <v>3</v>
      </c>
      <c r="S82" s="54">
        <f t="shared" si="26"/>
        <v>3</v>
      </c>
      <c r="T82" s="123">
        <f t="shared" si="26"/>
        <v>1</v>
      </c>
    </row>
    <row r="83" spans="3:20" ht="15.75" customHeight="1">
      <c r="C83" s="2"/>
      <c r="D83" s="2"/>
      <c r="E83" s="2"/>
      <c r="F83" s="127" t="s">
        <v>92</v>
      </c>
      <c r="G83" s="54">
        <f>SUM(G76:G78)</f>
        <v>3</v>
      </c>
      <c r="H83" s="54">
        <f t="shared" ref="H83:T83" si="27">SUM(H76:H78)</f>
        <v>2</v>
      </c>
      <c r="I83" s="54">
        <f t="shared" si="27"/>
        <v>0</v>
      </c>
      <c r="J83" s="54">
        <f t="shared" si="27"/>
        <v>2</v>
      </c>
      <c r="K83" s="54">
        <f t="shared" si="27"/>
        <v>3</v>
      </c>
      <c r="L83" s="54">
        <f t="shared" si="27"/>
        <v>3</v>
      </c>
      <c r="M83" s="54">
        <f t="shared" si="27"/>
        <v>1</v>
      </c>
      <c r="N83" s="54">
        <f t="shared" si="27"/>
        <v>2</v>
      </c>
      <c r="O83" s="54">
        <f t="shared" si="27"/>
        <v>2</v>
      </c>
      <c r="P83" s="54">
        <f t="shared" si="27"/>
        <v>2</v>
      </c>
      <c r="Q83" s="54">
        <f t="shared" si="27"/>
        <v>1</v>
      </c>
      <c r="R83" s="54">
        <f t="shared" si="27"/>
        <v>3</v>
      </c>
      <c r="S83" s="54">
        <f t="shared" si="27"/>
        <v>3</v>
      </c>
      <c r="T83" s="123">
        <f t="shared" si="27"/>
        <v>2</v>
      </c>
    </row>
    <row r="84" spans="3:20" ht="15.75" customHeight="1" thickBot="1">
      <c r="C84" s="10">
        <f>10/430</f>
        <v>2.3255813953488372E-2</v>
      </c>
      <c r="D84" s="10">
        <f>186/483</f>
        <v>0.38509316770186336</v>
      </c>
      <c r="E84" s="10">
        <f>27/481</f>
        <v>5.6133056133056136E-2</v>
      </c>
      <c r="F84" s="128" t="s">
        <v>93</v>
      </c>
      <c r="G84" s="129">
        <f>SUM(G79:G81)</f>
        <v>3</v>
      </c>
      <c r="H84" s="129">
        <f t="shared" ref="H84:T84" si="28">SUM(H79:H81)</f>
        <v>2</v>
      </c>
      <c r="I84" s="129">
        <f t="shared" si="28"/>
        <v>3</v>
      </c>
      <c r="J84" s="129">
        <f t="shared" si="28"/>
        <v>2</v>
      </c>
      <c r="K84" s="129">
        <f t="shared" si="28"/>
        <v>2</v>
      </c>
      <c r="L84" s="129">
        <f t="shared" si="28"/>
        <v>1</v>
      </c>
      <c r="M84" s="129">
        <f t="shared" si="28"/>
        <v>1</v>
      </c>
      <c r="N84" s="129">
        <f t="shared" si="28"/>
        <v>1</v>
      </c>
      <c r="O84" s="129">
        <f t="shared" si="28"/>
        <v>2</v>
      </c>
      <c r="P84" s="129">
        <f t="shared" si="28"/>
        <v>1</v>
      </c>
      <c r="Q84" s="129">
        <f t="shared" si="28"/>
        <v>0</v>
      </c>
      <c r="R84" s="129">
        <f t="shared" si="28"/>
        <v>3</v>
      </c>
      <c r="S84" s="129">
        <f t="shared" si="28"/>
        <v>2</v>
      </c>
      <c r="T84" s="130">
        <f t="shared" si="28"/>
        <v>1</v>
      </c>
    </row>
    <row r="85" spans="3:20" ht="15.75" customHeight="1" thickBot="1">
      <c r="C85" s="10">
        <f>22/430</f>
        <v>5.1162790697674418E-2</v>
      </c>
      <c r="D85" s="10">
        <f>320/483</f>
        <v>0.66252587991718426</v>
      </c>
      <c r="E85" s="10">
        <f>34/481</f>
        <v>7.068607068607069E-2</v>
      </c>
    </row>
    <row r="86" spans="3:20" ht="15.75" customHeight="1">
      <c r="C86" s="10">
        <f>201/430</f>
        <v>0.46744186046511627</v>
      </c>
      <c r="D86" s="10">
        <f>11/483</f>
        <v>2.2774327122153208E-2</v>
      </c>
      <c r="E86" s="10">
        <f>70/481</f>
        <v>0.14553014553014554</v>
      </c>
      <c r="F86" s="131" t="s">
        <v>71</v>
      </c>
      <c r="G86" s="120" t="s">
        <v>117</v>
      </c>
      <c r="H86" s="120" t="s">
        <v>118</v>
      </c>
      <c r="I86" s="120" t="s">
        <v>119</v>
      </c>
      <c r="J86" s="120" t="s">
        <v>121</v>
      </c>
      <c r="K86" s="120" t="s">
        <v>122</v>
      </c>
      <c r="L86" s="120" t="s">
        <v>123</v>
      </c>
      <c r="M86" s="120" t="s">
        <v>125</v>
      </c>
      <c r="N86" s="120" t="s">
        <v>126</v>
      </c>
      <c r="O86" s="120" t="s">
        <v>127</v>
      </c>
      <c r="P86" s="120" t="s">
        <v>138</v>
      </c>
      <c r="Q86" s="120" t="s">
        <v>116</v>
      </c>
      <c r="R86" s="120" t="s">
        <v>120</v>
      </c>
      <c r="S86" s="121" t="s">
        <v>124</v>
      </c>
    </row>
    <row r="87" spans="3:20" ht="15.75" customHeight="1">
      <c r="C87" s="10">
        <f>352/430</f>
        <v>0.81860465116279069</v>
      </c>
      <c r="D87" s="10">
        <f>146/483</f>
        <v>0.3022774327122153</v>
      </c>
      <c r="E87" s="10">
        <f>85/481</f>
        <v>0.17671517671517672</v>
      </c>
      <c r="F87" s="122" t="s">
        <v>149</v>
      </c>
      <c r="G87" s="54">
        <v>1</v>
      </c>
      <c r="H87" s="54">
        <v>0</v>
      </c>
      <c r="I87" s="54">
        <v>0</v>
      </c>
      <c r="J87" s="118">
        <v>0</v>
      </c>
      <c r="K87" s="118">
        <v>0</v>
      </c>
      <c r="L87" s="118">
        <v>1</v>
      </c>
      <c r="M87" s="118">
        <v>1</v>
      </c>
      <c r="N87" s="118">
        <v>0</v>
      </c>
      <c r="O87" s="118">
        <v>1</v>
      </c>
      <c r="P87" s="118">
        <v>1</v>
      </c>
      <c r="Q87" s="118">
        <v>1</v>
      </c>
      <c r="R87" s="118">
        <v>1</v>
      </c>
      <c r="S87" s="123">
        <v>1</v>
      </c>
    </row>
    <row r="88" spans="3:20" ht="15.75" customHeight="1">
      <c r="C88" s="69">
        <f>377/430</f>
        <v>0.87674418604651161</v>
      </c>
      <c r="D88" s="69">
        <f>234/483</f>
        <v>0.48447204968944102</v>
      </c>
      <c r="E88" s="69">
        <f>116/481</f>
        <v>0.24116424116424118</v>
      </c>
      <c r="F88" s="122" t="s">
        <v>150</v>
      </c>
      <c r="G88" s="54">
        <v>1</v>
      </c>
      <c r="H88" s="54">
        <v>0</v>
      </c>
      <c r="I88" s="54">
        <v>0</v>
      </c>
      <c r="J88" s="118">
        <v>0</v>
      </c>
      <c r="K88" s="118">
        <v>0</v>
      </c>
      <c r="L88" s="118">
        <v>0</v>
      </c>
      <c r="M88" s="118">
        <v>0</v>
      </c>
      <c r="N88" s="118">
        <v>0</v>
      </c>
      <c r="O88" s="118">
        <v>0</v>
      </c>
      <c r="P88" s="118">
        <v>0</v>
      </c>
      <c r="Q88" s="118">
        <v>1</v>
      </c>
      <c r="R88" s="118">
        <v>1</v>
      </c>
      <c r="S88" s="123">
        <v>0</v>
      </c>
    </row>
    <row r="89" spans="3:20" ht="15.75" customHeight="1">
      <c r="C89" s="10">
        <f>403/430</f>
        <v>0.93720930232558142</v>
      </c>
      <c r="E89" s="10">
        <f>133/481</f>
        <v>0.27650727650727652</v>
      </c>
      <c r="F89" s="124" t="s">
        <v>151</v>
      </c>
      <c r="G89" s="54">
        <v>1</v>
      </c>
      <c r="H89" s="54">
        <v>1</v>
      </c>
      <c r="I89" s="54">
        <v>1</v>
      </c>
      <c r="J89" s="118">
        <v>1</v>
      </c>
      <c r="K89" s="118">
        <v>1</v>
      </c>
      <c r="L89" s="118">
        <v>0</v>
      </c>
      <c r="M89" s="118">
        <v>0</v>
      </c>
      <c r="N89" s="118">
        <v>0</v>
      </c>
      <c r="O89" s="118">
        <v>0</v>
      </c>
      <c r="P89" s="118">
        <v>0</v>
      </c>
      <c r="Q89" s="118">
        <v>1</v>
      </c>
      <c r="R89" s="118">
        <v>1</v>
      </c>
      <c r="S89" s="123">
        <v>0</v>
      </c>
    </row>
    <row r="90" spans="3:20" ht="15.75" customHeight="1">
      <c r="C90" s="10">
        <f>422/430</f>
        <v>0.98139534883720925</v>
      </c>
      <c r="E90" s="10">
        <f>151/481</f>
        <v>0.31392931392931395</v>
      </c>
      <c r="F90" s="124" t="s">
        <v>152</v>
      </c>
      <c r="G90" s="118">
        <v>1</v>
      </c>
      <c r="H90" s="118">
        <v>1</v>
      </c>
      <c r="I90" s="118">
        <v>0</v>
      </c>
      <c r="J90" s="118">
        <v>1</v>
      </c>
      <c r="K90" s="118">
        <v>0</v>
      </c>
      <c r="L90" s="118">
        <v>1</v>
      </c>
      <c r="M90" s="118">
        <v>1</v>
      </c>
      <c r="N90" s="118">
        <v>1</v>
      </c>
      <c r="O90" s="118">
        <v>0</v>
      </c>
      <c r="P90" s="118">
        <v>0</v>
      </c>
      <c r="Q90" s="118">
        <v>1</v>
      </c>
      <c r="R90" s="118">
        <v>1</v>
      </c>
      <c r="S90" s="123">
        <v>1</v>
      </c>
    </row>
    <row r="91" spans="3:20" ht="15.75" customHeight="1">
      <c r="E91" s="10">
        <f>343/481</f>
        <v>0.71309771309771308</v>
      </c>
      <c r="F91" s="124" t="s">
        <v>153</v>
      </c>
      <c r="G91" s="118">
        <v>1</v>
      </c>
      <c r="H91" s="118">
        <v>1</v>
      </c>
      <c r="I91" s="118">
        <v>1</v>
      </c>
      <c r="J91" s="118">
        <v>1</v>
      </c>
      <c r="K91" s="118">
        <v>0</v>
      </c>
      <c r="L91" s="118">
        <v>0</v>
      </c>
      <c r="M91" s="118">
        <v>0</v>
      </c>
      <c r="N91" s="118">
        <v>1</v>
      </c>
      <c r="O91" s="118">
        <v>0</v>
      </c>
      <c r="P91" s="118">
        <v>0</v>
      </c>
      <c r="Q91" s="118">
        <v>1</v>
      </c>
      <c r="R91" s="118">
        <v>1</v>
      </c>
      <c r="S91" s="123">
        <v>0</v>
      </c>
    </row>
    <row r="92" spans="3:20" ht="15.75" customHeight="1">
      <c r="E92" s="10">
        <f>261/481</f>
        <v>0.54261954261954259</v>
      </c>
      <c r="F92" s="124" t="s">
        <v>154</v>
      </c>
      <c r="G92" s="118">
        <v>1</v>
      </c>
      <c r="H92" s="118">
        <v>0</v>
      </c>
      <c r="I92" s="118">
        <v>0</v>
      </c>
      <c r="J92" s="118">
        <v>0</v>
      </c>
      <c r="K92" s="118">
        <v>0</v>
      </c>
      <c r="L92" s="118">
        <v>0</v>
      </c>
      <c r="M92" s="118">
        <v>0</v>
      </c>
      <c r="N92" s="118">
        <v>0</v>
      </c>
      <c r="O92" s="118">
        <v>0</v>
      </c>
      <c r="P92" s="118">
        <v>0</v>
      </c>
      <c r="Q92" s="118">
        <v>1</v>
      </c>
      <c r="R92" s="118">
        <v>1</v>
      </c>
      <c r="S92" s="123">
        <v>1</v>
      </c>
    </row>
    <row r="93" spans="3:20" ht="15.75" customHeight="1">
      <c r="F93" s="124" t="s">
        <v>155</v>
      </c>
      <c r="G93" s="118">
        <v>1</v>
      </c>
      <c r="H93" s="118">
        <v>1</v>
      </c>
      <c r="I93" s="118">
        <v>0</v>
      </c>
      <c r="J93" s="118">
        <v>1</v>
      </c>
      <c r="K93" s="118">
        <v>1</v>
      </c>
      <c r="L93" s="118">
        <v>1</v>
      </c>
      <c r="M93" s="118">
        <v>1</v>
      </c>
      <c r="N93" s="118">
        <v>1</v>
      </c>
      <c r="O93" s="118">
        <v>0</v>
      </c>
      <c r="P93" s="118">
        <v>0</v>
      </c>
      <c r="Q93" s="118">
        <v>1</v>
      </c>
      <c r="R93" s="118">
        <v>1</v>
      </c>
      <c r="S93" s="123">
        <v>1</v>
      </c>
    </row>
    <row r="94" spans="3:20" ht="15.75" customHeight="1">
      <c r="F94" s="125" t="s">
        <v>156</v>
      </c>
      <c r="G94" s="118">
        <v>1</v>
      </c>
      <c r="H94" s="118">
        <v>1</v>
      </c>
      <c r="I94" s="118">
        <v>0</v>
      </c>
      <c r="J94" s="118">
        <v>1</v>
      </c>
      <c r="K94" s="118">
        <v>0</v>
      </c>
      <c r="L94" s="118">
        <v>1</v>
      </c>
      <c r="M94" s="118">
        <v>1</v>
      </c>
      <c r="N94" s="118">
        <v>0</v>
      </c>
      <c r="O94" s="118">
        <v>0</v>
      </c>
      <c r="P94" s="118">
        <v>0</v>
      </c>
      <c r="Q94" s="118">
        <v>1</v>
      </c>
      <c r="R94" s="118">
        <v>1</v>
      </c>
      <c r="S94" s="123">
        <v>0</v>
      </c>
    </row>
    <row r="95" spans="3:20" ht="15.75" customHeight="1">
      <c r="F95" s="124" t="s">
        <v>157</v>
      </c>
      <c r="G95" s="118">
        <v>1</v>
      </c>
      <c r="H95" s="118">
        <v>1</v>
      </c>
      <c r="I95" s="118">
        <v>0</v>
      </c>
      <c r="J95" s="118">
        <v>1</v>
      </c>
      <c r="K95" s="118">
        <v>1</v>
      </c>
      <c r="L95" s="118">
        <v>1</v>
      </c>
      <c r="M95" s="118">
        <v>1</v>
      </c>
      <c r="N95" s="118">
        <v>1</v>
      </c>
      <c r="O95" s="118">
        <v>1</v>
      </c>
      <c r="P95" s="118">
        <v>1</v>
      </c>
      <c r="Q95" s="118">
        <v>1</v>
      </c>
      <c r="R95" s="118">
        <v>1</v>
      </c>
      <c r="S95" s="123">
        <v>1</v>
      </c>
    </row>
    <row r="96" spans="3:20" ht="15.75" customHeight="1">
      <c r="F96" s="126" t="s">
        <v>137</v>
      </c>
      <c r="G96" s="54">
        <f t="shared" ref="G96:S96" si="29">SUM(G87:G95)</f>
        <v>9</v>
      </c>
      <c r="H96" s="54">
        <f t="shared" si="29"/>
        <v>6</v>
      </c>
      <c r="I96" s="54">
        <f t="shared" si="29"/>
        <v>2</v>
      </c>
      <c r="J96" s="54">
        <f t="shared" si="29"/>
        <v>6</v>
      </c>
      <c r="K96" s="54">
        <f t="shared" si="29"/>
        <v>3</v>
      </c>
      <c r="L96" s="54">
        <f t="shared" si="29"/>
        <v>5</v>
      </c>
      <c r="M96" s="54">
        <f t="shared" si="29"/>
        <v>5</v>
      </c>
      <c r="N96" s="54">
        <f t="shared" si="29"/>
        <v>4</v>
      </c>
      <c r="O96" s="54">
        <f t="shared" si="29"/>
        <v>2</v>
      </c>
      <c r="P96" s="54">
        <f t="shared" si="29"/>
        <v>2</v>
      </c>
      <c r="Q96" s="54">
        <f t="shared" si="29"/>
        <v>9</v>
      </c>
      <c r="R96" s="54">
        <f t="shared" si="29"/>
        <v>9</v>
      </c>
      <c r="S96" s="123">
        <f t="shared" si="29"/>
        <v>5</v>
      </c>
    </row>
    <row r="97" spans="6:19" ht="15.75" customHeight="1">
      <c r="F97" s="127" t="s">
        <v>92</v>
      </c>
      <c r="G97" s="54">
        <f>SUM(G90:G92)</f>
        <v>3</v>
      </c>
      <c r="H97" s="54">
        <f t="shared" ref="H97:S97" si="30">SUM(H90:H92)</f>
        <v>2</v>
      </c>
      <c r="I97" s="54">
        <f t="shared" si="30"/>
        <v>1</v>
      </c>
      <c r="J97" s="54">
        <f t="shared" si="30"/>
        <v>2</v>
      </c>
      <c r="K97" s="54">
        <f t="shared" si="30"/>
        <v>0</v>
      </c>
      <c r="L97" s="54">
        <f t="shared" si="30"/>
        <v>1</v>
      </c>
      <c r="M97" s="54">
        <f t="shared" si="30"/>
        <v>1</v>
      </c>
      <c r="N97" s="54">
        <f t="shared" si="30"/>
        <v>2</v>
      </c>
      <c r="O97" s="54">
        <f t="shared" si="30"/>
        <v>0</v>
      </c>
      <c r="P97" s="54">
        <f t="shared" si="30"/>
        <v>0</v>
      </c>
      <c r="Q97" s="54">
        <f t="shared" si="30"/>
        <v>3</v>
      </c>
      <c r="R97" s="54">
        <f t="shared" si="30"/>
        <v>3</v>
      </c>
      <c r="S97" s="123">
        <f t="shared" si="30"/>
        <v>2</v>
      </c>
    </row>
    <row r="98" spans="6:19" ht="15.75" customHeight="1" thickBot="1">
      <c r="F98" s="128" t="s">
        <v>93</v>
      </c>
      <c r="G98" s="129">
        <f>SUM(G93:G95)</f>
        <v>3</v>
      </c>
      <c r="H98" s="129">
        <f t="shared" ref="H98:S98" si="31">SUM(H93:H95)</f>
        <v>3</v>
      </c>
      <c r="I98" s="129">
        <f t="shared" si="31"/>
        <v>0</v>
      </c>
      <c r="J98" s="129">
        <f t="shared" si="31"/>
        <v>3</v>
      </c>
      <c r="K98" s="129">
        <f t="shared" si="31"/>
        <v>2</v>
      </c>
      <c r="L98" s="129">
        <f t="shared" si="31"/>
        <v>3</v>
      </c>
      <c r="M98" s="129">
        <f t="shared" si="31"/>
        <v>3</v>
      </c>
      <c r="N98" s="129">
        <f t="shared" si="31"/>
        <v>2</v>
      </c>
      <c r="O98" s="129">
        <f t="shared" si="31"/>
        <v>1</v>
      </c>
      <c r="P98" s="129">
        <f t="shared" si="31"/>
        <v>1</v>
      </c>
      <c r="Q98" s="129">
        <f t="shared" si="31"/>
        <v>3</v>
      </c>
      <c r="R98" s="129">
        <f t="shared" si="31"/>
        <v>3</v>
      </c>
      <c r="S98" s="130">
        <f t="shared" si="31"/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activeCell="C4" sqref="C4"/>
    </sheetView>
  </sheetViews>
  <sheetFormatPr baseColWidth="10" defaultRowHeight="12" x14ac:dyDescent="0"/>
  <sheetData>
    <row r="2" spans="1:6">
      <c r="A2" t="s">
        <v>98</v>
      </c>
      <c r="B2" t="s">
        <v>97</v>
      </c>
      <c r="C2" t="s">
        <v>96</v>
      </c>
      <c r="D2" t="s">
        <v>15</v>
      </c>
      <c r="E2" t="s">
        <v>16</v>
      </c>
      <c r="F2" t="s">
        <v>17</v>
      </c>
    </row>
    <row r="3" spans="1:6">
      <c r="A3" s="95">
        <v>42150</v>
      </c>
      <c r="B3" s="94" t="s">
        <v>94</v>
      </c>
      <c r="C3" t="s">
        <v>95</v>
      </c>
      <c r="D3">
        <v>4.5</v>
      </c>
      <c r="E3">
        <v>8</v>
      </c>
      <c r="F3">
        <v>5</v>
      </c>
    </row>
    <row r="4" spans="1:6">
      <c r="A4" s="95">
        <v>42150</v>
      </c>
      <c r="B4" t="s">
        <v>99</v>
      </c>
    </row>
    <row r="5" spans="1:6">
      <c r="A5" s="95">
        <v>42150</v>
      </c>
      <c r="B5" t="s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Search Task (Remove incorrect)</vt:lpstr>
      <vt:lpstr>Sheet1</vt:lpstr>
      <vt:lpstr>Summary Task</vt:lpstr>
      <vt:lpstr>Comprehension Task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Hijung Shin</dc:creator>
  <cp:lastModifiedBy>Hijung Shin</cp:lastModifiedBy>
  <dcterms:created xsi:type="dcterms:W3CDTF">2015-05-21T18:13:28Z</dcterms:created>
  <dcterms:modified xsi:type="dcterms:W3CDTF">2015-06-01T19:46:16Z</dcterms:modified>
</cp:coreProperties>
</file>