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k\OneDrive\Desktop\"/>
    </mc:Choice>
  </mc:AlternateContent>
  <xr:revisionPtr revIDLastSave="0" documentId="13_ncr:1_{96E41A5B-7D9E-4DAB-B135-9D7DC6270BB2}" xr6:coauthVersionLast="45" xr6:coauthVersionMax="45" xr10:uidLastSave="{00000000-0000-0000-0000-000000000000}"/>
  <bookViews>
    <workbookView xWindow="-108" yWindow="-108" windowWidth="23256" windowHeight="12576" activeTab="1" xr2:uid="{D25A2E9D-AE57-4F92-A156-AB3A5FD33A61}"/>
  </bookViews>
  <sheets>
    <sheet name="ADCS" sheetId="1" r:id="rId1"/>
    <sheet name="HiRISE Operations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I51" i="2"/>
  <c r="F47" i="2"/>
  <c r="D47" i="2"/>
  <c r="B47" i="2"/>
  <c r="I44" i="2"/>
  <c r="F38" i="2"/>
  <c r="D38" i="2"/>
  <c r="B38" i="2"/>
  <c r="I35" i="2"/>
  <c r="F34" i="2"/>
  <c r="D34" i="2"/>
  <c r="D33" i="2" s="1"/>
  <c r="D35" i="2" s="1"/>
  <c r="B34" i="2"/>
  <c r="F33" i="2"/>
  <c r="F35" i="2" s="1"/>
  <c r="B33" i="2"/>
  <c r="B35" i="2" s="1"/>
  <c r="F32" i="2"/>
  <c r="D32" i="2"/>
  <c r="B32" i="2"/>
  <c r="F31" i="2"/>
  <c r="D31" i="2"/>
  <c r="B31" i="2"/>
  <c r="I29" i="2"/>
  <c r="I28" i="2"/>
  <c r="I25" i="2"/>
  <c r="F23" i="2"/>
  <c r="I22" i="2"/>
  <c r="F21" i="2"/>
  <c r="D21" i="2"/>
  <c r="B21" i="2"/>
  <c r="I20" i="2"/>
  <c r="I19" i="2"/>
  <c r="I31" i="2" s="1"/>
  <c r="I30" i="2" s="1"/>
  <c r="I32" i="2" s="1"/>
  <c r="I18" i="2"/>
  <c r="I21" i="2" s="1"/>
  <c r="I23" i="2" s="1"/>
  <c r="F18" i="2"/>
  <c r="I17" i="2"/>
  <c r="F17" i="2"/>
  <c r="F22" i="2" s="1"/>
  <c r="D17" i="2"/>
  <c r="D22" i="2" s="1"/>
  <c r="I14" i="2"/>
  <c r="F14" i="2"/>
  <c r="D14" i="2"/>
  <c r="B14" i="2"/>
  <c r="I13" i="2"/>
  <c r="F13" i="2"/>
  <c r="B13" i="2"/>
  <c r="L10" i="2"/>
  <c r="I8" i="2"/>
  <c r="D18" i="2" s="1"/>
  <c r="D23" i="2" s="1"/>
  <c r="H8" i="2"/>
  <c r="G8" i="2"/>
  <c r="I7" i="2"/>
  <c r="B18" i="2" s="1"/>
  <c r="B23" i="2" s="1"/>
  <c r="H7" i="2"/>
  <c r="G7" i="2"/>
  <c r="B17" i="2" s="1"/>
  <c r="B22" i="2" s="1"/>
  <c r="I5" i="2"/>
  <c r="H5" i="2"/>
  <c r="G5" i="2"/>
  <c r="F24" i="2" l="1"/>
  <c r="F28" i="2" s="1"/>
  <c r="I37" i="2"/>
  <c r="I38" i="2" s="1"/>
  <c r="I39" i="2" s="1"/>
  <c r="I24" i="2"/>
  <c r="I36" i="2" s="1"/>
  <c r="B24" i="2"/>
  <c r="D24" i="2"/>
  <c r="B25" i="2"/>
  <c r="D25" i="2"/>
  <c r="F25" i="2"/>
  <c r="J114" i="1"/>
  <c r="J99" i="1"/>
  <c r="J49" i="1"/>
  <c r="J63" i="1" s="1"/>
  <c r="J64" i="1" s="1"/>
  <c r="J39" i="1"/>
  <c r="C35" i="1"/>
  <c r="C36" i="1" s="1"/>
  <c r="C33" i="1"/>
  <c r="J30" i="1"/>
  <c r="J85" i="1" s="1"/>
  <c r="J29" i="1"/>
  <c r="J77" i="1" s="1"/>
  <c r="J28" i="1"/>
  <c r="C46" i="1" s="1"/>
  <c r="J27" i="1"/>
  <c r="J62" i="1" s="1"/>
  <c r="J26" i="1"/>
  <c r="J21" i="1"/>
  <c r="J19" i="1"/>
  <c r="J8" i="1"/>
  <c r="C25" i="1" s="1"/>
  <c r="C7" i="1"/>
  <c r="J4" i="1"/>
  <c r="J7" i="1" s="1"/>
  <c r="C3" i="1"/>
  <c r="J2" i="1"/>
  <c r="C8" i="1" s="1"/>
  <c r="D26" i="2" l="1"/>
  <c r="D40" i="2"/>
  <c r="D41" i="2" s="1"/>
  <c r="D42" i="2" s="1"/>
  <c r="D27" i="2"/>
  <c r="D39" i="2" s="1"/>
  <c r="I40" i="2"/>
  <c r="I41" i="2"/>
  <c r="I43" i="2" s="1"/>
  <c r="I45" i="2" s="1"/>
  <c r="I46" i="2" s="1"/>
  <c r="B27" i="2"/>
  <c r="B39" i="2" s="1"/>
  <c r="B26" i="2"/>
  <c r="B40" i="2"/>
  <c r="B41" i="2" s="1"/>
  <c r="B42" i="2" s="1"/>
  <c r="F40" i="2"/>
  <c r="F41" i="2" s="1"/>
  <c r="F42" i="2" s="1"/>
  <c r="F27" i="2"/>
  <c r="F39" i="2" s="1"/>
  <c r="J50" i="1"/>
  <c r="J70" i="1"/>
  <c r="J67" i="1"/>
  <c r="C37" i="1"/>
  <c r="C38" i="1"/>
  <c r="C43" i="1"/>
  <c r="J65" i="1"/>
  <c r="J66" i="1" s="1"/>
  <c r="J71" i="1" s="1"/>
  <c r="C16" i="1"/>
  <c r="C9" i="1"/>
  <c r="C15" i="1"/>
  <c r="J48" i="1" s="1"/>
  <c r="C10" i="1"/>
  <c r="C5" i="1"/>
  <c r="C18" i="1"/>
  <c r="J83" i="1"/>
  <c r="J84" i="1" s="1"/>
  <c r="M78" i="1"/>
  <c r="J115" i="1"/>
  <c r="C23" i="1"/>
  <c r="J98" i="1"/>
  <c r="J105" i="1" s="1"/>
  <c r="J78" i="1"/>
  <c r="B43" i="2" l="1"/>
  <c r="B44" i="2"/>
  <c r="B46" i="2" s="1"/>
  <c r="K47" i="2"/>
  <c r="I47" i="2"/>
  <c r="I48" i="2" s="1"/>
  <c r="I49" i="2" s="1"/>
  <c r="F43" i="2"/>
  <c r="F44" i="2"/>
  <c r="F46" i="2" s="1"/>
  <c r="F48" i="2" s="1"/>
  <c r="F49" i="2" s="1"/>
  <c r="F50" i="2" s="1"/>
  <c r="F51" i="2" s="1"/>
  <c r="D43" i="2"/>
  <c r="D44" i="2"/>
  <c r="D46" i="2" s="1"/>
  <c r="D48" i="2" s="1"/>
  <c r="D49" i="2" s="1"/>
  <c r="J86" i="1"/>
  <c r="C40" i="1"/>
  <c r="C42" i="1"/>
  <c r="C44" i="1" s="1"/>
  <c r="J76" i="1" s="1"/>
  <c r="C39" i="1"/>
  <c r="C41" i="1"/>
  <c r="J111" i="1"/>
  <c r="C14" i="1"/>
  <c r="C12" i="1"/>
  <c r="J100" i="1"/>
  <c r="J101" i="1" s="1"/>
  <c r="J56" i="1"/>
  <c r="J51" i="1"/>
  <c r="J53" i="1" s="1"/>
  <c r="J57" i="1" s="1"/>
  <c r="J52" i="1"/>
  <c r="C11" i="1"/>
  <c r="C13" i="1"/>
  <c r="I50" i="2" l="1"/>
  <c r="I53" i="2" s="1"/>
  <c r="I54" i="2" s="1"/>
  <c r="B48" i="2"/>
  <c r="B49" i="2" s="1"/>
  <c r="B50" i="2" s="1"/>
  <c r="J79" i="1"/>
  <c r="J87" i="1" s="1"/>
  <c r="J88" i="1"/>
  <c r="J91" i="1"/>
  <c r="J102" i="1"/>
  <c r="J106" i="1"/>
  <c r="J118" i="1" s="1"/>
  <c r="I52" i="2" l="1"/>
  <c r="J92" i="1"/>
  <c r="J116" i="1" s="1"/>
  <c r="J120" i="1" s="1"/>
</calcChain>
</file>

<file path=xl/sharedStrings.xml><?xml version="1.0" encoding="utf-8"?>
<sst xmlns="http://schemas.openxmlformats.org/spreadsheetml/2006/main" count="703" uniqueCount="373">
  <si>
    <t>Disturbances:</t>
  </si>
  <si>
    <t>Constants:</t>
  </si>
  <si>
    <t>Values</t>
  </si>
  <si>
    <t>Units</t>
  </si>
  <si>
    <t>Comments/Source</t>
  </si>
  <si>
    <t>Earth:</t>
  </si>
  <si>
    <t>Value</t>
  </si>
  <si>
    <t>Formulas</t>
  </si>
  <si>
    <t>Comments</t>
  </si>
  <si>
    <t>Speed of light c:</t>
  </si>
  <si>
    <t>m/s</t>
  </si>
  <si>
    <t>At height</t>
  </si>
  <si>
    <t>km</t>
  </si>
  <si>
    <t>R_SOI = a_E*(m_E/m_Sun)^2/5</t>
  </si>
  <si>
    <t>I_s @ 1 AU:</t>
  </si>
  <si>
    <t>W/m^2</t>
  </si>
  <si>
    <t>Nadir angle</t>
  </si>
  <si>
    <t>degrees</t>
  </si>
  <si>
    <t>G</t>
  </si>
  <si>
    <t>km^3/kg/s^2</t>
  </si>
  <si>
    <t>Velocity</t>
  </si>
  <si>
    <t>km/s</t>
  </si>
  <si>
    <t>Mass of Earth</t>
  </si>
  <si>
    <t>kg</t>
  </si>
  <si>
    <t>Solar Torque:</t>
  </si>
  <si>
    <t>Mass of Ceres</t>
  </si>
  <si>
    <t>Solar Intensity I_s</t>
  </si>
  <si>
    <t>μ_Earth</t>
  </si>
  <si>
    <t>km^3/s^2</t>
  </si>
  <si>
    <t>Solar pressure P_s:</t>
  </si>
  <si>
    <t>N/m^2</t>
  </si>
  <si>
    <t>I_s/c</t>
  </si>
  <si>
    <t>μ_Mars</t>
  </si>
  <si>
    <t>km^3/s^3</t>
  </si>
  <si>
    <t>Solar aosorbtion force S/A</t>
  </si>
  <si>
    <t>N</t>
  </si>
  <si>
    <t>P_s*A*cos(θ)</t>
  </si>
  <si>
    <t>μ_Ceres</t>
  </si>
  <si>
    <t>https://solarsystem.nasa.gov/planets/dwarf-planets/ceres/by-the-numbers/</t>
  </si>
  <si>
    <t>Solar aosorbtion force S/C</t>
  </si>
  <si>
    <t>Radius of Earth</t>
  </si>
  <si>
    <t>Specular reflection SA</t>
  </si>
  <si>
    <r>
      <t>2*P_s*A*cos(</t>
    </r>
    <r>
      <rPr>
        <sz val="11"/>
        <color theme="1"/>
        <rFont val="Calibri"/>
        <family val="2"/>
      </rPr>
      <t>θ)</t>
    </r>
  </si>
  <si>
    <t>Radius of Mars</t>
  </si>
  <si>
    <t>Specular reflection S/C</t>
  </si>
  <si>
    <t>Radius of Ceres</t>
  </si>
  <si>
    <t>Diffuse reflection SA</t>
  </si>
  <si>
    <r>
      <t>(1+q)*P_s*A*cos(</t>
    </r>
    <r>
      <rPr>
        <sz val="11"/>
        <color theme="1"/>
        <rFont val="Calibri"/>
        <family val="2"/>
      </rPr>
      <t>θ)</t>
    </r>
  </si>
  <si>
    <t>Boltzman Constant</t>
  </si>
  <si>
    <t>J/K</t>
  </si>
  <si>
    <t>Diffuse reflection S/C</t>
  </si>
  <si>
    <t>g_earth</t>
  </si>
  <si>
    <t>m/s^2</t>
  </si>
  <si>
    <t>Solar torque SA</t>
  </si>
  <si>
    <t>N.m</t>
  </si>
  <si>
    <t>P*A*L*(1+q)</t>
  </si>
  <si>
    <t>Air Molecular mass</t>
  </si>
  <si>
    <t>Solar torque S/C</t>
  </si>
  <si>
    <t>Gravity Gradiant Tourqe:</t>
  </si>
  <si>
    <t>T_g</t>
  </si>
  <si>
    <t>(3µ/2r^3)*|Iz – Iy| *sin2θ</t>
  </si>
  <si>
    <t xml:space="preserve"> 19-8 SMAD</t>
  </si>
  <si>
    <t>Parameters:</t>
  </si>
  <si>
    <t>Area of the SA:</t>
  </si>
  <si>
    <t>m^2</t>
  </si>
  <si>
    <t>Mars (flyby):</t>
  </si>
  <si>
    <t>Area of the S/C</t>
  </si>
  <si>
    <t>Angle relative to solar incidense angle:</t>
  </si>
  <si>
    <t>rad</t>
  </si>
  <si>
    <t>From solar array calculations</t>
  </si>
  <si>
    <t>Altitude</t>
  </si>
  <si>
    <t>Reflectance of surface(SA) q =</t>
  </si>
  <si>
    <t>From Thermal calculations</t>
  </si>
  <si>
    <t>Reflectance of surface(SC) q =</t>
  </si>
  <si>
    <t xml:space="preserve">Gravity Gradiant Tourqe </t>
  </si>
  <si>
    <t>Cp-Cm = L_S/C Distance from the centroid of surface to s/c center of mass (CM or CG) S/C</t>
  </si>
  <si>
    <t>m</t>
  </si>
  <si>
    <t>From Structural calculations</t>
  </si>
  <si>
    <t>(3µ/2r^3)*|Iz – Iy|*sin2θ</t>
  </si>
  <si>
    <t>formula 19-8 of SMAD</t>
  </si>
  <si>
    <t>Cp-Cm = L_SA Distance from the centroid of surface to s/c center of mass (CM or CG)  SA</t>
  </si>
  <si>
    <t>Assumng symetrical arrays</t>
  </si>
  <si>
    <t>I_x</t>
  </si>
  <si>
    <t>kg.m^2</t>
  </si>
  <si>
    <t>I_y</t>
  </si>
  <si>
    <t>Ceres:</t>
  </si>
  <si>
    <t>Formula</t>
  </si>
  <si>
    <t>Conversion/Comments</t>
  </si>
  <si>
    <t>Unit</t>
  </si>
  <si>
    <t>I_z</t>
  </si>
  <si>
    <t>Distance from Sun</t>
  </si>
  <si>
    <t>Au</t>
  </si>
  <si>
    <t>Orbit Period at Ceres:</t>
  </si>
  <si>
    <t>h</t>
  </si>
  <si>
    <t>2*pi*sqrt(R+h)^3/mu)/3600</t>
  </si>
  <si>
    <t>deg</t>
  </si>
  <si>
    <t xml:space="preserve">For 500km altitude </t>
  </si>
  <si>
    <t>From HiRISE requirements</t>
  </si>
  <si>
    <t>Number of orbits to cover 80% of Ceres eclipse and day</t>
  </si>
  <si>
    <t xml:space="preserve">From Orbit calciation </t>
  </si>
  <si>
    <t>Atmospheric Density</t>
  </si>
  <si>
    <t>Height From Ceres</t>
  </si>
  <si>
    <t>sqrt(2*μ_Ceres/(R+h))</t>
  </si>
  <si>
    <t>Solar Torque</t>
  </si>
  <si>
    <t>Actuators:</t>
  </si>
  <si>
    <t>Solar _intensity I_s</t>
  </si>
  <si>
    <t>Thruster:</t>
  </si>
  <si>
    <t>Thrust</t>
  </si>
  <si>
    <t>From Data sheet</t>
  </si>
  <si>
    <t>MAX (0.19-1.3)</t>
  </si>
  <si>
    <t>Solar aosorbtion force SA</t>
  </si>
  <si>
    <t>Flow Rate:</t>
  </si>
  <si>
    <t>g/sec</t>
  </si>
  <si>
    <t>MAX (0.09-0.5)</t>
  </si>
  <si>
    <t>Arm length from center of mass:</t>
  </si>
  <si>
    <t>M_thrust:</t>
  </si>
  <si>
    <t>2*F_thrust * r_arm</t>
  </si>
  <si>
    <t>Wheel's angular momtum (H):</t>
  </si>
  <si>
    <t>N.m.s</t>
  </si>
  <si>
    <t>Maximum output torque:</t>
  </si>
  <si>
    <t>Solar tourqe SA</t>
  </si>
  <si>
    <t>Solar turqe S/C</t>
  </si>
  <si>
    <t>P =P_s*cos(θ)</t>
  </si>
  <si>
    <t>Slew Calculations For from Solar Disturbances at Cruise:</t>
  </si>
  <si>
    <t>Fomula</t>
  </si>
  <si>
    <t>Marigin Factor</t>
  </si>
  <si>
    <t>%</t>
  </si>
  <si>
    <t>Max Torque  at Earth:</t>
  </si>
  <si>
    <t>T_D = T_max * (1+Marigin factor)</t>
  </si>
  <si>
    <t xml:space="preserve">Concidered same amount of solar Disturbances are exerted to the CS util reching Ceres </t>
  </si>
  <si>
    <t>Time of interplanetry mission:</t>
  </si>
  <si>
    <t>years</t>
  </si>
  <si>
    <t>hours</t>
  </si>
  <si>
    <t>Momentum Storage in reaction Wheel at Earth</t>
  </si>
  <si>
    <t>T_D*P*0.707/4</t>
  </si>
  <si>
    <t xml:space="preserve"> </t>
  </si>
  <si>
    <r>
      <rPr>
        <sz val="11"/>
        <color theme="1"/>
        <rFont val="Calibri"/>
        <family val="2"/>
      </rPr>
      <t>Amount of time to build the max momentum at Earth (Δ</t>
    </r>
    <r>
      <rPr>
        <sz val="11"/>
        <color theme="1"/>
        <rFont val="Calibri"/>
        <family val="2"/>
        <scheme val="minor"/>
      </rPr>
      <t>t):</t>
    </r>
  </si>
  <si>
    <t>weeks</t>
  </si>
  <si>
    <t>H/M</t>
  </si>
  <si>
    <t>Number of dumps</t>
  </si>
  <si>
    <t>Only for Dsiturbances</t>
  </si>
  <si>
    <t>Momentum dumping for gravity disturbnce at Ceres:</t>
  </si>
  <si>
    <t>Δt_thrust</t>
  </si>
  <si>
    <t>s</t>
  </si>
  <si>
    <t>H_RWA/(M_thrust-disturbance_torque)</t>
  </si>
  <si>
    <t>m_hydrazine</t>
  </si>
  <si>
    <t>2*#dumps* flow_rate*Δt_thrust</t>
  </si>
  <si>
    <t>Slew to Downlink data at Cruise:</t>
  </si>
  <si>
    <t>Angle of slew:</t>
  </si>
  <si>
    <t>Δθ</t>
  </si>
  <si>
    <t>2 * 90 degree altitude change to point the HGA to downlink data (Factor 2 isto include pointing back)</t>
  </si>
  <si>
    <t>Time of slew:</t>
  </si>
  <si>
    <t>min</t>
  </si>
  <si>
    <t>Δt</t>
  </si>
  <si>
    <t xml:space="preserve">M_slew = </t>
  </si>
  <si>
    <r>
      <t>4*I_y*</t>
    </r>
    <r>
      <rPr>
        <sz val="11"/>
        <color theme="1"/>
        <rFont val="Calibri"/>
        <family val="2"/>
      </rPr>
      <t>Δθ/Δt</t>
    </r>
    <r>
      <rPr>
        <sz val="11"/>
        <color theme="1"/>
        <rFont val="Calibri"/>
        <family val="2"/>
        <scheme val="minor"/>
      </rPr>
      <t>^2</t>
    </r>
  </si>
  <si>
    <t>From SMAD table 19-11</t>
  </si>
  <si>
    <t>Number of downlinks</t>
  </si>
  <si>
    <t>2.49 years * 365/28</t>
  </si>
  <si>
    <t>downlinking once every 28 days throughout 2.49 years</t>
  </si>
  <si>
    <t>Total acumulation of momentum</t>
  </si>
  <si>
    <t>Slew_time*M_slew*#downlinks</t>
  </si>
  <si>
    <t>Number Momentum dumps:</t>
  </si>
  <si>
    <t>H_RWA/H_slew</t>
  </si>
  <si>
    <t>Rounded up</t>
  </si>
  <si>
    <t>Amount of time to build the max momentum (Δt):</t>
  </si>
  <si>
    <t>H/(M_slew)</t>
  </si>
  <si>
    <t>Momentum dumping for data downlink:</t>
  </si>
  <si>
    <t>m_hydrazine_for_all_downlinks</t>
  </si>
  <si>
    <t>2*flow_rate*Δt_thrust</t>
  </si>
  <si>
    <t>Slew Calculations For Disturbances at Ceres:</t>
  </si>
  <si>
    <t>Max Torque  at Ceres:</t>
  </si>
  <si>
    <t>T_D = T_max *(1+ Marigin factor)</t>
  </si>
  <si>
    <t>Full orbit period at Ceres (P)</t>
  </si>
  <si>
    <t>Number of total orbits at Ceres:</t>
  </si>
  <si>
    <t>orbits</t>
  </si>
  <si>
    <t>Momentum Storage in reaction Wheel at Ceres</t>
  </si>
  <si>
    <t>T_D*P*0.707*50</t>
  </si>
  <si>
    <t>accumulation for 50 orbits</t>
  </si>
  <si>
    <t>Slew for mapping at Ceres:</t>
  </si>
  <si>
    <t xml:space="preserve">Formula/Source </t>
  </si>
  <si>
    <t>Time of Slew</t>
  </si>
  <si>
    <t>M_slew</t>
  </si>
  <si>
    <t xml:space="preserve">Number of orbits </t>
  </si>
  <si>
    <t>Science orbits</t>
  </si>
  <si>
    <t>Acumulation of momentum due to disturbances for the given time:</t>
  </si>
  <si>
    <t>Total number of momentum dumps:</t>
  </si>
  <si>
    <t>dumps</t>
  </si>
  <si>
    <t>Slew and disturbance</t>
  </si>
  <si>
    <t>Amount of time to build the max momentum at Ceres (Δt):</t>
  </si>
  <si>
    <t>H/(M_slew+M_gravity)</t>
  </si>
  <si>
    <t>For mapping slewing and disturbance cancelation at Ceres</t>
  </si>
  <si>
    <t>Momentum dumping for Slewing</t>
  </si>
  <si>
    <t>H/(M_thrust-slew_torque)</t>
  </si>
  <si>
    <t>m_hydrazine for mapping orbits</t>
  </si>
  <si>
    <t>2*flow_rate*Δt_thrust*#dumps</t>
  </si>
  <si>
    <t>Slew to Downlink data at Ceres:</t>
  </si>
  <si>
    <t>Comment</t>
  </si>
  <si>
    <t>2 * 90 degree altitude change to point the HGA to downlink data</t>
  </si>
  <si>
    <t>number of down links</t>
  </si>
  <si>
    <t>From Orbit calculation sheet</t>
  </si>
  <si>
    <t>Total hydrazine mass for momentum dumping:</t>
  </si>
  <si>
    <t>Earth and Cruise:</t>
  </si>
  <si>
    <t>Hyrazine mass:</t>
  </si>
  <si>
    <t>Science Mission and mapping at Ceres:</t>
  </si>
  <si>
    <t>Time:</t>
  </si>
  <si>
    <t>Pointing HGA at Ceres:</t>
  </si>
  <si>
    <t>Sum</t>
  </si>
  <si>
    <t>Manufacturer</t>
  </si>
  <si>
    <t>Spectifcation</t>
    <phoneticPr fontId="0" type="noConversion"/>
  </si>
  <si>
    <t>Model</t>
  </si>
  <si>
    <t>Wheel Type</t>
  </si>
  <si>
    <t>Weight (kg)</t>
  </si>
  <si>
    <t>Average Power (W)</t>
  </si>
  <si>
    <t>Peak Power (W)</t>
    <phoneticPr fontId="0" type="noConversion"/>
  </si>
  <si>
    <t>TRL</t>
  </si>
  <si>
    <t>Radiation (krad)</t>
  </si>
  <si>
    <t>Lifetime (yr)</t>
  </si>
  <si>
    <t>Angular Momentum (N-m-s)</t>
  </si>
  <si>
    <t>Maximum Output Torque (N-m)</t>
  </si>
  <si>
    <t>Wheel Speed (RPM)</t>
  </si>
  <si>
    <t>Vibration (g-rms)</t>
  </si>
  <si>
    <t>Low Temp (˚C)</t>
    <phoneticPr fontId="0" type="noConversion"/>
  </si>
  <si>
    <t>High Temp (˚C)</t>
    <phoneticPr fontId="0" type="noConversion"/>
  </si>
  <si>
    <t>Dimensions (cm)</t>
  </si>
  <si>
    <t>Flight History</t>
  </si>
  <si>
    <t>Sensors</t>
  </si>
  <si>
    <t>Source</t>
  </si>
  <si>
    <t>Heritage</t>
  </si>
  <si>
    <t>Quantity</t>
  </si>
  <si>
    <t>Spare</t>
  </si>
  <si>
    <t>Chosen-&gt;</t>
  </si>
  <si>
    <t>Honeywell</t>
  </si>
  <si>
    <t>Honeywell, HR16</t>
  </si>
  <si>
    <t>HR16</t>
  </si>
  <si>
    <t>Reaction</t>
  </si>
  <si>
    <t xml:space="preserve">  micro-Advanced Steller Compas (μASC) - fit with 3 Camera Head Units (CHUs)</t>
  </si>
  <si>
    <t>ESA</t>
  </si>
  <si>
    <t>Constellation, HR14, 50 Nms @ 6000 rpm</t>
  </si>
  <si>
    <t>HR14</t>
  </si>
  <si>
    <t xml:space="preserve">15.9 h, 36.6 w </t>
  </si>
  <si>
    <t>Numerous</t>
  </si>
  <si>
    <t xml:space="preserve">  Coarse Sun Sensor</t>
  </si>
  <si>
    <t>Bradford Engineering</t>
  </si>
  <si>
    <t>Honeywell, HR14 Min</t>
  </si>
  <si>
    <t>Honeywell, HR14 Min,23</t>
  </si>
  <si>
    <t>36.8 dia x 15.9</t>
  </si>
  <si>
    <t>Various</t>
  </si>
  <si>
    <t>NG LN-200 Core IMU</t>
  </si>
  <si>
    <t>NoveAtel</t>
  </si>
  <si>
    <t>Honeywell, HR12 Min</t>
  </si>
  <si>
    <t>Honeywell, HR12 Min,12.001</t>
  </si>
  <si>
    <t>HR12</t>
  </si>
  <si>
    <t>31.6 dia x 15.9</t>
  </si>
  <si>
    <t>Thruster Specs:</t>
  </si>
  <si>
    <t>Propelant</t>
  </si>
  <si>
    <t>Flow Rate (g/sec)</t>
  </si>
  <si>
    <t>Thrust/Steady State(N)</t>
  </si>
  <si>
    <t>Total Impuls(N.s)</t>
  </si>
  <si>
    <t>Mass(kg)</t>
  </si>
  <si>
    <t>Specific Impulse (sec)</t>
  </si>
  <si>
    <t>Valve Power(Watts)</t>
  </si>
  <si>
    <t>Aerojet</t>
  </si>
  <si>
    <t>ME-50S 22N (50.0lbf)</t>
  </si>
  <si>
    <t>Hydrazine</t>
  </si>
  <si>
    <t>32.0-5.8</t>
  </si>
  <si>
    <t>229-208</t>
  </si>
  <si>
    <t>Chosen -&gt;</t>
  </si>
  <si>
    <t>MR-103G 1N (0.2-lbf)</t>
  </si>
  <si>
    <t>0.5-0.09</t>
  </si>
  <si>
    <t>1.13-0.19</t>
  </si>
  <si>
    <t>224-202 sec</t>
  </si>
  <si>
    <t>Cameras</t>
  </si>
  <si>
    <t>Focal Length</t>
  </si>
  <si>
    <t>Pixel Size</t>
  </si>
  <si>
    <t>Cross Track</t>
  </si>
  <si>
    <t>Along Track</t>
  </si>
  <si>
    <t>Colors</t>
  </si>
  <si>
    <t>CT FOV</t>
  </si>
  <si>
    <t>CT IFOV</t>
  </si>
  <si>
    <t>AT FOV</t>
  </si>
  <si>
    <t>Data quantization(with compression)</t>
  </si>
  <si>
    <t>Resolution</t>
  </si>
  <si>
    <t>Storage Size</t>
  </si>
  <si>
    <t>TDI detector data rate</t>
  </si>
  <si>
    <t>Data rate</t>
  </si>
  <si>
    <t>Detector Res</t>
  </si>
  <si>
    <t>Overlap</t>
  </si>
  <si>
    <t>Exposure time</t>
  </si>
  <si>
    <t>(m)</t>
  </si>
  <si>
    <t>(µm)</t>
  </si>
  <si>
    <t>(# pixels)</t>
  </si>
  <si>
    <t>(deg)</t>
  </si>
  <si>
    <r>
      <t>(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rad)</t>
    </r>
  </si>
  <si>
    <t>(bit/pixel)</t>
  </si>
  <si>
    <t>cm/pixel</t>
  </si>
  <si>
    <t>(Gbit)</t>
  </si>
  <si>
    <t>Mpixel/s</t>
  </si>
  <si>
    <t>Mbit/s</t>
  </si>
  <si>
    <t>(bits)</t>
  </si>
  <si>
    <t>(ms)</t>
  </si>
  <si>
    <t>Malin MSS Imager Camera</t>
  </si>
  <si>
    <t>DAWN Framing Camera</t>
  </si>
  <si>
    <t>Pleiades-HS (MS imaging technique)
MS array assembly: 5 x 1500 (7500 pixels in cross-track) pixel size: 52 µm</t>
  </si>
  <si>
    <t>65 cm aperture diameter, focal length of 12.905 m, f/20, TMA optics</t>
  </si>
  <si>
    <t>Pleiades-HR (PAN imaging technique)	
Pan array assembly: 5 x 6000 (30,000 pixels cross-track) pixel size: 13 µm</t>
  </si>
  <si>
    <t>HiRAIS</t>
  </si>
  <si>
    <t>QPSK</t>
  </si>
  <si>
    <t>HiRISE</t>
  </si>
  <si>
    <t>Camera</t>
  </si>
  <si>
    <t>HiRI (MS Array )</t>
  </si>
  <si>
    <t>HiRI(PAN Array)</t>
  </si>
  <si>
    <t>HiRASE</t>
  </si>
  <si>
    <t>Focal length</t>
  </si>
  <si>
    <t>Aperature</t>
  </si>
  <si>
    <t>f/ratio</t>
  </si>
  <si>
    <t>f/20</t>
  </si>
  <si>
    <t>f/24</t>
  </si>
  <si>
    <t xml:space="preserve">IFOV </t>
  </si>
  <si>
    <t>micorad/pixel</t>
  </si>
  <si>
    <t xml:space="preserve">FOV Cross-track </t>
  </si>
  <si>
    <t xml:space="preserve">FOV Along-track </t>
  </si>
  <si>
    <t>Distance from Object</t>
  </si>
  <si>
    <t xml:space="preserve">Alpha Cross-track </t>
  </si>
  <si>
    <t>(Top View of 3D)</t>
  </si>
  <si>
    <t xml:space="preserve">Alpha Along-track </t>
  </si>
  <si>
    <t xml:space="preserve">FOV Cross-track distance </t>
  </si>
  <si>
    <t xml:space="preserve">FOV Along-track distance </t>
  </si>
  <si>
    <t>FOV Area</t>
  </si>
  <si>
    <t>km^2</t>
  </si>
  <si>
    <t>Number of Pixels in each picture</t>
  </si>
  <si>
    <t>pixels</t>
  </si>
  <si>
    <t>Pixel size</t>
  </si>
  <si>
    <t>meters</t>
  </si>
  <si>
    <t>Surface gravity of Ceres</t>
  </si>
  <si>
    <t>km/s^2</t>
  </si>
  <si>
    <t>Gravitational constant of Ceres</t>
  </si>
  <si>
    <t>Orbit Radius of Orbiter Spacecraft</t>
  </si>
  <si>
    <t>Orbit Altitude of S/C</t>
  </si>
  <si>
    <t>Period of Polar Orbit</t>
  </si>
  <si>
    <t>Ceres Rotation period</t>
  </si>
  <si>
    <t>Surface Area of Ceres</t>
  </si>
  <si>
    <t>FOV to Ceres SA fraction</t>
  </si>
  <si>
    <t>FOV along-distance</t>
  </si>
  <si>
    <t>FOV distance to Ceres Circumference Ratio</t>
  </si>
  <si>
    <t>Time to transverse FOV along-distance</t>
  </si>
  <si>
    <t>sec</t>
  </si>
  <si>
    <t>Photo per hour</t>
  </si>
  <si>
    <t>photo/hour</t>
  </si>
  <si>
    <t>Maximum photo aquistion</t>
  </si>
  <si>
    <t>Number of Images / orbit</t>
  </si>
  <si>
    <t>photos/orbit</t>
  </si>
  <si>
    <t>Circumference of Ceres</t>
  </si>
  <si>
    <t>Area covered in each orbit</t>
  </si>
  <si>
    <t>Number of Images</t>
  </si>
  <si>
    <t>photos</t>
  </si>
  <si>
    <t>Number of orbits</t>
  </si>
  <si>
    <t>for 100% of Ceres</t>
  </si>
  <si>
    <t>Number of total Images:</t>
  </si>
  <si>
    <t>images</t>
  </si>
  <si>
    <t>Number of total pixels</t>
  </si>
  <si>
    <t>for 80% of Ceres</t>
  </si>
  <si>
    <t>Total data</t>
  </si>
  <si>
    <t>bits</t>
  </si>
  <si>
    <t>Downlinking data time:</t>
  </si>
  <si>
    <t>Each downlink time</t>
  </si>
  <si>
    <t>Altitude:</t>
  </si>
  <si>
    <t>Data per downlink</t>
  </si>
  <si>
    <t>Gb</t>
  </si>
  <si>
    <t>Data rate:</t>
  </si>
  <si>
    <t>GB/h</t>
  </si>
  <si>
    <t>Orbits between Downlinks</t>
  </si>
  <si>
    <t>orbits/downlink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</si>
</sst>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00"/>
    <numFmt numFmtId="167" formatCode="0.00000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indexed="8"/>
      <name val="Symbol"/>
      <family val="1"/>
      <charset val="2"/>
    </font>
    <font>
      <sz val="7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D880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1" applyFont="1"/>
    <xf numFmtId="0" fontId="1" fillId="0" borderId="0" xfId="1"/>
    <xf numFmtId="0" fontId="1" fillId="2" borderId="1" xfId="1" applyFill="1" applyBorder="1"/>
    <xf numFmtId="0" fontId="1" fillId="0" borderId="1" xfId="1" applyBorder="1"/>
    <xf numFmtId="0" fontId="1" fillId="3" borderId="2" xfId="1" applyFill="1" applyBorder="1"/>
    <xf numFmtId="0" fontId="1" fillId="0" borderId="3" xfId="1" applyBorder="1"/>
    <xf numFmtId="0" fontId="1" fillId="0" borderId="4" xfId="1" applyBorder="1"/>
    <xf numFmtId="11" fontId="1" fillId="0" borderId="1" xfId="1" applyNumberFormat="1" applyBorder="1"/>
    <xf numFmtId="0" fontId="1" fillId="0" borderId="5" xfId="1" applyBorder="1"/>
    <xf numFmtId="11" fontId="1" fillId="4" borderId="1" xfId="1" applyNumberFormat="1" applyFill="1" applyBorder="1"/>
    <xf numFmtId="0" fontId="1" fillId="0" borderId="6" xfId="1" applyBorder="1"/>
    <xf numFmtId="0" fontId="4" fillId="4" borderId="1" xfId="1" applyFont="1" applyFill="1" applyBorder="1"/>
    <xf numFmtId="0" fontId="1" fillId="0" borderId="7" xfId="1" applyBorder="1"/>
    <xf numFmtId="11" fontId="1" fillId="4" borderId="8" xfId="1" applyNumberFormat="1" applyFill="1" applyBorder="1"/>
    <xf numFmtId="0" fontId="1" fillId="0" borderId="8" xfId="1" applyBorder="1"/>
    <xf numFmtId="0" fontId="1" fillId="0" borderId="9" xfId="1" applyBorder="1"/>
    <xf numFmtId="0" fontId="1" fillId="5" borderId="2" xfId="1" applyFill="1" applyBorder="1"/>
    <xf numFmtId="0" fontId="5" fillId="0" borderId="1" xfId="1" applyFont="1" applyBorder="1"/>
    <xf numFmtId="0" fontId="5" fillId="0" borderId="10" xfId="1" applyFont="1" applyBorder="1"/>
    <xf numFmtId="11" fontId="1" fillId="0" borderId="0" xfId="1" applyNumberFormat="1"/>
    <xf numFmtId="2" fontId="1" fillId="0" borderId="1" xfId="1" applyNumberFormat="1" applyBorder="1"/>
    <xf numFmtId="49" fontId="3" fillId="0" borderId="1" xfId="2" applyNumberFormat="1" applyBorder="1"/>
    <xf numFmtId="0" fontId="1" fillId="6" borderId="1" xfId="1" applyFill="1" applyBorder="1"/>
    <xf numFmtId="0" fontId="1" fillId="5" borderId="5" xfId="1" applyFill="1" applyBorder="1"/>
    <xf numFmtId="11" fontId="1" fillId="0" borderId="8" xfId="1" applyNumberFormat="1" applyBorder="1"/>
    <xf numFmtId="0" fontId="1" fillId="7" borderId="2" xfId="1" applyFill="1" applyBorder="1"/>
    <xf numFmtId="0" fontId="1" fillId="4" borderId="1" xfId="1" applyFill="1" applyBorder="1"/>
    <xf numFmtId="0" fontId="1" fillId="8" borderId="2" xfId="1" applyFill="1" applyBorder="1"/>
    <xf numFmtId="11" fontId="1" fillId="0" borderId="3" xfId="1" applyNumberFormat="1" applyBorder="1"/>
    <xf numFmtId="0" fontId="1" fillId="9" borderId="0" xfId="1" applyFill="1"/>
    <xf numFmtId="164" fontId="1" fillId="0" borderId="1" xfId="1" applyNumberFormat="1" applyBorder="1"/>
    <xf numFmtId="11" fontId="1" fillId="6" borderId="8" xfId="1" applyNumberFormat="1" applyFill="1" applyBorder="1"/>
    <xf numFmtId="0" fontId="1" fillId="10" borderId="2" xfId="1" applyFill="1" applyBorder="1"/>
    <xf numFmtId="0" fontId="5" fillId="0" borderId="5" xfId="1" applyFont="1" applyBorder="1"/>
    <xf numFmtId="0" fontId="5" fillId="0" borderId="7" xfId="1" applyFont="1" applyBorder="1"/>
    <xf numFmtId="0" fontId="1" fillId="11" borderId="8" xfId="1" applyFill="1" applyBorder="1"/>
    <xf numFmtId="0" fontId="1" fillId="0" borderId="11" xfId="1" applyBorder="1"/>
    <xf numFmtId="0" fontId="1" fillId="0" borderId="12" xfId="1" applyBorder="1" applyAlignment="1">
      <alignment horizontal="left"/>
    </xf>
    <xf numFmtId="0" fontId="1" fillId="0" borderId="12" xfId="1" applyBorder="1"/>
    <xf numFmtId="0" fontId="1" fillId="0" borderId="13" xfId="1" applyBorder="1"/>
    <xf numFmtId="0" fontId="1" fillId="0" borderId="2" xfId="1" applyBorder="1"/>
    <xf numFmtId="0" fontId="1" fillId="0" borderId="14" xfId="1" applyBorder="1"/>
    <xf numFmtId="0" fontId="1" fillId="0" borderId="10" xfId="1" applyBorder="1"/>
    <xf numFmtId="0" fontId="1" fillId="0" borderId="15" xfId="1" applyBorder="1"/>
    <xf numFmtId="0" fontId="1" fillId="12" borderId="2" xfId="1" applyFill="1" applyBorder="1"/>
    <xf numFmtId="1" fontId="1" fillId="0" borderId="1" xfId="1" applyNumberFormat="1" applyBorder="1"/>
    <xf numFmtId="2" fontId="1" fillId="13" borderId="1" xfId="1" applyNumberFormat="1" applyFill="1" applyBorder="1"/>
    <xf numFmtId="0" fontId="1" fillId="0" borderId="16" xfId="1" applyBorder="1"/>
    <xf numFmtId="0" fontId="1" fillId="0" borderId="17" xfId="1" applyBorder="1"/>
    <xf numFmtId="11" fontId="1" fillId="13" borderId="8" xfId="1" applyNumberFormat="1" applyFill="1" applyBorder="1"/>
    <xf numFmtId="0" fontId="1" fillId="0" borderId="5" xfId="1" applyBorder="1" applyAlignment="1">
      <alignment wrapText="1"/>
    </xf>
    <xf numFmtId="2" fontId="1" fillId="13" borderId="8" xfId="1" applyNumberFormat="1" applyFill="1" applyBorder="1"/>
    <xf numFmtId="0" fontId="1" fillId="14" borderId="8" xfId="1" applyFill="1" applyBorder="1"/>
    <xf numFmtId="0" fontId="1" fillId="0" borderId="18" xfId="1" applyBorder="1"/>
    <xf numFmtId="0" fontId="1" fillId="0" borderId="2" xfId="1" applyBorder="1" applyAlignment="1">
      <alignment wrapText="1"/>
    </xf>
    <xf numFmtId="0" fontId="1" fillId="0" borderId="7" xfId="1" applyBorder="1" applyAlignment="1">
      <alignment wrapText="1"/>
    </xf>
    <xf numFmtId="164" fontId="1" fillId="13" borderId="8" xfId="1" applyNumberFormat="1" applyFill="1" applyBorder="1"/>
    <xf numFmtId="0" fontId="1" fillId="0" borderId="6" xfId="1" applyBorder="1" applyAlignment="1">
      <alignment horizontal="left"/>
    </xf>
    <xf numFmtId="0" fontId="1" fillId="0" borderId="19" xfId="1" applyBorder="1"/>
    <xf numFmtId="2" fontId="1" fillId="0" borderId="20" xfId="1" applyNumberFormat="1" applyBorder="1"/>
    <xf numFmtId="0" fontId="1" fillId="0" borderId="20" xfId="1" applyBorder="1"/>
    <xf numFmtId="0" fontId="1" fillId="0" borderId="21" xfId="1" applyBorder="1" applyAlignment="1">
      <alignment wrapText="1"/>
    </xf>
    <xf numFmtId="0" fontId="1" fillId="0" borderId="22" xfId="1" applyBorder="1"/>
    <xf numFmtId="2" fontId="1" fillId="0" borderId="23" xfId="1" applyNumberFormat="1" applyBorder="1"/>
    <xf numFmtId="0" fontId="1" fillId="0" borderId="23" xfId="1" applyBorder="1"/>
    <xf numFmtId="0" fontId="1" fillId="0" borderId="24" xfId="1" applyBorder="1"/>
    <xf numFmtId="0" fontId="1" fillId="0" borderId="0" xfId="1" applyAlignment="1">
      <alignment horizontal="center"/>
    </xf>
    <xf numFmtId="0" fontId="1" fillId="12" borderId="25" xfId="1" applyFill="1" applyBorder="1"/>
    <xf numFmtId="0" fontId="1" fillId="0" borderId="26" xfId="1" applyBorder="1"/>
    <xf numFmtId="0" fontId="1" fillId="0" borderId="27" xfId="1" applyBorder="1"/>
    <xf numFmtId="0" fontId="1" fillId="13" borderId="8" xfId="1" applyFill="1" applyBorder="1"/>
    <xf numFmtId="0" fontId="1" fillId="12" borderId="5" xfId="1" applyFill="1" applyBorder="1"/>
    <xf numFmtId="1" fontId="1" fillId="11" borderId="1" xfId="1" applyNumberFormat="1" applyFill="1" applyBorder="1"/>
    <xf numFmtId="0" fontId="1" fillId="5" borderId="3" xfId="1" applyFill="1" applyBorder="1"/>
    <xf numFmtId="0" fontId="1" fillId="5" borderId="4" xfId="1" applyFill="1" applyBorder="1"/>
    <xf numFmtId="0" fontId="1" fillId="11" borderId="1" xfId="1" applyFill="1" applyBorder="1"/>
    <xf numFmtId="164" fontId="1" fillId="7" borderId="8" xfId="1" applyNumberFormat="1" applyFill="1" applyBorder="1"/>
    <xf numFmtId="0" fontId="1" fillId="7" borderId="9" xfId="1" applyFill="1" applyBorder="1"/>
    <xf numFmtId="0" fontId="1" fillId="0" borderId="28" xfId="1" applyBorder="1" applyAlignment="1">
      <alignment wrapText="1"/>
    </xf>
    <xf numFmtId="0" fontId="1" fillId="0" borderId="28" xfId="1" applyBorder="1" applyAlignment="1">
      <alignment horizontal="center" wrapText="1"/>
    </xf>
    <xf numFmtId="0" fontId="1" fillId="13" borderId="0" xfId="1" applyFill="1"/>
    <xf numFmtId="0" fontId="6" fillId="0" borderId="5" xfId="1" applyFont="1" applyBorder="1" applyAlignment="1">
      <alignment horizontal="left" wrapText="1"/>
    </xf>
    <xf numFmtId="0" fontId="6" fillId="0" borderId="1" xfId="1" applyFont="1" applyBorder="1" applyAlignment="1">
      <alignment wrapText="1"/>
    </xf>
    <xf numFmtId="1" fontId="6" fillId="0" borderId="1" xfId="1" applyNumberFormat="1" applyFont="1" applyBorder="1" applyAlignment="1">
      <alignment horizontal="center" wrapText="1"/>
    </xf>
    <xf numFmtId="1" fontId="6" fillId="0" borderId="6" xfId="1" applyNumberFormat="1" applyFont="1" applyBorder="1" applyAlignment="1">
      <alignment horizontal="center" wrapText="1"/>
    </xf>
    <xf numFmtId="0" fontId="6" fillId="0" borderId="7" xfId="1" applyFont="1" applyBorder="1" applyAlignment="1">
      <alignment horizontal="left" wrapText="1"/>
    </xf>
    <xf numFmtId="0" fontId="6" fillId="0" borderId="8" xfId="1" applyFont="1" applyBorder="1" applyAlignment="1">
      <alignment wrapText="1"/>
    </xf>
    <xf numFmtId="1" fontId="6" fillId="0" borderId="8" xfId="1" applyNumberFormat="1" applyFont="1" applyBorder="1" applyAlignment="1">
      <alignment horizontal="center" wrapText="1"/>
    </xf>
    <xf numFmtId="1" fontId="6" fillId="0" borderId="9" xfId="1" applyNumberFormat="1" applyFont="1" applyBorder="1" applyAlignment="1">
      <alignment horizontal="center" wrapText="1"/>
    </xf>
    <xf numFmtId="0" fontId="1" fillId="0" borderId="28" xfId="1" applyBorder="1"/>
    <xf numFmtId="0" fontId="1" fillId="0" borderId="28" xfId="1" applyBorder="1" applyAlignment="1">
      <alignment horizontal="center"/>
    </xf>
    <xf numFmtId="0" fontId="1" fillId="13" borderId="0" xfId="1" applyFill="1" applyAlignment="1">
      <alignment horizontal="center"/>
    </xf>
    <xf numFmtId="0" fontId="1" fillId="0" borderId="0" xfId="1" applyAlignment="1">
      <alignment wrapText="1"/>
    </xf>
    <xf numFmtId="1" fontId="7" fillId="0" borderId="0" xfId="1" applyNumberFormat="1" applyFont="1" applyAlignment="1">
      <alignment horizontal="centerContinuous" wrapText="1"/>
    </xf>
    <xf numFmtId="1" fontId="7" fillId="0" borderId="0" xfId="1" applyNumberFormat="1" applyFont="1" applyAlignment="1">
      <alignment horizontal="center" wrapText="1"/>
    </xf>
    <xf numFmtId="0" fontId="8" fillId="0" borderId="0" xfId="1" applyFont="1" applyAlignment="1">
      <alignment wrapText="1"/>
    </xf>
    <xf numFmtId="0" fontId="7" fillId="0" borderId="0" xfId="1" applyFont="1" applyAlignment="1">
      <alignment wrapText="1"/>
    </xf>
    <xf numFmtId="1" fontId="6" fillId="0" borderId="0" xfId="1" applyNumberFormat="1" applyFont="1" applyAlignment="1">
      <alignment horizontal="center" wrapText="1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7" fillId="0" borderId="0" xfId="1" applyFont="1" applyAlignment="1">
      <alignment horizontal="left" wrapText="1"/>
    </xf>
    <xf numFmtId="0" fontId="8" fillId="0" borderId="0" xfId="1" applyFont="1" applyAlignment="1">
      <alignment horizontal="left" wrapText="1"/>
    </xf>
    <xf numFmtId="0" fontId="7" fillId="0" borderId="0" xfId="1" applyFont="1" applyAlignment="1">
      <alignment horizontal="center" wrapText="1"/>
    </xf>
    <xf numFmtId="1" fontId="7" fillId="0" borderId="0" xfId="1" applyNumberFormat="1" applyFont="1" applyAlignment="1">
      <alignment horizontal="center" wrapText="1"/>
    </xf>
    <xf numFmtId="0" fontId="1" fillId="0" borderId="2" xfId="1" applyBorder="1" applyAlignment="1">
      <alignment horizontal="left"/>
    </xf>
    <xf numFmtId="0" fontId="1" fillId="0" borderId="3" xfId="1" applyBorder="1" applyAlignment="1">
      <alignment horizontal="center"/>
    </xf>
    <xf numFmtId="2" fontId="1" fillId="0" borderId="3" xfId="1" applyNumberFormat="1" applyBorder="1" applyAlignment="1">
      <alignment horizontal="center"/>
    </xf>
    <xf numFmtId="1" fontId="1" fillId="0" borderId="3" xfId="1" applyNumberFormat="1" applyBorder="1" applyAlignment="1">
      <alignment horizontal="center"/>
    </xf>
    <xf numFmtId="9" fontId="1" fillId="0" borderId="3" xfId="1" applyNumberFormat="1" applyBorder="1" applyAlignment="1">
      <alignment horizontal="center"/>
    </xf>
    <xf numFmtId="0" fontId="1" fillId="0" borderId="5" xfId="1" applyBorder="1" applyAlignment="1">
      <alignment horizontal="left"/>
    </xf>
    <xf numFmtId="0" fontId="1" fillId="0" borderId="1" xfId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9" fontId="1" fillId="0" borderId="1" xfId="1" applyNumberFormat="1" applyBorder="1" applyAlignment="1">
      <alignment horizontal="center"/>
    </xf>
    <xf numFmtId="0" fontId="1" fillId="11" borderId="5" xfId="1" applyFill="1" applyBorder="1" applyAlignment="1">
      <alignment horizontal="left" wrapText="1"/>
    </xf>
    <xf numFmtId="165" fontId="1" fillId="0" borderId="1" xfId="1" applyNumberFormat="1" applyBorder="1" applyAlignment="1">
      <alignment horizontal="center"/>
    </xf>
    <xf numFmtId="0" fontId="10" fillId="0" borderId="0" xfId="1" applyFont="1"/>
    <xf numFmtId="0" fontId="1" fillId="7" borderId="5" xfId="1" applyFill="1" applyBorder="1" applyAlignment="1">
      <alignment horizontal="left" wrapText="1"/>
    </xf>
    <xf numFmtId="0" fontId="1" fillId="15" borderId="5" xfId="1" applyFill="1" applyBorder="1" applyAlignment="1">
      <alignment horizontal="left"/>
    </xf>
    <xf numFmtId="0" fontId="1" fillId="14" borderId="7" xfId="1" applyFill="1" applyBorder="1" applyAlignment="1">
      <alignment horizontal="left"/>
    </xf>
    <xf numFmtId="0" fontId="1" fillId="0" borderId="8" xfId="1" applyBorder="1" applyAlignment="1">
      <alignment horizontal="center"/>
    </xf>
    <xf numFmtId="0" fontId="1" fillId="16" borderId="8" xfId="1" applyFill="1" applyBorder="1" applyAlignment="1">
      <alignment horizontal="center"/>
    </xf>
    <xf numFmtId="0" fontId="1" fillId="11" borderId="3" xfId="1" applyFill="1" applyBorder="1"/>
    <xf numFmtId="0" fontId="1" fillId="7" borderId="3" xfId="1" applyFill="1" applyBorder="1"/>
    <xf numFmtId="0" fontId="1" fillId="15" borderId="3" xfId="1" applyFill="1" applyBorder="1"/>
    <xf numFmtId="0" fontId="1" fillId="0" borderId="29" xfId="1" applyBorder="1"/>
    <xf numFmtId="0" fontId="1" fillId="14" borderId="3" xfId="1" applyFill="1" applyBorder="1"/>
    <xf numFmtId="0" fontId="1" fillId="0" borderId="1" xfId="1" applyBorder="1" applyAlignment="1">
      <alignment horizontal="right"/>
    </xf>
    <xf numFmtId="166" fontId="1" fillId="0" borderId="1" xfId="1" applyNumberFormat="1" applyBorder="1"/>
    <xf numFmtId="165" fontId="1" fillId="0" borderId="1" xfId="1" applyNumberFormat="1" applyBorder="1"/>
    <xf numFmtId="167" fontId="1" fillId="0" borderId="1" xfId="1" applyNumberFormat="1" applyBorder="1"/>
    <xf numFmtId="0" fontId="1" fillId="13" borderId="5" xfId="1" applyFill="1" applyBorder="1"/>
    <xf numFmtId="168" fontId="1" fillId="0" borderId="1" xfId="1" applyNumberFormat="1" applyBorder="1"/>
    <xf numFmtId="0" fontId="1" fillId="17" borderId="5" xfId="1" applyFill="1" applyBorder="1"/>
    <xf numFmtId="1" fontId="1" fillId="17" borderId="1" xfId="1" applyNumberFormat="1" applyFill="1" applyBorder="1"/>
    <xf numFmtId="0" fontId="1" fillId="17" borderId="6" xfId="1" applyFill="1" applyBorder="1"/>
    <xf numFmtId="0" fontId="1" fillId="17" borderId="1" xfId="1" applyFill="1" applyBorder="1"/>
    <xf numFmtId="0" fontId="1" fillId="0" borderId="30" xfId="1" applyBorder="1"/>
    <xf numFmtId="0" fontId="1" fillId="0" borderId="21" xfId="1" applyBorder="1"/>
    <xf numFmtId="0" fontId="1" fillId="13" borderId="7" xfId="1" applyFill="1" applyBorder="1"/>
    <xf numFmtId="0" fontId="1" fillId="13" borderId="9" xfId="1" applyFill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2" fontId="1" fillId="0" borderId="0" xfId="1" applyNumberFormat="1"/>
  </cellXfs>
  <cellStyles count="3">
    <cellStyle name="Hyperlink 2" xfId="2" xr:uid="{ABE9BC06-37C0-4F17-929F-60C7F6EC4514}"/>
    <cellStyle name="Normal" xfId="0" builtinId="0"/>
    <cellStyle name="Normal 2" xfId="1" xr:uid="{CE66B6DF-C91C-41F4-801A-5E47FCDB4F71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16</xdr:row>
      <xdr:rowOff>28573</xdr:rowOff>
    </xdr:from>
    <xdr:to>
      <xdr:col>13</xdr:col>
      <xdr:colOff>447675</xdr:colOff>
      <xdr:row>23</xdr:row>
      <xdr:rowOff>66673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B4D310-3902-4413-A500-0E9FBF009C87}"/>
            </a:ext>
          </a:extLst>
        </xdr:cNvPr>
        <xdr:cNvSpPr/>
      </xdr:nvSpPr>
      <xdr:spPr>
        <a:xfrm>
          <a:off x="21288375" y="3716653"/>
          <a:ext cx="1836420" cy="131826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285750</xdr:colOff>
      <xdr:row>16</xdr:row>
      <xdr:rowOff>38100</xdr:rowOff>
    </xdr:from>
    <xdr:to>
      <xdr:col>13</xdr:col>
      <xdr:colOff>447675</xdr:colOff>
      <xdr:row>23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5E2606F-1DBA-4256-9A37-AADF81CC4BB2}"/>
            </a:ext>
          </a:extLst>
        </xdr:cNvPr>
        <xdr:cNvCxnSpPr/>
      </xdr:nvCxnSpPr>
      <xdr:spPr>
        <a:xfrm>
          <a:off x="21278850" y="3726180"/>
          <a:ext cx="1845945" cy="12992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285750</xdr:colOff>
      <xdr:row>16</xdr:row>
      <xdr:rowOff>38100</xdr:rowOff>
    </xdr:from>
    <xdr:to>
      <xdr:col>13</xdr:col>
      <xdr:colOff>438150</xdr:colOff>
      <xdr:row>23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91F2704-2086-4E69-BA0B-FF791FE22CBC}"/>
            </a:ext>
          </a:extLst>
        </xdr:cNvPr>
        <xdr:cNvCxnSpPr/>
      </xdr:nvCxnSpPr>
      <xdr:spPr>
        <a:xfrm flipV="1">
          <a:off x="21278850" y="3726180"/>
          <a:ext cx="1836420" cy="13182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16</xdr:row>
      <xdr:rowOff>28573</xdr:rowOff>
    </xdr:from>
    <xdr:to>
      <xdr:col>12</xdr:col>
      <xdr:colOff>371475</xdr:colOff>
      <xdr:row>19</xdr:row>
      <xdr:rowOff>142875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419327A-ED39-44C7-A41F-F1DCA6786B0B}"/>
            </a:ext>
          </a:extLst>
        </xdr:cNvPr>
        <xdr:cNvCxnSpPr/>
      </xdr:nvCxnSpPr>
      <xdr:spPr>
        <a:xfrm flipV="1">
          <a:off x="22378035" y="3716653"/>
          <a:ext cx="0" cy="66294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19</xdr:row>
      <xdr:rowOff>142875</xdr:rowOff>
    </xdr:from>
    <xdr:to>
      <xdr:col>13</xdr:col>
      <xdr:colOff>447675</xdr:colOff>
      <xdr:row>19</xdr:row>
      <xdr:rowOff>152398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F245B19-112D-4A4E-A197-EF7C09DC0A28}"/>
            </a:ext>
          </a:extLst>
        </xdr:cNvPr>
        <xdr:cNvCxnSpPr/>
      </xdr:nvCxnSpPr>
      <xdr:spPr>
        <a:xfrm>
          <a:off x="22378035" y="4379595"/>
          <a:ext cx="746760" cy="95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19</xdr:row>
      <xdr:rowOff>28575</xdr:rowOff>
    </xdr:from>
    <xdr:to>
      <xdr:col>12</xdr:col>
      <xdr:colOff>371475</xdr:colOff>
      <xdr:row>19</xdr:row>
      <xdr:rowOff>66675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8163C94-1FC0-435B-9D91-1366CB1D4488}"/>
            </a:ext>
          </a:extLst>
        </xdr:cNvPr>
        <xdr:cNvCxnSpPr/>
      </xdr:nvCxnSpPr>
      <xdr:spPr>
        <a:xfrm flipV="1">
          <a:off x="22292310" y="4265295"/>
          <a:ext cx="85725" cy="38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16</xdr:row>
      <xdr:rowOff>38100</xdr:rowOff>
    </xdr:from>
    <xdr:to>
      <xdr:col>12</xdr:col>
      <xdr:colOff>371475</xdr:colOff>
      <xdr:row>16</xdr:row>
      <xdr:rowOff>147243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539FCA8-F2A8-4492-BE9F-0653ED5C5FCC}"/>
            </a:ext>
          </a:extLst>
        </xdr:cNvPr>
        <xdr:cNvSpPr/>
      </xdr:nvSpPr>
      <xdr:spPr>
        <a:xfrm>
          <a:off x="22273260" y="3726180"/>
          <a:ext cx="104775" cy="109143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19050</xdr:colOff>
      <xdr:row>21</xdr:row>
      <xdr:rowOff>19050</xdr:rowOff>
    </xdr:from>
    <xdr:to>
      <xdr:col>13</xdr:col>
      <xdr:colOff>161925</xdr:colOff>
      <xdr:row>22</xdr:row>
      <xdr:rowOff>9525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06B05BB-8288-4B55-BC06-CEBE46E45F3D}"/>
            </a:ext>
          </a:extLst>
        </xdr:cNvPr>
        <xdr:cNvSpPr txBox="1"/>
      </xdr:nvSpPr>
      <xdr:spPr>
        <a:xfrm>
          <a:off x="22025610" y="4621530"/>
          <a:ext cx="813435" cy="173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FOV cross-track</a:t>
          </a:r>
        </a:p>
      </xdr:txBody>
    </xdr:sp>
    <xdr:clientData/>
  </xdr:twoCellAnchor>
  <xdr:twoCellAnchor>
    <xdr:from>
      <xdr:col>11</xdr:col>
      <xdr:colOff>257175</xdr:colOff>
      <xdr:row>19</xdr:row>
      <xdr:rowOff>47625</xdr:rowOff>
    </xdr:from>
    <xdr:to>
      <xdr:col>12</xdr:col>
      <xdr:colOff>457200</xdr:colOff>
      <xdr:row>20</xdr:row>
      <xdr:rowOff>19050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9ABBAA1-95A1-4331-B454-77F0BA97EDD4}"/>
            </a:ext>
          </a:extLst>
        </xdr:cNvPr>
        <xdr:cNvSpPr txBox="1"/>
      </xdr:nvSpPr>
      <xdr:spPr>
        <a:xfrm>
          <a:off x="21250275" y="4284345"/>
          <a:ext cx="1213485" cy="1543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/>
            <a:t>FOV along-track</a:t>
          </a:r>
        </a:p>
      </xdr:txBody>
    </xdr:sp>
    <xdr:clientData/>
  </xdr:twoCellAnchor>
  <xdr:twoCellAnchor>
    <xdr:from>
      <xdr:col>12</xdr:col>
      <xdr:colOff>180975</xdr:colOff>
      <xdr:row>18</xdr:row>
      <xdr:rowOff>0</xdr:rowOff>
    </xdr:from>
    <xdr:to>
      <xdr:col>12</xdr:col>
      <xdr:colOff>428625</xdr:colOff>
      <xdr:row>19</xdr:row>
      <xdr:rowOff>9525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3473CF1-5CCE-487B-8FF0-C38E8DE9C828}"/>
            </a:ext>
          </a:extLst>
        </xdr:cNvPr>
        <xdr:cNvSpPr txBox="1"/>
      </xdr:nvSpPr>
      <xdr:spPr>
        <a:xfrm>
          <a:off x="22187535" y="4053840"/>
          <a:ext cx="247650" cy="19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α</a:t>
          </a:r>
          <a:endParaRPr lang="en-US" sz="1100"/>
        </a:p>
      </xdr:txBody>
    </xdr:sp>
    <xdr:clientData/>
  </xdr:twoCellAnchor>
  <xdr:twoCellAnchor>
    <xdr:from>
      <xdr:col>12</xdr:col>
      <xdr:colOff>333375</xdr:colOff>
      <xdr:row>25</xdr:row>
      <xdr:rowOff>95250</xdr:rowOff>
    </xdr:from>
    <xdr:to>
      <xdr:col>12</xdr:col>
      <xdr:colOff>333375</xdr:colOff>
      <xdr:row>37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4265B7A9-3E91-4664-93A9-FDBBBEDA3159}"/>
            </a:ext>
          </a:extLst>
        </xdr:cNvPr>
        <xdr:cNvCxnSpPr/>
      </xdr:nvCxnSpPr>
      <xdr:spPr>
        <a:xfrm>
          <a:off x="22339935" y="5429250"/>
          <a:ext cx="0" cy="2223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25</xdr:row>
      <xdr:rowOff>76200</xdr:rowOff>
    </xdr:from>
    <xdr:to>
      <xdr:col>12</xdr:col>
      <xdr:colOff>333375</xdr:colOff>
      <xdr:row>37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3BF79BC-910F-448B-B8F0-0C80F254326C}"/>
            </a:ext>
          </a:extLst>
        </xdr:cNvPr>
        <xdr:cNvCxnSpPr/>
      </xdr:nvCxnSpPr>
      <xdr:spPr>
        <a:xfrm flipH="1">
          <a:off x="22035135" y="5410200"/>
          <a:ext cx="304800" cy="22421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333375</xdr:colOff>
      <xdr:row>25</xdr:row>
      <xdr:rowOff>66675</xdr:rowOff>
    </xdr:from>
    <xdr:to>
      <xdr:col>13</xdr:col>
      <xdr:colOff>28575</xdr:colOff>
      <xdr:row>37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DAE4D92-B153-4739-B115-038E20C0C2CF}"/>
            </a:ext>
          </a:extLst>
        </xdr:cNvPr>
        <xdr:cNvCxnSpPr/>
      </xdr:nvCxnSpPr>
      <xdr:spPr>
        <a:xfrm rot="10800000" flipH="1" flipV="1">
          <a:off x="22339935" y="5400675"/>
          <a:ext cx="365760" cy="22421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37</xdr:row>
      <xdr:rowOff>123825</xdr:rowOff>
    </xdr:from>
    <xdr:to>
      <xdr:col>13</xdr:col>
      <xdr:colOff>38100</xdr:colOff>
      <xdr:row>37</xdr:row>
      <xdr:rowOff>123825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FF7D371-AFDD-4FB0-BE7A-1679F1323637}"/>
            </a:ext>
          </a:extLst>
        </xdr:cNvPr>
        <xdr:cNvCxnSpPr/>
      </xdr:nvCxnSpPr>
      <xdr:spPr>
        <a:xfrm>
          <a:off x="22044660" y="7652385"/>
          <a:ext cx="670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285750</xdr:colOff>
      <xdr:row>27</xdr:row>
      <xdr:rowOff>19050</xdr:rowOff>
    </xdr:from>
    <xdr:to>
      <xdr:col>12</xdr:col>
      <xdr:colOff>390525</xdr:colOff>
      <xdr:row>27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9C1B3E30-9592-4B61-9035-A08E46F3C57A}"/>
            </a:ext>
          </a:extLst>
        </xdr:cNvPr>
        <xdr:cNvCxnSpPr/>
      </xdr:nvCxnSpPr>
      <xdr:spPr>
        <a:xfrm>
          <a:off x="22292310" y="5718810"/>
          <a:ext cx="1047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26</xdr:row>
      <xdr:rowOff>180975</xdr:rowOff>
    </xdr:from>
    <xdr:to>
      <xdr:col>13</xdr:col>
      <xdr:colOff>438150</xdr:colOff>
      <xdr:row>29</xdr:row>
      <xdr:rowOff>171450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74C5F47-9D50-436E-82B3-649F0DC226FE}"/>
            </a:ext>
          </a:extLst>
        </xdr:cNvPr>
        <xdr:cNvSpPr txBox="1"/>
      </xdr:nvSpPr>
      <xdr:spPr>
        <a:xfrm>
          <a:off x="21469350" y="5697855"/>
          <a:ext cx="164592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FOV cross-track or along-track</a:t>
          </a:r>
        </a:p>
        <a:p>
          <a:endParaRPr lang="en-US" sz="900"/>
        </a:p>
      </xdr:txBody>
    </xdr:sp>
    <xdr:clientData/>
  </xdr:twoCellAnchor>
  <xdr:twoCellAnchor>
    <xdr:from>
      <xdr:col>12</xdr:col>
      <xdr:colOff>228600</xdr:colOff>
      <xdr:row>37</xdr:row>
      <xdr:rowOff>19050</xdr:rowOff>
    </xdr:from>
    <xdr:to>
      <xdr:col>12</xdr:col>
      <xdr:colOff>333375</xdr:colOff>
      <xdr:row>37</xdr:row>
      <xdr:rowOff>128193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3A308B-7961-4051-8213-EA857EFC296E}"/>
            </a:ext>
          </a:extLst>
        </xdr:cNvPr>
        <xdr:cNvSpPr/>
      </xdr:nvSpPr>
      <xdr:spPr>
        <a:xfrm>
          <a:off x="22235160" y="7547610"/>
          <a:ext cx="104775" cy="109143"/>
        </a:xfrm>
        <a:prstGeom prst="rect">
          <a:avLst/>
        </a:prstGeom>
        <a:solidFill>
          <a:sysClr val="window" lastClr="FFFFFF"/>
        </a:solidFill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12</xdr:col>
      <xdr:colOff>142875</xdr:colOff>
      <xdr:row>30</xdr:row>
      <xdr:rowOff>38100</xdr:rowOff>
    </xdr:from>
    <xdr:to>
      <xdr:col>12</xdr:col>
      <xdr:colOff>390525</xdr:colOff>
      <xdr:row>31</xdr:row>
      <xdr:rowOff>47625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7673E29-CD61-41E1-A528-8FF7B4BE5479}"/>
            </a:ext>
          </a:extLst>
        </xdr:cNvPr>
        <xdr:cNvSpPr txBox="1"/>
      </xdr:nvSpPr>
      <xdr:spPr>
        <a:xfrm>
          <a:off x="22149435" y="6286500"/>
          <a:ext cx="247650" cy="1924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α</a:t>
          </a:r>
          <a:endParaRPr lang="en-US" sz="1100"/>
        </a:p>
      </xdr:txBody>
    </xdr:sp>
    <xdr:clientData/>
  </xdr:twoCellAnchor>
  <xdr:twoCellAnchor>
    <xdr:from>
      <xdr:col>12</xdr:col>
      <xdr:colOff>247650</xdr:colOff>
      <xdr:row>29</xdr:row>
      <xdr:rowOff>95250</xdr:rowOff>
    </xdr:from>
    <xdr:to>
      <xdr:col>12</xdr:col>
      <xdr:colOff>333375</xdr:colOff>
      <xdr:row>29</xdr:row>
      <xdr:rowOff>123825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EA93627E-7B6F-41CD-8788-E8C2A44AFE35}"/>
            </a:ext>
          </a:extLst>
        </xdr:cNvPr>
        <xdr:cNvCxnSpPr/>
      </xdr:nvCxnSpPr>
      <xdr:spPr>
        <a:xfrm>
          <a:off x="22254210" y="6160770"/>
          <a:ext cx="85725" cy="28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25</xdr:row>
      <xdr:rowOff>85725</xdr:rowOff>
    </xdr:from>
    <xdr:to>
      <xdr:col>13</xdr:col>
      <xdr:colOff>295275</xdr:colOff>
      <xdr:row>25</xdr:row>
      <xdr:rowOff>85725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7EE0CA7C-4AA1-4151-85A6-C1F13E06817C}"/>
            </a:ext>
          </a:extLst>
        </xdr:cNvPr>
        <xdr:cNvCxnSpPr/>
      </xdr:nvCxnSpPr>
      <xdr:spPr>
        <a:xfrm>
          <a:off x="22819995" y="5419725"/>
          <a:ext cx="152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25</xdr:row>
      <xdr:rowOff>85725</xdr:rowOff>
    </xdr:from>
    <xdr:to>
      <xdr:col>13</xdr:col>
      <xdr:colOff>219075</xdr:colOff>
      <xdr:row>37</xdr:row>
      <xdr:rowOff>123825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CDAFF71-2C3D-44A1-9983-904898AEBB4E}"/>
            </a:ext>
          </a:extLst>
        </xdr:cNvPr>
        <xdr:cNvCxnSpPr/>
      </xdr:nvCxnSpPr>
      <xdr:spPr>
        <a:xfrm>
          <a:off x="22896195" y="5419725"/>
          <a:ext cx="0" cy="22326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37</xdr:row>
      <xdr:rowOff>123825</xdr:rowOff>
    </xdr:from>
    <xdr:to>
      <xdr:col>13</xdr:col>
      <xdr:colOff>295275</xdr:colOff>
      <xdr:row>37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6D35361-9E87-46EA-9224-EA3B58E548C1}"/>
            </a:ext>
          </a:extLst>
        </xdr:cNvPr>
        <xdr:cNvCxnSpPr/>
      </xdr:nvCxnSpPr>
      <xdr:spPr>
        <a:xfrm>
          <a:off x="22819995" y="7652385"/>
          <a:ext cx="152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209550</xdr:colOff>
      <xdr:row>31</xdr:row>
      <xdr:rowOff>85725</xdr:rowOff>
    </xdr:from>
    <xdr:to>
      <xdr:col>14</xdr:col>
      <xdr:colOff>466725</xdr:colOff>
      <xdr:row>32</xdr:row>
      <xdr:rowOff>180975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6D85DA09-F4DA-4EEA-933B-99B15628E16F}"/>
            </a:ext>
          </a:extLst>
        </xdr:cNvPr>
        <xdr:cNvSpPr txBox="1"/>
      </xdr:nvSpPr>
      <xdr:spPr>
        <a:xfrm>
          <a:off x="22886670" y="6517005"/>
          <a:ext cx="927735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orbit height</a:t>
          </a:r>
        </a:p>
        <a:p>
          <a:endParaRPr lang="en-US" sz="1100"/>
        </a:p>
      </xdr:txBody>
    </xdr:sp>
    <xdr:clientData/>
  </xdr:twoCellAnchor>
  <xdr:twoCellAnchor>
    <xdr:from>
      <xdr:col>12</xdr:col>
      <xdr:colOff>28575</xdr:colOff>
      <xdr:row>38</xdr:row>
      <xdr:rowOff>38100</xdr:rowOff>
    </xdr:from>
    <xdr:to>
      <xdr:col>12</xdr:col>
      <xdr:colOff>28575</xdr:colOff>
      <xdr:row>38</xdr:row>
      <xdr:rowOff>161925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82DFB68E-3E2A-4501-A220-0C8DBA65CD40}"/>
            </a:ext>
          </a:extLst>
        </xdr:cNvPr>
        <xdr:cNvCxnSpPr/>
      </xdr:nvCxnSpPr>
      <xdr:spPr>
        <a:xfrm>
          <a:off x="22035135" y="7749540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</xdr:colOff>
      <xdr:row>38</xdr:row>
      <xdr:rowOff>38100</xdr:rowOff>
    </xdr:from>
    <xdr:to>
      <xdr:col>13</xdr:col>
      <xdr:colOff>47625</xdr:colOff>
      <xdr:row>38</xdr:row>
      <xdr:rowOff>161925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88C5AC9-FAB9-4DC3-9322-6A0DDC82564F}"/>
            </a:ext>
          </a:extLst>
        </xdr:cNvPr>
        <xdr:cNvCxnSpPr/>
      </xdr:nvCxnSpPr>
      <xdr:spPr>
        <a:xfrm>
          <a:off x="22724745" y="7749540"/>
          <a:ext cx="0" cy="123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38</xdr:row>
      <xdr:rowOff>104775</xdr:rowOff>
    </xdr:from>
    <xdr:to>
      <xdr:col>13</xdr:col>
      <xdr:colOff>47625</xdr:colOff>
      <xdr:row>38</xdr:row>
      <xdr:rowOff>104775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78D32CFD-343A-417D-97D2-544D070350B2}"/>
            </a:ext>
          </a:extLst>
        </xdr:cNvPr>
        <xdr:cNvCxnSpPr/>
      </xdr:nvCxnSpPr>
      <xdr:spPr>
        <a:xfrm>
          <a:off x="22035135" y="7816215"/>
          <a:ext cx="6896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476250</xdr:colOff>
      <xdr:row>39</xdr:row>
      <xdr:rowOff>19050</xdr:rowOff>
    </xdr:from>
    <xdr:to>
      <xdr:col>13</xdr:col>
      <xdr:colOff>238125</xdr:colOff>
      <xdr:row>40</xdr:row>
      <xdr:rowOff>123825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947869D-407D-4B06-AC57-AD37CF15C196}"/>
            </a:ext>
          </a:extLst>
        </xdr:cNvPr>
        <xdr:cNvSpPr txBox="1"/>
      </xdr:nvSpPr>
      <xdr:spPr>
        <a:xfrm>
          <a:off x="21469350" y="7913370"/>
          <a:ext cx="1445895" cy="2876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FOV</a:t>
          </a:r>
          <a:r>
            <a:rPr lang="en-US" sz="1100" baseline="0"/>
            <a:t> distance</a:t>
          </a:r>
        </a:p>
        <a:p>
          <a:endParaRPr lang="en-US" sz="1100"/>
        </a:p>
      </xdr:txBody>
    </xdr:sp>
    <xdr:clientData/>
  </xdr:twoCellAnchor>
  <xdr:twoCellAnchor>
    <xdr:from>
      <xdr:col>11</xdr:col>
      <xdr:colOff>200025</xdr:colOff>
      <xdr:row>15</xdr:row>
      <xdr:rowOff>85725</xdr:rowOff>
    </xdr:from>
    <xdr:to>
      <xdr:col>13</xdr:col>
      <xdr:colOff>533400</xdr:colOff>
      <xdr:row>15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3AC28BB-F959-4A52-893D-4B3584575EE5}"/>
            </a:ext>
          </a:extLst>
        </xdr:cNvPr>
        <xdr:cNvCxnSpPr/>
      </xdr:nvCxnSpPr>
      <xdr:spPr>
        <a:xfrm>
          <a:off x="21193125" y="3590925"/>
          <a:ext cx="20173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200025</xdr:colOff>
      <xdr:row>24</xdr:row>
      <xdr:rowOff>123825</xdr:rowOff>
    </xdr:from>
    <xdr:to>
      <xdr:col>13</xdr:col>
      <xdr:colOff>533400</xdr:colOff>
      <xdr:row>24</xdr:row>
      <xdr:rowOff>123825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53B3957-9598-4CB0-B0D4-BB4BD5487ECB}"/>
            </a:ext>
          </a:extLst>
        </xdr:cNvPr>
        <xdr:cNvCxnSpPr/>
      </xdr:nvCxnSpPr>
      <xdr:spPr>
        <a:xfrm>
          <a:off x="21193125" y="5274945"/>
          <a:ext cx="201739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lasses\MAE%20161C\Final_report_and_presentation\SAMMIEDesignSpreadsheet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sion Summary"/>
      <sheetName val="TRLs"/>
      <sheetName val="MEL Summary"/>
      <sheetName val="MEL Details"/>
      <sheetName val="MEL Expendables"/>
      <sheetName val="PEL Summary"/>
      <sheetName val="PEL Details"/>
      <sheetName val="Science Orbits Summary"/>
      <sheetName val="Mapping Orbits Data Budget"/>
      <sheetName val="Post-Landing Orbits Data Budget"/>
      <sheetName val="HiRISE Operations"/>
      <sheetName val="SHARAD Operations"/>
      <sheetName val="Delta-V and TOF"/>
      <sheetName val="Thruster Trade"/>
      <sheetName val="Mass Trade"/>
      <sheetName val="Mars and Venus Flybys"/>
      <sheetName val="Launch Vehicle Trade"/>
      <sheetName val="Falcon 9"/>
      <sheetName val="Power"/>
      <sheetName val="Chemical vs EP Trade"/>
      <sheetName val="Chemical Thruster Trade"/>
      <sheetName val="XIPS 25 cm"/>
      <sheetName val="NSTAR Q-mod"/>
      <sheetName val="Next 9a"/>
      <sheetName val="Xenon-Maneuvers"/>
      <sheetName val="Structures"/>
      <sheetName val="ADCS"/>
      <sheetName val="Variation of RAAN"/>
      <sheetName val="Orbits for Orbiter-Lander Comm"/>
      <sheetName val="Orbiter-Ground"/>
      <sheetName val="Orbiter-Lander"/>
      <sheetName val="SAMMIE Thermal"/>
      <sheetName val="C&amp;DH"/>
      <sheetName val="LIZZIE Thermal"/>
      <sheetName val="Lander Power Trade Study"/>
      <sheetName val="Lander Propulsion System"/>
      <sheetName val="Lander-Ground (NOT SELECTED)"/>
      <sheetName val="Dawn-Dusk Power (NOT SELECTE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4">
          <cell r="J14">
            <v>135</v>
          </cell>
        </row>
        <row r="21">
          <cell r="C21">
            <v>3.1761874007038533</v>
          </cell>
        </row>
      </sheetData>
      <sheetData sheetId="9" refreshError="1"/>
      <sheetData sheetId="10" refreshError="1"/>
      <sheetData sheetId="11" refreshError="1"/>
      <sheetData sheetId="12">
        <row r="17">
          <cell r="H17">
            <v>4.1927667785077176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9">
          <cell r="I29">
            <v>37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29">
          <cell r="H29">
            <v>2255.6799999999998</v>
          </cell>
          <cell r="I29">
            <v>702.06</v>
          </cell>
          <cell r="J29">
            <v>2148.59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larsystem.nasa.gov/planets/dwarf-planets/ceres/by-the-number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2224-B890-4987-8962-25BDB2FB86B9}">
  <sheetPr codeName="Sheet42">
    <pageSetUpPr autoPageBreaks="0"/>
  </sheetPr>
  <dimension ref="B1:Z155"/>
  <sheetViews>
    <sheetView topLeftCell="H1" zoomScale="70" zoomScaleNormal="70" workbookViewId="0">
      <selection activeCell="M22" sqref="M22"/>
    </sheetView>
  </sheetViews>
  <sheetFormatPr defaultColWidth="9.77734375" defaultRowHeight="14.4" x14ac:dyDescent="0.3"/>
  <cols>
    <col min="1" max="1" width="9.77734375" style="2"/>
    <col min="2" max="2" width="27.5546875" style="2" customWidth="1"/>
    <col min="3" max="3" width="23.88671875" style="2" customWidth="1"/>
    <col min="4" max="4" width="26.44140625" style="2" customWidth="1"/>
    <col min="5" max="5" width="28.6640625" style="2" customWidth="1"/>
    <col min="6" max="6" width="18" style="2" customWidth="1"/>
    <col min="7" max="7" width="22" style="2" customWidth="1"/>
    <col min="8" max="8" width="9.77734375" style="2"/>
    <col min="9" max="9" width="69.44140625" style="2" customWidth="1"/>
    <col min="10" max="10" width="24.6640625" style="2" customWidth="1"/>
    <col min="11" max="11" width="24.77734375" style="2" customWidth="1"/>
    <col min="12" max="12" width="33.88671875" style="2" customWidth="1"/>
    <col min="13" max="13" width="85.88671875" style="2" customWidth="1"/>
    <col min="14" max="14" width="18.33203125" style="2" customWidth="1"/>
    <col min="15" max="19" width="9.77734375" style="2" customWidth="1"/>
    <col min="20" max="20" width="26.109375" style="2" customWidth="1"/>
    <col min="21" max="24" width="9.77734375" style="2"/>
    <col min="25" max="25" width="17.44140625" style="2" customWidth="1"/>
    <col min="26" max="16384" width="9.77734375" style="2"/>
  </cols>
  <sheetData>
    <row r="1" spans="2:12" ht="15" thickBot="1" x14ac:dyDescent="0.35">
      <c r="B1" s="1" t="s">
        <v>0</v>
      </c>
      <c r="I1" s="3" t="s">
        <v>1</v>
      </c>
      <c r="J1" s="4" t="s">
        <v>2</v>
      </c>
      <c r="K1" s="4" t="s">
        <v>3</v>
      </c>
      <c r="L1" s="4" t="s">
        <v>4</v>
      </c>
    </row>
    <row r="2" spans="2:12" x14ac:dyDescent="0.3">
      <c r="B2" s="5" t="s">
        <v>5</v>
      </c>
      <c r="C2" s="6" t="s">
        <v>6</v>
      </c>
      <c r="D2" s="6" t="s">
        <v>3</v>
      </c>
      <c r="E2" s="6" t="s">
        <v>7</v>
      </c>
      <c r="F2" s="6" t="s">
        <v>8</v>
      </c>
      <c r="G2" s="7"/>
      <c r="I2" s="4" t="s">
        <v>9</v>
      </c>
      <c r="J2" s="8">
        <f>300000000</f>
        <v>300000000</v>
      </c>
      <c r="K2" s="4" t="s">
        <v>10</v>
      </c>
      <c r="L2" s="4"/>
    </row>
    <row r="3" spans="2:12" x14ac:dyDescent="0.3">
      <c r="B3" s="9" t="s">
        <v>11</v>
      </c>
      <c r="C3" s="10">
        <f>149598262*(5.97219E+24/(1.989*10^30))^(2/5)</f>
        <v>924540.79961185285</v>
      </c>
      <c r="D3" s="4" t="s">
        <v>12</v>
      </c>
      <c r="E3" s="2" t="s">
        <v>13</v>
      </c>
      <c r="F3" s="4"/>
      <c r="G3" s="11"/>
      <c r="I3" s="4" t="s">
        <v>14</v>
      </c>
      <c r="J3" s="2">
        <v>1368</v>
      </c>
      <c r="K3" s="4" t="s">
        <v>15</v>
      </c>
      <c r="L3" s="4"/>
    </row>
    <row r="4" spans="2:12" x14ac:dyDescent="0.3">
      <c r="B4" s="9" t="s">
        <v>16</v>
      </c>
      <c r="C4" s="12">
        <v>20</v>
      </c>
      <c r="D4" s="4" t="s">
        <v>17</v>
      </c>
      <c r="E4" s="4"/>
      <c r="F4" s="4"/>
      <c r="G4" s="11"/>
      <c r="I4" s="4" t="s">
        <v>18</v>
      </c>
      <c r="J4" s="8">
        <f>0.0000000000667408*(0.000000001)</f>
        <v>6.6740800000000005E-20</v>
      </c>
      <c r="K4" s="4" t="s">
        <v>19</v>
      </c>
      <c r="L4" s="4"/>
    </row>
    <row r="5" spans="2:12" ht="15" thickBot="1" x14ac:dyDescent="0.35">
      <c r="B5" s="13" t="s">
        <v>20</v>
      </c>
      <c r="C5" s="14">
        <f>SQRT(2*$J$7/($J$10+C3))</f>
        <v>0.92537901391000565</v>
      </c>
      <c r="D5" s="15" t="s">
        <v>21</v>
      </c>
      <c r="F5" s="15"/>
      <c r="G5" s="16"/>
      <c r="I5" s="4" t="s">
        <v>22</v>
      </c>
      <c r="J5" s="8">
        <v>5.9720000000000003E+24</v>
      </c>
      <c r="K5" s="4" t="s">
        <v>23</v>
      </c>
      <c r="L5" s="4"/>
    </row>
    <row r="6" spans="2:12" x14ac:dyDescent="0.3">
      <c r="B6" s="17" t="s">
        <v>24</v>
      </c>
      <c r="C6" s="6"/>
      <c r="D6" s="6"/>
      <c r="E6" s="6"/>
      <c r="F6" s="6"/>
      <c r="G6" s="7"/>
      <c r="I6" s="4" t="s">
        <v>25</v>
      </c>
      <c r="J6" s="8">
        <v>9.47E+20</v>
      </c>
      <c r="K6" s="4" t="s">
        <v>23</v>
      </c>
      <c r="L6" s="4"/>
    </row>
    <row r="7" spans="2:12" x14ac:dyDescent="0.3">
      <c r="B7" s="9" t="s">
        <v>26</v>
      </c>
      <c r="C7" s="4">
        <f>J3</f>
        <v>1368</v>
      </c>
      <c r="D7" s="4" t="s">
        <v>15</v>
      </c>
      <c r="E7" s="4"/>
      <c r="F7" s="4"/>
      <c r="G7" s="11"/>
      <c r="I7" s="18" t="s">
        <v>27</v>
      </c>
      <c r="J7" s="8">
        <f>J4*J5</f>
        <v>398576.05760000006</v>
      </c>
      <c r="K7" s="4" t="s">
        <v>28</v>
      </c>
      <c r="L7" s="4"/>
    </row>
    <row r="8" spans="2:12" x14ac:dyDescent="0.3">
      <c r="B8" s="9" t="s">
        <v>29</v>
      </c>
      <c r="C8" s="4">
        <f>C7/$J$2</f>
        <v>4.5600000000000004E-6</v>
      </c>
      <c r="D8" s="4" t="s">
        <v>30</v>
      </c>
      <c r="E8" s="4" t="s">
        <v>31</v>
      </c>
      <c r="F8" s="4"/>
      <c r="G8" s="11"/>
      <c r="I8" s="19" t="s">
        <v>32</v>
      </c>
      <c r="J8" s="20">
        <f>43500</f>
        <v>43500</v>
      </c>
      <c r="K8" s="4" t="s">
        <v>33</v>
      </c>
    </row>
    <row r="9" spans="2:12" x14ac:dyDescent="0.3">
      <c r="B9" s="9" t="s">
        <v>34</v>
      </c>
      <c r="C9" s="8">
        <f>C8*J19*COS(J21)</f>
        <v>1.5472637575025816E-4</v>
      </c>
      <c r="D9" s="4" t="s">
        <v>35</v>
      </c>
      <c r="E9" s="4" t="s">
        <v>36</v>
      </c>
      <c r="F9" s="4"/>
      <c r="G9" s="11"/>
      <c r="I9" s="18" t="s">
        <v>37</v>
      </c>
      <c r="J9" s="21">
        <v>62.64</v>
      </c>
      <c r="K9" s="4" t="s">
        <v>28</v>
      </c>
      <c r="L9" s="22" t="s">
        <v>38</v>
      </c>
    </row>
    <row r="10" spans="2:12" x14ac:dyDescent="0.3">
      <c r="B10" s="9" t="s">
        <v>39</v>
      </c>
      <c r="C10" s="4">
        <f>C8*J20*COS(J21)</f>
        <v>9.8146703752934012E-6</v>
      </c>
      <c r="D10" s="4" t="s">
        <v>35</v>
      </c>
      <c r="E10" s="4" t="s">
        <v>36</v>
      </c>
      <c r="F10" s="4"/>
      <c r="G10" s="11"/>
      <c r="I10" s="18" t="s">
        <v>40</v>
      </c>
      <c r="J10" s="8">
        <v>6356.8</v>
      </c>
      <c r="K10" s="4" t="s">
        <v>12</v>
      </c>
      <c r="L10" s="4"/>
    </row>
    <row r="11" spans="2:12" x14ac:dyDescent="0.3">
      <c r="B11" s="9" t="s">
        <v>41</v>
      </c>
      <c r="C11" s="4">
        <f>2*C9</f>
        <v>3.0945275150051632E-4</v>
      </c>
      <c r="D11" s="4" t="s">
        <v>35</v>
      </c>
      <c r="E11" s="4" t="s">
        <v>42</v>
      </c>
      <c r="F11" s="4"/>
      <c r="G11" s="11"/>
      <c r="I11" s="18" t="s">
        <v>43</v>
      </c>
      <c r="J11" s="8">
        <v>3376.2</v>
      </c>
      <c r="K11" s="4" t="s">
        <v>12</v>
      </c>
      <c r="L11" s="4"/>
    </row>
    <row r="12" spans="2:12" x14ac:dyDescent="0.3">
      <c r="B12" s="9" t="s">
        <v>44</v>
      </c>
      <c r="C12" s="4">
        <f>2*C10</f>
        <v>1.9629340750586802E-5</v>
      </c>
      <c r="D12" s="4" t="s">
        <v>35</v>
      </c>
      <c r="E12" s="4" t="s">
        <v>42</v>
      </c>
      <c r="F12" s="4"/>
      <c r="G12" s="11"/>
      <c r="I12" s="18" t="s">
        <v>45</v>
      </c>
      <c r="J12" s="8">
        <v>476.2</v>
      </c>
      <c r="K12" s="4" t="s">
        <v>12</v>
      </c>
      <c r="L12" s="4"/>
    </row>
    <row r="13" spans="2:12" x14ac:dyDescent="0.3">
      <c r="B13" s="9" t="s">
        <v>46</v>
      </c>
      <c r="C13" s="4">
        <f>(1+J22)*C9</f>
        <v>2.9398011392549052E-4</v>
      </c>
      <c r="D13" s="4" t="s">
        <v>35</v>
      </c>
      <c r="E13" s="4" t="s">
        <v>47</v>
      </c>
      <c r="F13" s="4"/>
      <c r="G13" s="11"/>
      <c r="I13" s="18" t="s">
        <v>48</v>
      </c>
      <c r="J13" s="8">
        <v>1.3800000000000001E-23</v>
      </c>
      <c r="K13" s="4" t="s">
        <v>49</v>
      </c>
      <c r="L13" s="4"/>
    </row>
    <row r="14" spans="2:12" x14ac:dyDescent="0.3">
      <c r="B14" s="9" t="s">
        <v>50</v>
      </c>
      <c r="C14" s="4">
        <f>(1+J23)*C10</f>
        <v>1.8647873713057462E-5</v>
      </c>
      <c r="D14" s="4" t="s">
        <v>35</v>
      </c>
      <c r="E14" s="4" t="s">
        <v>47</v>
      </c>
      <c r="F14" s="4"/>
      <c r="G14" s="11"/>
      <c r="I14" s="18" t="s">
        <v>51</v>
      </c>
      <c r="J14" s="8">
        <v>9.8000000000000007</v>
      </c>
      <c r="K14" s="4" t="s">
        <v>52</v>
      </c>
      <c r="L14" s="4"/>
    </row>
    <row r="15" spans="2:12" x14ac:dyDescent="0.3">
      <c r="B15" s="9" t="s">
        <v>53</v>
      </c>
      <c r="C15" s="23">
        <f>(1+J22)*C8*J19*COS(J21)*J25</f>
        <v>2.0284627860858845E-5</v>
      </c>
      <c r="D15" s="4" t="s">
        <v>54</v>
      </c>
      <c r="E15" s="4" t="s">
        <v>55</v>
      </c>
      <c r="F15" s="4"/>
      <c r="G15" s="11"/>
      <c r="I15" s="18" t="s">
        <v>56</v>
      </c>
      <c r="J15" s="8">
        <v>4.8079999999999998E-26</v>
      </c>
      <c r="K15" s="4" t="s">
        <v>23</v>
      </c>
      <c r="L15" s="4"/>
    </row>
    <row r="16" spans="2:12" x14ac:dyDescent="0.3">
      <c r="B16" s="9" t="s">
        <v>57</v>
      </c>
      <c r="C16" s="4">
        <f>(1+J23)*C8*J20*COS(J21)*J25</f>
        <v>1.2867032862009651E-6</v>
      </c>
      <c r="D16" s="4" t="s">
        <v>54</v>
      </c>
      <c r="E16" s="4" t="s">
        <v>55</v>
      </c>
      <c r="F16" s="4"/>
      <c r="G16" s="11"/>
    </row>
    <row r="17" spans="2:13" ht="15" thickBot="1" x14ac:dyDescent="0.35">
      <c r="B17" s="24" t="s">
        <v>58</v>
      </c>
      <c r="C17" s="4"/>
      <c r="D17" s="4"/>
      <c r="E17" s="4"/>
      <c r="F17" s="4"/>
      <c r="G17" s="11"/>
    </row>
    <row r="18" spans="2:13" ht="15" thickBot="1" x14ac:dyDescent="0.35">
      <c r="B18" s="13" t="s">
        <v>59</v>
      </c>
      <c r="C18" s="25">
        <f>(3*$J$7/(2*($C$3+$J$10)^3))*ABS($J$28-$J$27) * SIN(2*RADIANS($C$4))</f>
        <v>6.8911495768077455E-10</v>
      </c>
      <c r="D18" s="15" t="s">
        <v>54</v>
      </c>
      <c r="E18" s="15" t="s">
        <v>60</v>
      </c>
      <c r="F18" s="15" t="s">
        <v>61</v>
      </c>
      <c r="G18" s="16"/>
      <c r="I18" s="26" t="s">
        <v>62</v>
      </c>
      <c r="J18" s="6" t="s">
        <v>2</v>
      </c>
      <c r="K18" s="6" t="s">
        <v>3</v>
      </c>
      <c r="L18" s="7" t="s">
        <v>4</v>
      </c>
    </row>
    <row r="19" spans="2:13" ht="15" thickBot="1" x14ac:dyDescent="0.35">
      <c r="I19" s="9" t="s">
        <v>63</v>
      </c>
      <c r="J19" s="27">
        <f>[1]Power!I29</f>
        <v>37</v>
      </c>
      <c r="K19" s="4" t="s">
        <v>64</v>
      </c>
      <c r="L19" s="11"/>
    </row>
    <row r="20" spans="2:13" x14ac:dyDescent="0.3">
      <c r="B20" s="28" t="s">
        <v>65</v>
      </c>
      <c r="C20" s="29"/>
      <c r="D20" s="6"/>
      <c r="E20" s="6"/>
      <c r="F20" s="6"/>
      <c r="G20" s="7"/>
      <c r="I20" s="9" t="s">
        <v>66</v>
      </c>
      <c r="J20" s="27">
        <v>2.347</v>
      </c>
      <c r="K20" s="4" t="s">
        <v>64</v>
      </c>
      <c r="L20" s="4"/>
      <c r="M20" s="30"/>
    </row>
    <row r="21" spans="2:13" x14ac:dyDescent="0.3">
      <c r="B21" s="9" t="s">
        <v>16</v>
      </c>
      <c r="C21" s="4">
        <v>20</v>
      </c>
      <c r="D21" s="4"/>
      <c r="E21" s="4"/>
      <c r="F21" s="4"/>
      <c r="G21" s="11"/>
      <c r="I21" s="9" t="s">
        <v>67</v>
      </c>
      <c r="J21" s="31">
        <f>RADIANS(23.5)</f>
        <v>0.41015237421866746</v>
      </c>
      <c r="K21" s="4" t="s">
        <v>68</v>
      </c>
      <c r="L21" s="11" t="s">
        <v>69</v>
      </c>
    </row>
    <row r="22" spans="2:13" x14ac:dyDescent="0.3">
      <c r="B22" s="9" t="s">
        <v>70</v>
      </c>
      <c r="C22" s="4">
        <v>500</v>
      </c>
      <c r="D22" s="4" t="s">
        <v>12</v>
      </c>
      <c r="E22" s="4"/>
      <c r="F22" s="4"/>
      <c r="G22" s="11"/>
      <c r="I22" s="9" t="s">
        <v>71</v>
      </c>
      <c r="J22" s="27">
        <v>0.9</v>
      </c>
      <c r="K22" s="4"/>
      <c r="L22" s="11" t="s">
        <v>72</v>
      </c>
    </row>
    <row r="23" spans="2:13" x14ac:dyDescent="0.3">
      <c r="B23" s="9" t="s">
        <v>20</v>
      </c>
      <c r="C23" s="4">
        <f>SQRT(2*J8/(J11+C22))</f>
        <v>4.7375797933256001</v>
      </c>
      <c r="D23" s="4" t="s">
        <v>21</v>
      </c>
      <c r="E23" s="4"/>
      <c r="F23" s="4"/>
      <c r="G23" s="11"/>
      <c r="I23" s="9" t="s">
        <v>73</v>
      </c>
      <c r="J23" s="27">
        <v>0.9</v>
      </c>
      <c r="K23" s="4"/>
      <c r="L23" s="11" t="s">
        <v>72</v>
      </c>
    </row>
    <row r="24" spans="2:13" x14ac:dyDescent="0.3">
      <c r="B24" s="24" t="s">
        <v>74</v>
      </c>
      <c r="C24" s="4"/>
      <c r="D24" s="4"/>
      <c r="E24" s="4"/>
      <c r="F24" s="4"/>
      <c r="G24" s="11"/>
      <c r="I24" s="9" t="s">
        <v>75</v>
      </c>
      <c r="J24" s="27">
        <v>6.9000000000000006E-2</v>
      </c>
      <c r="K24" s="4" t="s">
        <v>76</v>
      </c>
      <c r="L24" s="11" t="s">
        <v>77</v>
      </c>
    </row>
    <row r="25" spans="2:13" ht="15" thickBot="1" x14ac:dyDescent="0.35">
      <c r="B25" s="13" t="s">
        <v>59</v>
      </c>
      <c r="C25" s="32">
        <f>(3*J8/(2*(C22+J11)^3))*ABS($J$28-$J$27) * SIN(2*RADIANS(C21))</f>
        <v>1.0417342094039335E-3</v>
      </c>
      <c r="D25" s="15" t="s">
        <v>54</v>
      </c>
      <c r="E25" s="15" t="s">
        <v>78</v>
      </c>
      <c r="F25" s="15" t="s">
        <v>79</v>
      </c>
      <c r="G25" s="16"/>
      <c r="I25" s="9" t="s">
        <v>80</v>
      </c>
      <c r="J25" s="27">
        <v>6.9000000000000006E-2</v>
      </c>
      <c r="K25" s="4" t="s">
        <v>76</v>
      </c>
      <c r="L25" s="11" t="s">
        <v>81</v>
      </c>
    </row>
    <row r="26" spans="2:13" x14ac:dyDescent="0.3">
      <c r="I26" s="9" t="s">
        <v>82</v>
      </c>
      <c r="J26" s="27">
        <f>[1]Structures!H29</f>
        <v>2255.6799999999998</v>
      </c>
      <c r="K26" s="4" t="s">
        <v>83</v>
      </c>
      <c r="L26" s="11" t="s">
        <v>77</v>
      </c>
    </row>
    <row r="27" spans="2:13" ht="15" thickBot="1" x14ac:dyDescent="0.35">
      <c r="I27" s="9" t="s">
        <v>84</v>
      </c>
      <c r="J27" s="27">
        <f>[1]Structures!I29</f>
        <v>702.06</v>
      </c>
      <c r="K27" s="4" t="s">
        <v>83</v>
      </c>
      <c r="L27" s="11" t="s">
        <v>77</v>
      </c>
    </row>
    <row r="28" spans="2:13" x14ac:dyDescent="0.3">
      <c r="B28" s="33" t="s">
        <v>85</v>
      </c>
      <c r="C28" s="6" t="s">
        <v>2</v>
      </c>
      <c r="D28" s="6" t="s">
        <v>3</v>
      </c>
      <c r="E28" s="6" t="s">
        <v>86</v>
      </c>
      <c r="F28" s="6" t="s">
        <v>87</v>
      </c>
      <c r="G28" s="7" t="s">
        <v>88</v>
      </c>
      <c r="I28" s="9" t="s">
        <v>89</v>
      </c>
      <c r="J28" s="27">
        <f>[1]Structures!J29</f>
        <v>2148.59</v>
      </c>
      <c r="K28" s="4" t="s">
        <v>83</v>
      </c>
      <c r="L28" s="11" t="s">
        <v>77</v>
      </c>
    </row>
    <row r="29" spans="2:13" x14ac:dyDescent="0.3">
      <c r="B29" s="9" t="s">
        <v>90</v>
      </c>
      <c r="C29" s="8">
        <v>413690250</v>
      </c>
      <c r="D29" s="4" t="s">
        <v>12</v>
      </c>
      <c r="E29" s="4"/>
      <c r="F29" s="4">
        <v>2.8</v>
      </c>
      <c r="G29" s="11" t="s">
        <v>91</v>
      </c>
      <c r="I29" s="34" t="s">
        <v>92</v>
      </c>
      <c r="J29" s="21">
        <f>(2*PI()*SQRT((J12+C32)^3/J9))/(3600)</f>
        <v>6.7260439073728655</v>
      </c>
      <c r="K29" s="4" t="s">
        <v>93</v>
      </c>
      <c r="L29" s="11" t="s">
        <v>94</v>
      </c>
    </row>
    <row r="30" spans="2:13" ht="15" thickBot="1" x14ac:dyDescent="0.35">
      <c r="B30" s="9" t="s">
        <v>16</v>
      </c>
      <c r="C30" s="27">
        <v>10</v>
      </c>
      <c r="D30" s="4" t="s">
        <v>95</v>
      </c>
      <c r="E30" s="4" t="s">
        <v>96</v>
      </c>
      <c r="F30" s="4" t="s">
        <v>97</v>
      </c>
      <c r="G30" s="11"/>
      <c r="I30" s="35" t="s">
        <v>98</v>
      </c>
      <c r="J30" s="36">
        <f>'[1]Mapping Orbits Data Budget'!J14</f>
        <v>135</v>
      </c>
      <c r="K30" s="15"/>
      <c r="L30" s="16" t="s">
        <v>99</v>
      </c>
    </row>
    <row r="31" spans="2:13" x14ac:dyDescent="0.3">
      <c r="B31" s="9" t="s">
        <v>100</v>
      </c>
      <c r="C31" s="4">
        <v>0</v>
      </c>
      <c r="D31" s="4"/>
      <c r="E31" s="4"/>
      <c r="F31" s="4"/>
      <c r="G31" s="11"/>
    </row>
    <row r="32" spans="2:13" x14ac:dyDescent="0.3">
      <c r="B32" s="9" t="s">
        <v>101</v>
      </c>
      <c r="C32" s="27">
        <v>500</v>
      </c>
      <c r="D32" s="4" t="s">
        <v>12</v>
      </c>
      <c r="E32" s="4"/>
      <c r="F32" s="4"/>
      <c r="G32" s="11"/>
    </row>
    <row r="33" spans="2:13" ht="15" thickBot="1" x14ac:dyDescent="0.35">
      <c r="B33" s="9" t="s">
        <v>20</v>
      </c>
      <c r="C33" s="4">
        <f>SQRT(2*J9/(C32+J12))</f>
        <v>0.35823785075503017</v>
      </c>
      <c r="D33" s="4" t="s">
        <v>21</v>
      </c>
      <c r="E33" s="4" t="s">
        <v>102</v>
      </c>
      <c r="F33" s="4"/>
      <c r="G33" s="11"/>
    </row>
    <row r="34" spans="2:13" ht="15" thickBot="1" x14ac:dyDescent="0.35">
      <c r="B34" s="24" t="s">
        <v>103</v>
      </c>
      <c r="C34" s="4"/>
      <c r="D34" s="4"/>
      <c r="E34" s="4"/>
      <c r="F34" s="4"/>
      <c r="G34" s="11"/>
      <c r="I34" s="37" t="s">
        <v>104</v>
      </c>
      <c r="J34" s="38" t="s">
        <v>2</v>
      </c>
      <c r="K34" s="39" t="s">
        <v>88</v>
      </c>
      <c r="L34" s="39" t="s">
        <v>86</v>
      </c>
      <c r="M34" s="40" t="s">
        <v>8</v>
      </c>
    </row>
    <row r="35" spans="2:13" x14ac:dyDescent="0.3">
      <c r="B35" s="9" t="s">
        <v>105</v>
      </c>
      <c r="C35" s="4">
        <f>((1/F29)^2)*$J$3</f>
        <v>174.48979591836735</v>
      </c>
      <c r="D35" s="4"/>
      <c r="E35" s="4"/>
      <c r="F35" s="4"/>
      <c r="G35" s="11"/>
      <c r="I35" s="41" t="s">
        <v>106</v>
      </c>
      <c r="J35" s="6"/>
      <c r="K35" s="6"/>
      <c r="L35" s="6"/>
      <c r="M35" s="7"/>
    </row>
    <row r="36" spans="2:13" x14ac:dyDescent="0.3">
      <c r="B36" s="9" t="s">
        <v>29</v>
      </c>
      <c r="C36" s="4">
        <f>C35/$J$2</f>
        <v>5.8163265306122454E-7</v>
      </c>
      <c r="D36" s="4" t="s">
        <v>30</v>
      </c>
      <c r="E36" s="4" t="s">
        <v>31</v>
      </c>
      <c r="F36" s="4"/>
      <c r="G36" s="11"/>
      <c r="I36" s="9" t="s">
        <v>107</v>
      </c>
      <c r="J36" s="4">
        <v>1.1299999999999999</v>
      </c>
      <c r="K36" s="4" t="s">
        <v>35</v>
      </c>
      <c r="L36" s="4" t="s">
        <v>108</v>
      </c>
      <c r="M36" s="11" t="s">
        <v>109</v>
      </c>
    </row>
    <row r="37" spans="2:13" x14ac:dyDescent="0.3">
      <c r="B37" s="9" t="s">
        <v>110</v>
      </c>
      <c r="C37" s="4">
        <f>C36*$J$19*COS($J$21)</f>
        <v>1.9735507111002316E-5</v>
      </c>
      <c r="D37" s="4" t="s">
        <v>35</v>
      </c>
      <c r="E37" s="4" t="s">
        <v>36</v>
      </c>
      <c r="F37" s="4"/>
      <c r="G37" s="11"/>
      <c r="I37" s="9" t="s">
        <v>111</v>
      </c>
      <c r="J37" s="4">
        <v>0.5</v>
      </c>
      <c r="K37" s="4" t="s">
        <v>112</v>
      </c>
      <c r="L37" s="4" t="s">
        <v>108</v>
      </c>
      <c r="M37" s="11" t="s">
        <v>113</v>
      </c>
    </row>
    <row r="38" spans="2:13" x14ac:dyDescent="0.3">
      <c r="B38" s="9" t="s">
        <v>39</v>
      </c>
      <c r="C38" s="4">
        <f>C36*$J$20*COS(J23)</f>
        <v>8.485546933191961E-7</v>
      </c>
      <c r="D38" s="4" t="s">
        <v>35</v>
      </c>
      <c r="E38" s="4" t="s">
        <v>36</v>
      </c>
      <c r="F38" s="4"/>
      <c r="G38" s="11"/>
      <c r="I38" s="9" t="s">
        <v>114</v>
      </c>
      <c r="J38" s="27">
        <v>0.76600000000000001</v>
      </c>
      <c r="K38" s="4" t="s">
        <v>76</v>
      </c>
      <c r="L38" s="4"/>
      <c r="M38" s="11"/>
    </row>
    <row r="39" spans="2:13" ht="15" thickBot="1" x14ac:dyDescent="0.35">
      <c r="B39" s="9" t="s">
        <v>41</v>
      </c>
      <c r="C39" s="4">
        <f>2*C37</f>
        <v>3.9471014222004632E-5</v>
      </c>
      <c r="D39" s="4" t="s">
        <v>35</v>
      </c>
      <c r="E39" s="4" t="s">
        <v>42</v>
      </c>
      <c r="F39" s="4"/>
      <c r="G39" s="11"/>
      <c r="I39" s="13" t="s">
        <v>115</v>
      </c>
      <c r="J39" s="15">
        <f>2*J36*J38</f>
        <v>1.7311599999999998</v>
      </c>
      <c r="K39" s="15" t="s">
        <v>54</v>
      </c>
      <c r="L39" s="15" t="s">
        <v>116</v>
      </c>
      <c r="M39" s="16"/>
    </row>
    <row r="40" spans="2:13" ht="15" thickBot="1" x14ac:dyDescent="0.35">
      <c r="B40" s="9" t="s">
        <v>44</v>
      </c>
      <c r="C40" s="4">
        <f>2*C38</f>
        <v>1.6971093866383922E-6</v>
      </c>
      <c r="D40" s="4" t="s">
        <v>35</v>
      </c>
      <c r="E40" s="4" t="s">
        <v>42</v>
      </c>
      <c r="F40" s="4"/>
      <c r="G40" s="11"/>
      <c r="I40" s="42"/>
      <c r="J40" s="43"/>
      <c r="K40" s="43"/>
      <c r="L40" s="43"/>
      <c r="M40" s="44"/>
    </row>
    <row r="41" spans="2:13" x14ac:dyDescent="0.3">
      <c r="B41" s="9" t="s">
        <v>46</v>
      </c>
      <c r="C41" s="4">
        <f>(1+$J$22)*C37</f>
        <v>3.7497463510904399E-5</v>
      </c>
      <c r="D41" s="4" t="s">
        <v>35</v>
      </c>
      <c r="E41" s="4" t="s">
        <v>47</v>
      </c>
      <c r="F41" s="4"/>
      <c r="G41" s="11"/>
      <c r="I41" s="41" t="s">
        <v>117</v>
      </c>
      <c r="J41" s="6">
        <v>100</v>
      </c>
      <c r="K41" s="6" t="s">
        <v>118</v>
      </c>
      <c r="L41" s="6"/>
      <c r="M41" s="7"/>
    </row>
    <row r="42" spans="2:13" ht="15" thickBot="1" x14ac:dyDescent="0.35">
      <c r="B42" s="9" t="s">
        <v>50</v>
      </c>
      <c r="C42" s="4">
        <f>(1+$J$23)*C38</f>
        <v>1.6122539173064724E-6</v>
      </c>
      <c r="D42" s="4" t="s">
        <v>35</v>
      </c>
      <c r="E42" s="4" t="s">
        <v>47</v>
      </c>
      <c r="F42" s="4"/>
      <c r="G42" s="11"/>
      <c r="I42" s="13" t="s">
        <v>119</v>
      </c>
      <c r="J42" s="15">
        <v>0.1</v>
      </c>
      <c r="K42" s="15" t="s">
        <v>54</v>
      </c>
      <c r="L42" s="15"/>
      <c r="M42" s="16"/>
    </row>
    <row r="43" spans="2:13" x14ac:dyDescent="0.3">
      <c r="B43" s="9" t="s">
        <v>120</v>
      </c>
      <c r="C43" s="4">
        <f>(1+$J$22)*C36*$J$19*COS($J$21)*$J$25</f>
        <v>2.5873249822524031E-6</v>
      </c>
      <c r="D43" s="4" t="s">
        <v>54</v>
      </c>
      <c r="E43" s="4" t="s">
        <v>55</v>
      </c>
      <c r="F43" s="4"/>
      <c r="G43" s="11"/>
    </row>
    <row r="44" spans="2:13" x14ac:dyDescent="0.3">
      <c r="B44" s="9" t="s">
        <v>121</v>
      </c>
      <c r="C44" s="4">
        <f>C42*$J$24</f>
        <v>1.1124552029414661E-7</v>
      </c>
      <c r="D44" s="4" t="s">
        <v>54</v>
      </c>
      <c r="E44" s="4" t="s">
        <v>55</v>
      </c>
      <c r="F44" s="4" t="s">
        <v>122</v>
      </c>
      <c r="G44" s="11"/>
    </row>
    <row r="45" spans="2:13" ht="15" thickBot="1" x14ac:dyDescent="0.35">
      <c r="B45" s="24" t="s">
        <v>74</v>
      </c>
      <c r="C45" s="4"/>
      <c r="D45" s="4"/>
      <c r="E45" s="4"/>
      <c r="F45" s="4"/>
      <c r="G45" s="11"/>
    </row>
    <row r="46" spans="2:13" ht="15" thickBot="1" x14ac:dyDescent="0.35">
      <c r="B46" s="13" t="s">
        <v>59</v>
      </c>
      <c r="C46" s="32">
        <f>(3*$J$9/(2*($C$32+$J$12)^3))*ABS($J$28-$J$27) * SIN(2*RADIANS($C$30))</f>
        <v>4.9969583297734592E-5</v>
      </c>
      <c r="D46" s="15" t="s">
        <v>54</v>
      </c>
      <c r="E46" s="15" t="s">
        <v>78</v>
      </c>
      <c r="F46" s="15" t="s">
        <v>79</v>
      </c>
      <c r="G46" s="16"/>
      <c r="I46" s="45" t="s">
        <v>123</v>
      </c>
      <c r="J46" s="6" t="s">
        <v>6</v>
      </c>
      <c r="K46" s="6" t="s">
        <v>88</v>
      </c>
      <c r="L46" s="6" t="s">
        <v>124</v>
      </c>
      <c r="M46" s="7" t="s">
        <v>8</v>
      </c>
    </row>
    <row r="47" spans="2:13" x14ac:dyDescent="0.3">
      <c r="I47" s="9" t="s">
        <v>125</v>
      </c>
      <c r="J47" s="46">
        <v>30</v>
      </c>
      <c r="K47" s="4" t="s">
        <v>126</v>
      </c>
      <c r="L47" s="4"/>
      <c r="M47" s="11"/>
    </row>
    <row r="48" spans="2:13" x14ac:dyDescent="0.3">
      <c r="I48" s="9" t="s">
        <v>127</v>
      </c>
      <c r="J48" s="8">
        <f>(C15)*(1+J47/100)</f>
        <v>2.63700162191165E-5</v>
      </c>
      <c r="K48" s="4" t="s">
        <v>54</v>
      </c>
      <c r="L48" s="4" t="s">
        <v>128</v>
      </c>
      <c r="M48" s="11" t="s">
        <v>129</v>
      </c>
    </row>
    <row r="49" spans="9:13" x14ac:dyDescent="0.3">
      <c r="I49" s="9" t="s">
        <v>130</v>
      </c>
      <c r="J49" s="27">
        <f>'[1]Delta-V and TOF'!H17</f>
        <v>4.1927667785077176</v>
      </c>
      <c r="K49" s="4" t="s">
        <v>131</v>
      </c>
      <c r="L49" s="4"/>
      <c r="M49" s="11"/>
    </row>
    <row r="50" spans="9:13" x14ac:dyDescent="0.3">
      <c r="I50" s="9" t="s">
        <v>130</v>
      </c>
      <c r="J50" s="4">
        <f>J49*365*24</f>
        <v>36728.636979727606</v>
      </c>
      <c r="K50" s="4" t="s">
        <v>132</v>
      </c>
      <c r="L50" s="4"/>
      <c r="M50" s="11"/>
    </row>
    <row r="51" spans="9:13" x14ac:dyDescent="0.3">
      <c r="I51" s="9" t="s">
        <v>133</v>
      </c>
      <c r="J51" s="8">
        <f>J48*J50*0.707*3600</f>
        <v>2465.1146529829857</v>
      </c>
      <c r="K51" s="4" t="s">
        <v>118</v>
      </c>
      <c r="L51" s="4" t="s">
        <v>134</v>
      </c>
      <c r="M51" s="11" t="s">
        <v>135</v>
      </c>
    </row>
    <row r="52" spans="9:13" x14ac:dyDescent="0.3">
      <c r="I52" s="9" t="s">
        <v>136</v>
      </c>
      <c r="J52" s="47">
        <f>($J$41/(J48))/3600/24/7</f>
        <v>6.2701484128800811</v>
      </c>
      <c r="K52" s="4" t="s">
        <v>137</v>
      </c>
      <c r="L52" s="4" t="s">
        <v>138</v>
      </c>
      <c r="M52" s="11"/>
    </row>
    <row r="53" spans="9:13" ht="15" thickBot="1" x14ac:dyDescent="0.35">
      <c r="I53" s="13" t="s">
        <v>139</v>
      </c>
      <c r="J53" s="25">
        <f>J51/J41</f>
        <v>24.651146529829859</v>
      </c>
      <c r="K53" s="15"/>
      <c r="L53" s="15"/>
      <c r="M53" s="16" t="s">
        <v>140</v>
      </c>
    </row>
    <row r="54" spans="9:13" ht="15" thickBot="1" x14ac:dyDescent="0.35">
      <c r="I54" s="48"/>
      <c r="M54" s="49"/>
    </row>
    <row r="55" spans="9:13" x14ac:dyDescent="0.3">
      <c r="I55" s="41" t="s">
        <v>141</v>
      </c>
      <c r="J55" s="6"/>
      <c r="K55" s="6"/>
      <c r="L55" s="6"/>
      <c r="M55" s="7"/>
    </row>
    <row r="56" spans="9:13" x14ac:dyDescent="0.3">
      <c r="I56" s="9" t="s">
        <v>142</v>
      </c>
      <c r="J56" s="21">
        <f>J41/(J39-J48)</f>
        <v>57.765615702894593</v>
      </c>
      <c r="K56" s="4" t="s">
        <v>143</v>
      </c>
      <c r="L56" s="4" t="s">
        <v>144</v>
      </c>
      <c r="M56" s="11"/>
    </row>
    <row r="57" spans="9:13" ht="15" thickBot="1" x14ac:dyDescent="0.35">
      <c r="I57" s="13" t="s">
        <v>145</v>
      </c>
      <c r="J57" s="50">
        <f>2*J53*(J37*J56)*0.001</f>
        <v>1.4239886570778952</v>
      </c>
      <c r="K57" s="15" t="s">
        <v>23</v>
      </c>
      <c r="L57" s="15" t="s">
        <v>146</v>
      </c>
      <c r="M57" s="16"/>
    </row>
    <row r="58" spans="9:13" ht="19.2" customHeight="1" thickBot="1" x14ac:dyDescent="0.35"/>
    <row r="59" spans="9:13" ht="13.2" customHeight="1" x14ac:dyDescent="0.3">
      <c r="I59" s="45" t="s">
        <v>147</v>
      </c>
      <c r="J59" s="6" t="s">
        <v>2</v>
      </c>
      <c r="K59" s="6" t="s">
        <v>3</v>
      </c>
      <c r="L59" s="6" t="s">
        <v>86</v>
      </c>
      <c r="M59" s="7" t="s">
        <v>8</v>
      </c>
    </row>
    <row r="60" spans="9:13" x14ac:dyDescent="0.3">
      <c r="I60" s="9" t="s">
        <v>148</v>
      </c>
      <c r="J60" s="4">
        <v>180</v>
      </c>
      <c r="K60" s="4" t="s">
        <v>95</v>
      </c>
      <c r="L60" s="4" t="s">
        <v>149</v>
      </c>
      <c r="M60" s="11" t="s">
        <v>150</v>
      </c>
    </row>
    <row r="61" spans="9:13" x14ac:dyDescent="0.3">
      <c r="I61" s="9" t="s">
        <v>151</v>
      </c>
      <c r="J61" s="4">
        <v>10</v>
      </c>
      <c r="K61" s="4" t="s">
        <v>152</v>
      </c>
      <c r="L61" s="4" t="s">
        <v>153</v>
      </c>
      <c r="M61" s="11"/>
    </row>
    <row r="62" spans="9:13" x14ac:dyDescent="0.3">
      <c r="I62" s="9" t="s">
        <v>154</v>
      </c>
      <c r="J62" s="8">
        <f>4*J27*RADIANS(J60)/(J61*60)^2</f>
        <v>2.4506517093102774E-2</v>
      </c>
      <c r="K62" s="4" t="s">
        <v>54</v>
      </c>
      <c r="L62" s="4" t="s">
        <v>155</v>
      </c>
      <c r="M62" s="11" t="s">
        <v>156</v>
      </c>
    </row>
    <row r="63" spans="9:13" x14ac:dyDescent="0.3">
      <c r="I63" s="9" t="s">
        <v>130</v>
      </c>
      <c r="J63" s="27">
        <f>J49</f>
        <v>4.1927667785077176</v>
      </c>
      <c r="K63" s="4" t="s">
        <v>131</v>
      </c>
      <c r="L63" s="4"/>
      <c r="M63" s="11"/>
    </row>
    <row r="64" spans="9:13" x14ac:dyDescent="0.3">
      <c r="I64" s="51" t="s">
        <v>157</v>
      </c>
      <c r="J64" s="46">
        <f>J63*365/28</f>
        <v>54.655709791261316</v>
      </c>
      <c r="K64" s="4"/>
      <c r="L64" s="4" t="s">
        <v>158</v>
      </c>
      <c r="M64" s="11" t="s">
        <v>159</v>
      </c>
    </row>
    <row r="65" spans="9:24" x14ac:dyDescent="0.3">
      <c r="I65" s="51" t="s">
        <v>160</v>
      </c>
      <c r="J65" s="8">
        <f>J64*J62*J61*60</f>
        <v>803.65265174112596</v>
      </c>
      <c r="K65" s="4" t="s">
        <v>118</v>
      </c>
      <c r="L65" s="4" t="s">
        <v>161</v>
      </c>
      <c r="M65" s="11"/>
    </row>
    <row r="66" spans="9:24" x14ac:dyDescent="0.3">
      <c r="I66" s="51" t="s">
        <v>162</v>
      </c>
      <c r="J66" s="21">
        <f>ROUND(J65/J41,1)</f>
        <v>8</v>
      </c>
      <c r="K66" s="4"/>
      <c r="L66" s="4" t="s">
        <v>163</v>
      </c>
      <c r="M66" s="11" t="s">
        <v>164</v>
      </c>
    </row>
    <row r="67" spans="9:24" ht="15" thickBot="1" x14ac:dyDescent="0.35">
      <c r="I67" s="13" t="s">
        <v>165</v>
      </c>
      <c r="J67" s="52">
        <f>(J41/J62)/3600</f>
        <v>1.1334853366656366</v>
      </c>
      <c r="K67" s="53" t="s">
        <v>132</v>
      </c>
      <c r="L67" s="15" t="s">
        <v>166</v>
      </c>
      <c r="M67" s="54"/>
    </row>
    <row r="68" spans="9:24" ht="15" thickBot="1" x14ac:dyDescent="0.35">
      <c r="I68" s="48"/>
      <c r="M68" s="49"/>
    </row>
    <row r="69" spans="9:24" x14ac:dyDescent="0.3">
      <c r="I69" s="55" t="s">
        <v>167</v>
      </c>
      <c r="J69" s="6" t="s">
        <v>2</v>
      </c>
      <c r="K69" s="6" t="s">
        <v>3</v>
      </c>
      <c r="L69" s="6"/>
      <c r="M69" s="7" t="s">
        <v>8</v>
      </c>
    </row>
    <row r="70" spans="9:24" x14ac:dyDescent="0.3">
      <c r="I70" s="51" t="s">
        <v>142</v>
      </c>
      <c r="J70" s="21">
        <f>J41/(J39-J62)</f>
        <v>58.594202631967612</v>
      </c>
      <c r="K70" s="4" t="s">
        <v>143</v>
      </c>
      <c r="L70" s="4"/>
      <c r="M70" s="11"/>
    </row>
    <row r="71" spans="9:24" ht="15" thickBot="1" x14ac:dyDescent="0.35">
      <c r="I71" s="56" t="s">
        <v>168</v>
      </c>
      <c r="J71" s="57">
        <f>2*J66*J70*J37*0.001</f>
        <v>0.46875362105574092</v>
      </c>
      <c r="K71" s="15" t="s">
        <v>23</v>
      </c>
      <c r="L71" s="15" t="s">
        <v>169</v>
      </c>
      <c r="M71" s="16"/>
    </row>
    <row r="73" spans="9:24" ht="15" thickBot="1" x14ac:dyDescent="0.35"/>
    <row r="74" spans="9:24" x14ac:dyDescent="0.3">
      <c r="I74" s="45" t="s">
        <v>170</v>
      </c>
      <c r="J74" s="6" t="s">
        <v>6</v>
      </c>
      <c r="K74" s="6" t="s">
        <v>88</v>
      </c>
      <c r="L74" s="6" t="s">
        <v>124</v>
      </c>
      <c r="M74" s="7" t="s">
        <v>8</v>
      </c>
    </row>
    <row r="75" spans="9:24" x14ac:dyDescent="0.3">
      <c r="I75" s="9" t="s">
        <v>125</v>
      </c>
      <c r="J75" s="46">
        <v>30</v>
      </c>
      <c r="K75" s="4" t="s">
        <v>126</v>
      </c>
      <c r="L75" s="4"/>
      <c r="M75" s="11"/>
    </row>
    <row r="76" spans="9:24" x14ac:dyDescent="0.3">
      <c r="I76" s="9" t="s">
        <v>171</v>
      </c>
      <c r="J76" s="8">
        <f>(C43+C44+C46)*(1+J75/100)</f>
        <v>6.8468599940365489E-5</v>
      </c>
      <c r="K76" s="4" t="s">
        <v>54</v>
      </c>
      <c r="L76" s="4" t="s">
        <v>172</v>
      </c>
      <c r="M76" s="11"/>
    </row>
    <row r="77" spans="9:24" x14ac:dyDescent="0.3">
      <c r="I77" s="9" t="s">
        <v>173</v>
      </c>
      <c r="J77" s="21">
        <f>J29</f>
        <v>6.7260439073728655</v>
      </c>
      <c r="K77" s="4" t="s">
        <v>132</v>
      </c>
      <c r="L77" s="4"/>
      <c r="M77" s="11"/>
    </row>
    <row r="78" spans="9:24" x14ac:dyDescent="0.3">
      <c r="I78" s="9" t="s">
        <v>174</v>
      </c>
      <c r="J78" s="4">
        <f>J30</f>
        <v>135</v>
      </c>
      <c r="K78" s="4" t="s">
        <v>175</v>
      </c>
      <c r="L78" s="4"/>
      <c r="M78" s="58">
        <f>50 *J77/24</f>
        <v>14.012591473693469</v>
      </c>
    </row>
    <row r="79" spans="9:24" x14ac:dyDescent="0.3">
      <c r="I79" s="59" t="s">
        <v>176</v>
      </c>
      <c r="J79" s="60">
        <f>J76*0.707*J77*3600*J78</f>
        <v>158.23655838131327</v>
      </c>
      <c r="K79" s="61" t="s">
        <v>118</v>
      </c>
      <c r="L79" s="61" t="s">
        <v>177</v>
      </c>
      <c r="M79" s="62" t="s">
        <v>178</v>
      </c>
    </row>
    <row r="80" spans="9:24" x14ac:dyDescent="0.3">
      <c r="I80" s="63"/>
      <c r="J80" s="64"/>
      <c r="K80" s="65"/>
      <c r="L80" s="65"/>
      <c r="M80" s="66"/>
      <c r="O80" s="67"/>
      <c r="P80" s="67"/>
      <c r="Q80" s="67"/>
      <c r="R80" s="67"/>
      <c r="S80" s="67"/>
      <c r="T80" s="67"/>
      <c r="U80" s="67"/>
      <c r="V80" s="67"/>
      <c r="W80" s="67"/>
      <c r="X80" s="67"/>
    </row>
    <row r="81" spans="9:14" x14ac:dyDescent="0.3">
      <c r="I81" s="68" t="s">
        <v>179</v>
      </c>
      <c r="J81" s="69"/>
      <c r="K81" s="69" t="s">
        <v>3</v>
      </c>
      <c r="L81" s="69" t="s">
        <v>180</v>
      </c>
      <c r="M81" s="70" t="s">
        <v>8</v>
      </c>
    </row>
    <row r="82" spans="9:14" x14ac:dyDescent="0.3">
      <c r="I82" s="9" t="s">
        <v>148</v>
      </c>
      <c r="J82" s="4">
        <v>360</v>
      </c>
      <c r="K82" s="4" t="s">
        <v>95</v>
      </c>
      <c r="L82" s="4"/>
      <c r="M82" s="11"/>
    </row>
    <row r="83" spans="9:14" x14ac:dyDescent="0.3">
      <c r="I83" s="9" t="s">
        <v>181</v>
      </c>
      <c r="J83" s="21">
        <f>J77</f>
        <v>6.7260439073728655</v>
      </c>
      <c r="K83" s="4" t="s">
        <v>132</v>
      </c>
      <c r="L83" s="4"/>
      <c r="M83" s="11"/>
    </row>
    <row r="84" spans="9:14" x14ac:dyDescent="0.3">
      <c r="I84" s="9" t="s">
        <v>182</v>
      </c>
      <c r="J84" s="4">
        <f>4*RADIANS(J82)*J27/(J83*3600)^2</f>
        <v>3.0094677367000239E-5</v>
      </c>
      <c r="K84" s="4" t="s">
        <v>54</v>
      </c>
      <c r="L84" s="4"/>
      <c r="M84" s="11"/>
    </row>
    <row r="85" spans="9:14" x14ac:dyDescent="0.3">
      <c r="I85" s="9" t="s">
        <v>183</v>
      </c>
      <c r="J85" s="4">
        <f>J30</f>
        <v>135</v>
      </c>
      <c r="K85" s="4" t="s">
        <v>175</v>
      </c>
      <c r="L85" s="4"/>
      <c r="M85" s="11" t="s">
        <v>184</v>
      </c>
    </row>
    <row r="86" spans="9:14" x14ac:dyDescent="0.3">
      <c r="I86" s="9" t="s">
        <v>185</v>
      </c>
      <c r="J86" s="21">
        <f>J84*J85*J83*3600</f>
        <v>98.375206975450723</v>
      </c>
      <c r="K86" s="4" t="s">
        <v>118</v>
      </c>
      <c r="L86" s="4"/>
      <c r="M86" s="11"/>
      <c r="N86" s="67"/>
    </row>
    <row r="87" spans="9:14" x14ac:dyDescent="0.3">
      <c r="I87" s="9" t="s">
        <v>186</v>
      </c>
      <c r="J87" s="4">
        <f>ROUND((J86+J79)/J41,0)</f>
        <v>3</v>
      </c>
      <c r="K87" s="4" t="s">
        <v>187</v>
      </c>
      <c r="L87" s="4"/>
      <c r="M87" s="11" t="s">
        <v>188</v>
      </c>
    </row>
    <row r="88" spans="9:14" ht="15" thickBot="1" x14ac:dyDescent="0.35">
      <c r="I88" s="13" t="s">
        <v>189</v>
      </c>
      <c r="J88" s="52">
        <f>(J41/(J84+J76))/3600/24/7</f>
        <v>1.6775407622485685</v>
      </c>
      <c r="K88" s="53" t="s">
        <v>137</v>
      </c>
      <c r="L88" s="15" t="s">
        <v>190</v>
      </c>
      <c r="M88" s="16" t="s">
        <v>191</v>
      </c>
    </row>
    <row r="89" spans="9:14" ht="15" thickBot="1" x14ac:dyDescent="0.35">
      <c r="I89" s="48"/>
      <c r="M89" s="49"/>
    </row>
    <row r="90" spans="9:14" x14ac:dyDescent="0.3">
      <c r="I90" s="41" t="s">
        <v>192</v>
      </c>
      <c r="J90" s="6"/>
      <c r="K90" s="6"/>
      <c r="L90" s="6"/>
      <c r="M90" s="7"/>
    </row>
    <row r="91" spans="9:14" x14ac:dyDescent="0.3">
      <c r="I91" s="9" t="s">
        <v>142</v>
      </c>
      <c r="J91" s="21">
        <f>J41/(J39-J84-J76)</f>
        <v>57.768024796002379</v>
      </c>
      <c r="K91" s="4" t="s">
        <v>143</v>
      </c>
      <c r="L91" s="4" t="s">
        <v>193</v>
      </c>
      <c r="M91" s="11"/>
    </row>
    <row r="92" spans="9:14" ht="15" thickBot="1" x14ac:dyDescent="0.35">
      <c r="I92" s="13" t="s">
        <v>194</v>
      </c>
      <c r="J92" s="71">
        <f>2*J91*J37*J87*0.001</f>
        <v>0.17330407438800713</v>
      </c>
      <c r="K92" s="15" t="s">
        <v>23</v>
      </c>
      <c r="L92" s="15" t="s">
        <v>195</v>
      </c>
      <c r="M92" s="16"/>
    </row>
    <row r="95" spans="9:14" x14ac:dyDescent="0.3">
      <c r="I95" s="72" t="s">
        <v>196</v>
      </c>
      <c r="J95" s="4" t="s">
        <v>2</v>
      </c>
      <c r="K95" s="4" t="s">
        <v>3</v>
      </c>
      <c r="L95" s="4" t="s">
        <v>86</v>
      </c>
      <c r="M95" s="11" t="s">
        <v>197</v>
      </c>
    </row>
    <row r="96" spans="9:14" x14ac:dyDescent="0.3">
      <c r="I96" s="9" t="s">
        <v>148</v>
      </c>
      <c r="J96" s="4">
        <v>180</v>
      </c>
      <c r="K96" s="4" t="s">
        <v>95</v>
      </c>
      <c r="L96" s="4" t="s">
        <v>149</v>
      </c>
      <c r="M96" s="11" t="s">
        <v>198</v>
      </c>
    </row>
    <row r="97" spans="9:13" x14ac:dyDescent="0.3">
      <c r="I97" s="9" t="s">
        <v>151</v>
      </c>
      <c r="J97" s="4">
        <v>10</v>
      </c>
      <c r="K97" s="4" t="s">
        <v>152</v>
      </c>
      <c r="L97" s="4" t="s">
        <v>153</v>
      </c>
      <c r="M97" s="11"/>
    </row>
    <row r="98" spans="9:13" x14ac:dyDescent="0.3">
      <c r="I98" s="9" t="s">
        <v>154</v>
      </c>
      <c r="J98" s="4">
        <f>4*J27*RADIANS(J96)/(J97*60)^2</f>
        <v>2.4506517093102774E-2</v>
      </c>
      <c r="K98" s="4" t="s">
        <v>54</v>
      </c>
      <c r="L98" s="4" t="s">
        <v>155</v>
      </c>
      <c r="M98" s="11" t="s">
        <v>156</v>
      </c>
    </row>
    <row r="99" spans="9:13" x14ac:dyDescent="0.3">
      <c r="I99" s="51" t="s">
        <v>199</v>
      </c>
      <c r="J99" s="73">
        <f>'[1]Mapping Orbits Data Budget'!J14</f>
        <v>135</v>
      </c>
      <c r="K99" s="4"/>
      <c r="M99" s="4" t="s">
        <v>200</v>
      </c>
    </row>
    <row r="100" spans="9:13" x14ac:dyDescent="0.3">
      <c r="I100" s="51" t="s">
        <v>160</v>
      </c>
      <c r="J100" s="4">
        <f>J99*J98*J97*60</f>
        <v>1985.027884541325</v>
      </c>
      <c r="K100" s="4" t="s">
        <v>118</v>
      </c>
      <c r="L100" s="4" t="s">
        <v>161</v>
      </c>
      <c r="M100" s="11"/>
    </row>
    <row r="101" spans="9:13" x14ac:dyDescent="0.3">
      <c r="I101" s="51" t="s">
        <v>162</v>
      </c>
      <c r="J101" s="4">
        <f>ROUND(J100/J41,0)</f>
        <v>20</v>
      </c>
      <c r="K101" s="4"/>
      <c r="L101" s="4"/>
      <c r="M101" s="11"/>
    </row>
    <row r="102" spans="9:13" ht="15" thickBot="1" x14ac:dyDescent="0.35">
      <c r="I102" s="13" t="s">
        <v>165</v>
      </c>
      <c r="J102" s="52">
        <f>(J41*J101/J98)/3600</f>
        <v>22.669706733312733</v>
      </c>
      <c r="K102" s="53" t="s">
        <v>132</v>
      </c>
      <c r="L102" s="15" t="s">
        <v>166</v>
      </c>
      <c r="M102" s="49"/>
    </row>
    <row r="103" spans="9:13" ht="15" thickBot="1" x14ac:dyDescent="0.35">
      <c r="I103" s="48"/>
      <c r="M103" s="49"/>
    </row>
    <row r="104" spans="9:13" x14ac:dyDescent="0.3">
      <c r="I104" s="55" t="s">
        <v>167</v>
      </c>
      <c r="J104" s="6" t="s">
        <v>2</v>
      </c>
      <c r="K104" s="6" t="s">
        <v>3</v>
      </c>
      <c r="L104" s="6"/>
      <c r="M104" s="7"/>
    </row>
    <row r="105" spans="9:13" x14ac:dyDescent="0.3">
      <c r="I105" s="51" t="s">
        <v>142</v>
      </c>
      <c r="J105" s="21">
        <f>J41/(J39-J98)</f>
        <v>58.594202631967612</v>
      </c>
      <c r="K105" s="4" t="s">
        <v>143</v>
      </c>
      <c r="L105" s="4" t="s">
        <v>193</v>
      </c>
      <c r="M105" s="11"/>
    </row>
    <row r="106" spans="9:13" ht="15" thickBot="1" x14ac:dyDescent="0.35">
      <c r="I106" s="56" t="s">
        <v>168</v>
      </c>
      <c r="J106" s="57">
        <f>2*J101*J105*J37*0.001</f>
        <v>1.1718840526393521</v>
      </c>
      <c r="K106" s="15" t="s">
        <v>23</v>
      </c>
      <c r="L106" s="15" t="s">
        <v>195</v>
      </c>
      <c r="M106" s="16"/>
    </row>
    <row r="108" spans="9:13" ht="15" thickBot="1" x14ac:dyDescent="0.35"/>
    <row r="109" spans="9:13" x14ac:dyDescent="0.3">
      <c r="I109" s="17" t="s">
        <v>201</v>
      </c>
      <c r="J109" s="74"/>
      <c r="K109" s="75"/>
    </row>
    <row r="110" spans="9:13" x14ac:dyDescent="0.3">
      <c r="I110" s="9" t="s">
        <v>202</v>
      </c>
      <c r="J110" s="4"/>
      <c r="K110" s="11"/>
    </row>
    <row r="111" spans="9:13" x14ac:dyDescent="0.3">
      <c r="I111" s="9" t="s">
        <v>203</v>
      </c>
      <c r="J111" s="31">
        <f>J71+J57</f>
        <v>1.8927422781336363</v>
      </c>
      <c r="K111" s="11" t="s">
        <v>23</v>
      </c>
    </row>
    <row r="112" spans="9:13" x14ac:dyDescent="0.3">
      <c r="I112" s="9" t="s">
        <v>204</v>
      </c>
      <c r="J112" s="4"/>
      <c r="K112" s="11"/>
    </row>
    <row r="113" spans="2:26" x14ac:dyDescent="0.3">
      <c r="I113" s="9" t="s">
        <v>205</v>
      </c>
      <c r="J113" s="76">
        <v>2</v>
      </c>
      <c r="K113" s="11" t="s">
        <v>131</v>
      </c>
    </row>
    <row r="114" spans="2:26" x14ac:dyDescent="0.3">
      <c r="I114" s="9"/>
      <c r="J114" s="4">
        <f>J113*365*24</f>
        <v>17520</v>
      </c>
      <c r="K114" s="11" t="s">
        <v>132</v>
      </c>
    </row>
    <row r="115" spans="2:26" x14ac:dyDescent="0.3">
      <c r="I115" s="9"/>
      <c r="J115" s="21">
        <f>J114/J77</f>
        <v>2604.8001234120934</v>
      </c>
      <c r="K115" s="11" t="s">
        <v>175</v>
      </c>
    </row>
    <row r="116" spans="2:26" x14ac:dyDescent="0.3">
      <c r="I116" s="9"/>
      <c r="J116" s="4">
        <f>J92*J115/J30</f>
        <v>3.3438701803977744</v>
      </c>
      <c r="K116" s="11" t="s">
        <v>23</v>
      </c>
    </row>
    <row r="117" spans="2:26" x14ac:dyDescent="0.3">
      <c r="I117" s="9" t="s">
        <v>206</v>
      </c>
      <c r="J117" s="4"/>
      <c r="K117" s="11"/>
    </row>
    <row r="118" spans="2:26" x14ac:dyDescent="0.3">
      <c r="I118" s="9"/>
      <c r="J118" s="4">
        <f>(J115/J99)*J106</f>
        <v>22.611286851404806</v>
      </c>
      <c r="K118" s="11" t="s">
        <v>23</v>
      </c>
    </row>
    <row r="119" spans="2:26" x14ac:dyDescent="0.3">
      <c r="I119" s="9"/>
      <c r="J119" s="4"/>
      <c r="K119" s="11"/>
    </row>
    <row r="120" spans="2:26" ht="15" thickBot="1" x14ac:dyDescent="0.35">
      <c r="I120" s="13" t="s">
        <v>207</v>
      </c>
      <c r="J120" s="77">
        <f>SUM(J111+J116+J118)</f>
        <v>27.847899309936217</v>
      </c>
      <c r="K120" s="78" t="s">
        <v>23</v>
      </c>
    </row>
    <row r="122" spans="2:26" ht="43.8" thickBot="1" x14ac:dyDescent="0.35">
      <c r="I122" s="79" t="s">
        <v>208</v>
      </c>
      <c r="J122" s="79" t="s">
        <v>209</v>
      </c>
      <c r="K122" s="79" t="s">
        <v>210</v>
      </c>
      <c r="L122" s="79" t="s">
        <v>211</v>
      </c>
      <c r="M122" s="80" t="s">
        <v>212</v>
      </c>
      <c r="N122" s="80" t="s">
        <v>213</v>
      </c>
      <c r="O122" s="80" t="s">
        <v>214</v>
      </c>
      <c r="P122" s="80" t="s">
        <v>215</v>
      </c>
      <c r="Q122" s="80" t="s">
        <v>216</v>
      </c>
      <c r="R122" s="80" t="s">
        <v>217</v>
      </c>
      <c r="S122" s="80" t="s">
        <v>218</v>
      </c>
      <c r="T122" s="80" t="s">
        <v>219</v>
      </c>
      <c r="U122" s="80" t="s">
        <v>220</v>
      </c>
      <c r="V122" s="80" t="s">
        <v>221</v>
      </c>
      <c r="W122" s="80" t="s">
        <v>222</v>
      </c>
      <c r="X122" s="80" t="s">
        <v>223</v>
      </c>
      <c r="Y122" s="80" t="s">
        <v>224</v>
      </c>
      <c r="Z122" s="79" t="s">
        <v>225</v>
      </c>
    </row>
    <row r="123" spans="2:26" x14ac:dyDescent="0.3">
      <c r="B123" s="41" t="s">
        <v>226</v>
      </c>
      <c r="C123" s="6" t="s">
        <v>227</v>
      </c>
      <c r="D123" s="6" t="s">
        <v>228</v>
      </c>
      <c r="E123" s="6" t="s">
        <v>229</v>
      </c>
      <c r="F123" s="7" t="s">
        <v>230</v>
      </c>
      <c r="H123" s="81" t="s">
        <v>231</v>
      </c>
      <c r="I123" s="81" t="s">
        <v>232</v>
      </c>
      <c r="J123" s="2" t="s">
        <v>233</v>
      </c>
      <c r="K123" s="2" t="s">
        <v>234</v>
      </c>
      <c r="L123" s="2" t="s">
        <v>235</v>
      </c>
      <c r="M123" s="67">
        <v>12</v>
      </c>
      <c r="N123" s="67">
        <v>22</v>
      </c>
      <c r="O123" s="2">
        <v>105</v>
      </c>
      <c r="P123" s="2">
        <v>9</v>
      </c>
      <c r="Q123" s="2">
        <v>300</v>
      </c>
      <c r="R123" s="2">
        <v>15</v>
      </c>
      <c r="S123" s="2">
        <v>100</v>
      </c>
      <c r="T123" s="67">
        <v>0.1</v>
      </c>
      <c r="U123" s="67">
        <v>6000</v>
      </c>
      <c r="V123" s="67">
        <v>13.8</v>
      </c>
      <c r="W123" s="67">
        <v>-30</v>
      </c>
      <c r="X123" s="67">
        <v>70</v>
      </c>
      <c r="Y123" s="67"/>
    </row>
    <row r="124" spans="2:26" ht="40.200000000000003" x14ac:dyDescent="0.3">
      <c r="B124" s="82" t="s">
        <v>236</v>
      </c>
      <c r="C124" s="83" t="s">
        <v>237</v>
      </c>
      <c r="D124" s="84">
        <v>9</v>
      </c>
      <c r="E124" s="84">
        <v>1</v>
      </c>
      <c r="F124" s="85">
        <v>0</v>
      </c>
      <c r="I124" s="2" t="s">
        <v>232</v>
      </c>
      <c r="J124" s="2" t="s">
        <v>238</v>
      </c>
      <c r="K124" s="2" t="s">
        <v>239</v>
      </c>
      <c r="L124" s="2" t="s">
        <v>235</v>
      </c>
      <c r="M124" s="67">
        <v>8.5</v>
      </c>
      <c r="N124" s="67">
        <v>22</v>
      </c>
      <c r="O124" s="67">
        <v>105</v>
      </c>
      <c r="P124" s="67">
        <v>9</v>
      </c>
      <c r="Q124" s="67">
        <v>300</v>
      </c>
      <c r="R124" s="67">
        <v>15</v>
      </c>
      <c r="S124" s="67">
        <v>50</v>
      </c>
      <c r="T124" s="67">
        <v>0.2</v>
      </c>
      <c r="U124" s="67">
        <v>6000</v>
      </c>
      <c r="V124" s="67">
        <v>13.8</v>
      </c>
      <c r="W124" s="67">
        <v>-30</v>
      </c>
      <c r="X124" s="67">
        <v>70</v>
      </c>
      <c r="Y124" s="2" t="s">
        <v>240</v>
      </c>
      <c r="Z124" s="2" t="s">
        <v>241</v>
      </c>
    </row>
    <row r="125" spans="2:26" x14ac:dyDescent="0.3">
      <c r="B125" s="82" t="s">
        <v>242</v>
      </c>
      <c r="C125" s="83" t="s">
        <v>243</v>
      </c>
      <c r="D125" s="84">
        <v>9</v>
      </c>
      <c r="E125" s="84">
        <v>8</v>
      </c>
      <c r="F125" s="85">
        <v>0</v>
      </c>
      <c r="I125" s="2" t="s">
        <v>244</v>
      </c>
      <c r="J125" s="2" t="s">
        <v>245</v>
      </c>
      <c r="K125" s="2" t="s">
        <v>239</v>
      </c>
      <c r="L125" s="2" t="s">
        <v>235</v>
      </c>
      <c r="M125" s="67">
        <v>7.5</v>
      </c>
      <c r="N125" s="67">
        <v>22</v>
      </c>
      <c r="O125" s="67">
        <v>105</v>
      </c>
      <c r="P125" s="67">
        <v>9</v>
      </c>
      <c r="Q125" s="67">
        <v>300</v>
      </c>
      <c r="R125" s="67">
        <v>15</v>
      </c>
      <c r="S125" s="67">
        <v>23</v>
      </c>
      <c r="T125" s="67">
        <v>0.1</v>
      </c>
      <c r="U125" s="67">
        <v>6000</v>
      </c>
      <c r="V125" s="67">
        <v>13.8</v>
      </c>
      <c r="W125" s="67"/>
      <c r="X125" s="67"/>
      <c r="Y125" s="2" t="s">
        <v>246</v>
      </c>
      <c r="Z125" s="2" t="s">
        <v>247</v>
      </c>
    </row>
    <row r="126" spans="2:26" ht="15" thickBot="1" x14ac:dyDescent="0.35">
      <c r="B126" s="86" t="s">
        <v>248</v>
      </c>
      <c r="C126" s="87" t="s">
        <v>249</v>
      </c>
      <c r="D126" s="88">
        <v>9</v>
      </c>
      <c r="E126" s="88">
        <v>1</v>
      </c>
      <c r="F126" s="89">
        <v>2</v>
      </c>
      <c r="I126" s="2" t="s">
        <v>250</v>
      </c>
      <c r="J126" s="2" t="s">
        <v>251</v>
      </c>
      <c r="K126" s="2" t="s">
        <v>252</v>
      </c>
      <c r="L126" s="2" t="s">
        <v>235</v>
      </c>
      <c r="M126" s="67">
        <v>6</v>
      </c>
      <c r="N126" s="67">
        <v>22</v>
      </c>
      <c r="O126" s="67">
        <v>105</v>
      </c>
      <c r="P126" s="67">
        <v>9</v>
      </c>
      <c r="Q126" s="67">
        <v>300</v>
      </c>
      <c r="R126" s="67">
        <v>15</v>
      </c>
      <c r="S126" s="67">
        <v>12</v>
      </c>
      <c r="T126" s="67">
        <v>0.1</v>
      </c>
      <c r="U126" s="67">
        <v>6000</v>
      </c>
      <c r="V126" s="67">
        <v>13.8</v>
      </c>
      <c r="W126" s="67"/>
      <c r="X126" s="67"/>
      <c r="Y126" s="2" t="s">
        <v>253</v>
      </c>
      <c r="Z126" s="2" t="s">
        <v>247</v>
      </c>
    </row>
    <row r="127" spans="2:26" x14ac:dyDescent="0.3">
      <c r="I127" s="2" t="s">
        <v>254</v>
      </c>
      <c r="S127" s="67"/>
      <c r="T127" s="67"/>
      <c r="U127" s="67"/>
      <c r="V127" s="67"/>
      <c r="W127" s="67"/>
      <c r="X127" s="67"/>
    </row>
    <row r="128" spans="2:26" ht="15" thickBot="1" x14ac:dyDescent="0.35">
      <c r="I128" s="90" t="s">
        <v>208</v>
      </c>
      <c r="J128" s="90" t="s">
        <v>210</v>
      </c>
      <c r="K128" s="90" t="s">
        <v>255</v>
      </c>
      <c r="L128" s="91" t="s">
        <v>256</v>
      </c>
      <c r="M128" s="90" t="s">
        <v>257</v>
      </c>
      <c r="N128" s="90" t="s">
        <v>258</v>
      </c>
      <c r="O128" s="91" t="s">
        <v>259</v>
      </c>
      <c r="P128" s="91" t="s">
        <v>260</v>
      </c>
      <c r="Q128" s="91" t="s">
        <v>261</v>
      </c>
      <c r="R128" s="67"/>
      <c r="S128" s="67"/>
      <c r="T128" s="67"/>
      <c r="U128" s="67"/>
      <c r="V128" s="67"/>
      <c r="W128" s="67"/>
      <c r="X128" s="67"/>
    </row>
    <row r="129" spans="4:24" x14ac:dyDescent="0.3">
      <c r="I129" s="2" t="s">
        <v>262</v>
      </c>
      <c r="J129" s="2" t="s">
        <v>263</v>
      </c>
      <c r="K129" s="2" t="s">
        <v>264</v>
      </c>
      <c r="M129" s="67" t="s">
        <v>265</v>
      </c>
      <c r="O129" s="67">
        <v>0.68</v>
      </c>
      <c r="P129" s="67" t="s">
        <v>266</v>
      </c>
      <c r="Q129" s="67">
        <v>25.3</v>
      </c>
      <c r="R129" s="67"/>
      <c r="S129" s="67"/>
      <c r="T129" s="67"/>
      <c r="U129" s="67"/>
      <c r="V129" s="67"/>
      <c r="W129" s="67"/>
      <c r="X129" s="67"/>
    </row>
    <row r="130" spans="4:24" x14ac:dyDescent="0.3">
      <c r="H130" s="81" t="s">
        <v>267</v>
      </c>
      <c r="I130" s="81" t="s">
        <v>262</v>
      </c>
      <c r="J130" s="2" t="s">
        <v>268</v>
      </c>
      <c r="K130" s="2" t="s">
        <v>264</v>
      </c>
      <c r="L130" s="92" t="s">
        <v>269</v>
      </c>
      <c r="M130" s="92" t="s">
        <v>270</v>
      </c>
      <c r="N130" s="2">
        <v>97078</v>
      </c>
      <c r="O130" s="67">
        <v>0.33</v>
      </c>
      <c r="P130" s="67" t="s">
        <v>271</v>
      </c>
      <c r="Q130" s="67">
        <v>8.25</v>
      </c>
      <c r="R130" s="67"/>
      <c r="S130" s="67"/>
      <c r="T130" s="67"/>
      <c r="U130" s="67"/>
      <c r="V130" s="67"/>
      <c r="W130" s="67"/>
      <c r="X130" s="67"/>
    </row>
    <row r="135" spans="4:24" x14ac:dyDescent="0.3">
      <c r="I135" s="93"/>
    </row>
    <row r="136" spans="4:24" x14ac:dyDescent="0.3">
      <c r="I136" s="67"/>
    </row>
    <row r="137" spans="4:24" ht="43.8" customHeight="1" x14ac:dyDescent="0.3"/>
    <row r="141" spans="4:24" x14ac:dyDescent="0.3">
      <c r="D141" s="103"/>
      <c r="E141" s="103"/>
      <c r="F141" s="104"/>
      <c r="G141" s="94"/>
      <c r="H141" s="94"/>
      <c r="I141" s="94"/>
    </row>
    <row r="142" spans="4:24" x14ac:dyDescent="0.3">
      <c r="D142" s="103"/>
      <c r="E142" s="103"/>
      <c r="F142" s="104"/>
      <c r="G142" s="95"/>
      <c r="H142" s="95"/>
      <c r="I142" s="95"/>
    </row>
    <row r="143" spans="4:24" ht="15.6" x14ac:dyDescent="0.3">
      <c r="D143" s="96"/>
      <c r="E143" s="97"/>
      <c r="F143" s="95"/>
      <c r="G143" s="95"/>
      <c r="H143" s="95"/>
      <c r="I143" s="98"/>
    </row>
    <row r="144" spans="4:24" x14ac:dyDescent="0.3">
      <c r="I144" s="98"/>
    </row>
    <row r="145" spans="4:9" x14ac:dyDescent="0.3">
      <c r="I145" s="98"/>
    </row>
    <row r="146" spans="4:9" x14ac:dyDescent="0.3">
      <c r="I146" s="98"/>
    </row>
    <row r="147" spans="4:9" x14ac:dyDescent="0.3">
      <c r="D147" s="99"/>
      <c r="E147" s="100"/>
      <c r="F147" s="98"/>
      <c r="G147" s="98"/>
      <c r="H147" s="98"/>
      <c r="I147" s="98"/>
    </row>
    <row r="148" spans="4:9" x14ac:dyDescent="0.3">
      <c r="D148" s="99"/>
      <c r="E148" s="100"/>
      <c r="F148" s="98"/>
      <c r="G148" s="98"/>
      <c r="H148" s="98"/>
      <c r="I148" s="98"/>
    </row>
    <row r="149" spans="4:9" x14ac:dyDescent="0.3">
      <c r="D149" s="101"/>
      <c r="E149" s="97"/>
      <c r="F149" s="95"/>
      <c r="G149" s="95"/>
      <c r="H149" s="95"/>
      <c r="I149" s="98"/>
    </row>
    <row r="150" spans="4:9" x14ac:dyDescent="0.3">
      <c r="D150" s="99"/>
      <c r="E150" s="100"/>
      <c r="F150" s="98"/>
      <c r="G150" s="98"/>
      <c r="H150" s="98"/>
      <c r="I150" s="98"/>
    </row>
    <row r="151" spans="4:9" x14ac:dyDescent="0.3">
      <c r="D151" s="101"/>
      <c r="E151" s="97"/>
      <c r="F151" s="95"/>
      <c r="G151" s="95"/>
      <c r="H151" s="95"/>
      <c r="I151" s="98"/>
    </row>
    <row r="152" spans="4:9" x14ac:dyDescent="0.3">
      <c r="D152" s="99"/>
      <c r="E152" s="100"/>
      <c r="F152" s="98"/>
      <c r="G152" s="98"/>
      <c r="H152" s="98"/>
      <c r="I152" s="98"/>
    </row>
    <row r="153" spans="4:9" x14ac:dyDescent="0.3">
      <c r="D153" s="99"/>
      <c r="E153" s="100"/>
      <c r="F153" s="98"/>
      <c r="G153" s="98"/>
      <c r="H153" s="98"/>
      <c r="I153" s="98"/>
    </row>
    <row r="154" spans="4:9" ht="15.6" x14ac:dyDescent="0.3">
      <c r="D154" s="102"/>
      <c r="E154" s="97"/>
      <c r="F154" s="95"/>
      <c r="G154" s="95"/>
      <c r="H154" s="95"/>
      <c r="I154" s="98"/>
    </row>
    <row r="155" spans="4:9" x14ac:dyDescent="0.3">
      <c r="D155" s="99"/>
      <c r="E155" s="100"/>
      <c r="F155" s="98"/>
      <c r="G155" s="98"/>
      <c r="H155" s="98"/>
      <c r="I155" s="98"/>
    </row>
  </sheetData>
  <mergeCells count="3">
    <mergeCell ref="D141:D142"/>
    <mergeCell ref="E141:E142"/>
    <mergeCell ref="F141:F142"/>
  </mergeCells>
  <hyperlinks>
    <hyperlink ref="L9" r:id="rId1" xr:uid="{45205ABC-40CB-4D28-988D-01C4FF65E48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DA02-EC22-4145-A6C0-1B5E7DC63F63}">
  <sheetPr codeName="Sheet34"/>
  <dimension ref="A1:U57"/>
  <sheetViews>
    <sheetView tabSelected="1" topLeftCell="B1" zoomScale="70" zoomScaleNormal="70" workbookViewId="0">
      <selection activeCell="F60" sqref="F60"/>
    </sheetView>
  </sheetViews>
  <sheetFormatPr defaultColWidth="9.77734375" defaultRowHeight="14.4" x14ac:dyDescent="0.3"/>
  <cols>
    <col min="1" max="1" width="43.88671875" style="2" customWidth="1"/>
    <col min="2" max="2" width="35" style="2" customWidth="1"/>
    <col min="3" max="3" width="15.88671875" style="2" customWidth="1"/>
    <col min="4" max="4" width="18.33203125" style="2" customWidth="1"/>
    <col min="5" max="5" width="32.77734375" style="2" customWidth="1"/>
    <col min="6" max="6" width="15.88671875" style="2" customWidth="1"/>
    <col min="7" max="7" width="24.6640625" style="2" customWidth="1"/>
    <col min="8" max="8" width="46.88671875" style="2" customWidth="1"/>
    <col min="9" max="9" width="20.88671875" style="2" customWidth="1"/>
    <col min="10" max="10" width="20.21875" style="2" customWidth="1"/>
    <col min="11" max="11" width="31.6640625" style="2" customWidth="1"/>
    <col min="12" max="12" width="14.77734375" style="2" bestFit="1" customWidth="1"/>
    <col min="13" max="14" width="9.77734375" style="2"/>
    <col min="15" max="15" width="8" style="2" customWidth="1"/>
    <col min="16" max="16" width="15.33203125" style="2" customWidth="1"/>
    <col min="17" max="17" width="10.21875" style="2" customWidth="1"/>
    <col min="18" max="16384" width="9.77734375" style="2"/>
  </cols>
  <sheetData>
    <row r="1" spans="1:21" x14ac:dyDescent="0.3">
      <c r="A1" s="105" t="s">
        <v>272</v>
      </c>
      <c r="B1" s="106" t="s">
        <v>273</v>
      </c>
      <c r="C1" s="106" t="s">
        <v>274</v>
      </c>
      <c r="D1" s="106" t="s">
        <v>275</v>
      </c>
      <c r="E1" s="106" t="s">
        <v>276</v>
      </c>
      <c r="F1" s="106" t="s">
        <v>277</v>
      </c>
      <c r="G1" s="107" t="s">
        <v>278</v>
      </c>
      <c r="H1" s="108" t="s">
        <v>279</v>
      </c>
      <c r="I1" s="107" t="s">
        <v>280</v>
      </c>
      <c r="J1" s="6" t="s">
        <v>281</v>
      </c>
      <c r="K1" s="106" t="s">
        <v>282</v>
      </c>
      <c r="L1" s="6" t="s">
        <v>283</v>
      </c>
      <c r="M1" s="6" t="s">
        <v>284</v>
      </c>
      <c r="N1" s="6" t="s">
        <v>285</v>
      </c>
      <c r="O1" s="6"/>
      <c r="P1" s="6"/>
      <c r="Q1" s="108" t="s">
        <v>286</v>
      </c>
      <c r="R1" s="109" t="s">
        <v>287</v>
      </c>
      <c r="S1" s="106" t="s">
        <v>288</v>
      </c>
      <c r="T1" s="7"/>
    </row>
    <row r="2" spans="1:21" x14ac:dyDescent="0.3">
      <c r="A2" s="110"/>
      <c r="B2" s="111" t="s">
        <v>289</v>
      </c>
      <c r="C2" s="111" t="s">
        <v>290</v>
      </c>
      <c r="D2" s="111" t="s">
        <v>291</v>
      </c>
      <c r="E2" s="111" t="s">
        <v>291</v>
      </c>
      <c r="F2" s="111"/>
      <c r="G2" s="112" t="s">
        <v>292</v>
      </c>
      <c r="H2" s="113" t="s">
        <v>293</v>
      </c>
      <c r="I2" s="112" t="s">
        <v>292</v>
      </c>
      <c r="J2" s="111" t="s">
        <v>294</v>
      </c>
      <c r="K2" s="111" t="s">
        <v>295</v>
      </c>
      <c r="L2" s="111" t="s">
        <v>296</v>
      </c>
      <c r="M2" s="4" t="s">
        <v>297</v>
      </c>
      <c r="N2" s="4" t="s">
        <v>298</v>
      </c>
      <c r="O2" s="4"/>
      <c r="P2" s="4"/>
      <c r="Q2" s="113" t="s">
        <v>299</v>
      </c>
      <c r="R2" s="114"/>
      <c r="S2" s="111" t="s">
        <v>300</v>
      </c>
      <c r="T2" s="11"/>
    </row>
    <row r="3" spans="1:21" x14ac:dyDescent="0.3">
      <c r="A3" s="110" t="s">
        <v>301</v>
      </c>
      <c r="B3" s="111">
        <v>0.14799999999999999</v>
      </c>
      <c r="C3" s="111">
        <v>7.4</v>
      </c>
      <c r="D3" s="111">
        <v>1600</v>
      </c>
      <c r="E3" s="111">
        <v>1200</v>
      </c>
      <c r="F3" s="111">
        <v>8</v>
      </c>
      <c r="G3" s="112"/>
      <c r="H3" s="113">
        <v>50</v>
      </c>
      <c r="I3" s="112"/>
      <c r="J3" s="4"/>
      <c r="K3" s="4"/>
      <c r="L3" s="4"/>
      <c r="M3" s="4"/>
      <c r="N3" s="4"/>
      <c r="O3" s="4"/>
      <c r="P3" s="4"/>
      <c r="Q3" s="113">
        <v>16</v>
      </c>
      <c r="R3" s="114">
        <v>0.2</v>
      </c>
      <c r="S3" s="111"/>
      <c r="T3" s="11"/>
    </row>
    <row r="4" spans="1:21" x14ac:dyDescent="0.3">
      <c r="A4" s="110"/>
      <c r="B4" s="111"/>
      <c r="C4" s="111"/>
      <c r="D4" s="111"/>
      <c r="E4" s="111"/>
      <c r="F4" s="111"/>
      <c r="G4" s="112"/>
      <c r="H4" s="113"/>
      <c r="I4" s="112"/>
      <c r="J4" s="4"/>
      <c r="K4" s="4"/>
      <c r="L4" s="4"/>
      <c r="M4" s="4"/>
      <c r="N4" s="4"/>
      <c r="O4" s="4"/>
      <c r="P4" s="4"/>
      <c r="Q4" s="113"/>
      <c r="R4" s="114"/>
      <c r="S4" s="111"/>
      <c r="T4" s="11"/>
    </row>
    <row r="5" spans="1:21" x14ac:dyDescent="0.3">
      <c r="A5" s="110" t="s">
        <v>302</v>
      </c>
      <c r="B5" s="111">
        <v>0.15</v>
      </c>
      <c r="C5" s="111">
        <v>14</v>
      </c>
      <c r="D5" s="111">
        <v>1024</v>
      </c>
      <c r="E5" s="111">
        <v>1024</v>
      </c>
      <c r="F5" s="111">
        <v>8</v>
      </c>
      <c r="G5" s="112">
        <f>2*ATAN(($D$5/2*$C$5/1000000)/$B$5)*180/PI()</f>
        <v>5.4717861066056201</v>
      </c>
      <c r="H5" s="113">
        <f>2*ATAN((C5/1000000/2)/B5)*1000000</f>
        <v>93.333333265580251</v>
      </c>
      <c r="I5" s="112">
        <f>2*ATAN(($D$5/2*$C$5/1000000)/$B$5)*180/PI()</f>
        <v>5.4717861066056201</v>
      </c>
      <c r="J5" s="4"/>
      <c r="K5" s="4"/>
      <c r="L5" s="4"/>
      <c r="M5" s="4"/>
      <c r="N5" s="4"/>
      <c r="O5" s="4"/>
      <c r="P5" s="4"/>
      <c r="Q5" s="113">
        <v>14</v>
      </c>
      <c r="R5" s="114">
        <v>0.2</v>
      </c>
      <c r="S5" s="111"/>
      <c r="T5" s="11"/>
    </row>
    <row r="6" spans="1:21" x14ac:dyDescent="0.3">
      <c r="A6" s="110"/>
      <c r="B6" s="111"/>
      <c r="C6" s="111"/>
      <c r="D6" s="111"/>
      <c r="E6" s="111"/>
      <c r="F6" s="111"/>
      <c r="G6" s="112"/>
      <c r="H6" s="113"/>
      <c r="I6" s="112"/>
      <c r="J6" s="4"/>
      <c r="K6" s="4"/>
      <c r="L6" s="4"/>
      <c r="M6" s="4"/>
      <c r="N6" s="4"/>
      <c r="O6" s="4"/>
      <c r="P6" s="4"/>
      <c r="Q6" s="113"/>
      <c r="R6" s="114"/>
      <c r="S6" s="111"/>
      <c r="T6" s="11"/>
    </row>
    <row r="7" spans="1:21" ht="43.2" x14ac:dyDescent="0.3">
      <c r="A7" s="115" t="s">
        <v>303</v>
      </c>
      <c r="B7" s="111">
        <v>12.9</v>
      </c>
      <c r="C7" s="111">
        <v>52</v>
      </c>
      <c r="D7" s="111">
        <v>1500</v>
      </c>
      <c r="E7" s="111">
        <v>5</v>
      </c>
      <c r="F7" s="111"/>
      <c r="G7" s="112">
        <f>2*ATAN((D7/2*C7/1000000)/B7)*180/PI()</f>
        <v>0.34643854156691883</v>
      </c>
      <c r="H7" s="113">
        <f>2*ATAN((C7/1000000/2)/B7)*1000000</f>
        <v>4.0310077519325258</v>
      </c>
      <c r="I7" s="116">
        <f>2*ATAN((E7/2*C7/1000000)/B7)*180/PI()</f>
        <v>1.1547986568137296E-3</v>
      </c>
      <c r="J7" s="111"/>
      <c r="K7" s="4"/>
      <c r="L7" s="4"/>
      <c r="M7" s="111">
        <v>290</v>
      </c>
      <c r="N7" s="111"/>
      <c r="O7" s="4"/>
      <c r="P7" s="4"/>
      <c r="Q7" s="113"/>
      <c r="R7" s="114"/>
      <c r="S7" s="111"/>
      <c r="T7" s="11"/>
      <c r="U7" s="117" t="s">
        <v>304</v>
      </c>
    </row>
    <row r="8" spans="1:21" ht="43.2" x14ac:dyDescent="0.3">
      <c r="A8" s="118" t="s">
        <v>305</v>
      </c>
      <c r="B8" s="111">
        <v>12.9</v>
      </c>
      <c r="C8" s="111">
        <v>13</v>
      </c>
      <c r="D8" s="111">
        <v>6000</v>
      </c>
      <c r="E8" s="111">
        <v>5</v>
      </c>
      <c r="F8" s="111"/>
      <c r="G8" s="112">
        <f>2*ATAN((D8/2*C8/1000000)/B8)*180/PI()</f>
        <v>0.34643854156691883</v>
      </c>
      <c r="H8" s="113">
        <f>2*ATAN((C8/1000000/2)/B8)*1000000</f>
        <v>1.0077519379844107</v>
      </c>
      <c r="I8" s="116">
        <f>2*ATAN((E8/2*C8/1000000)/B8)*180/PI()</f>
        <v>2.8869966421259466E-4</v>
      </c>
      <c r="J8" s="111"/>
      <c r="K8" s="4"/>
      <c r="L8" s="4"/>
      <c r="M8" s="111">
        <v>290</v>
      </c>
      <c r="N8" s="111"/>
      <c r="O8" s="4"/>
      <c r="P8" s="4"/>
      <c r="Q8" s="113"/>
      <c r="R8" s="114"/>
      <c r="S8" s="111"/>
      <c r="T8" s="11"/>
    </row>
    <row r="9" spans="1:21" x14ac:dyDescent="0.3">
      <c r="A9" s="119" t="s">
        <v>306</v>
      </c>
      <c r="B9" s="111">
        <v>5.75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11">
        <v>160</v>
      </c>
      <c r="O9" s="4" t="s">
        <v>307</v>
      </c>
      <c r="P9" s="4"/>
      <c r="Q9" s="4"/>
      <c r="R9" s="4"/>
      <c r="S9" s="4"/>
      <c r="T9" s="11"/>
    </row>
    <row r="10" spans="1:21" ht="15" thickBot="1" x14ac:dyDescent="0.35">
      <c r="A10" s="120" t="s">
        <v>308</v>
      </c>
      <c r="B10" s="121">
        <v>12</v>
      </c>
      <c r="C10" s="15">
        <v>12</v>
      </c>
      <c r="D10" s="15">
        <v>128</v>
      </c>
      <c r="E10" s="15"/>
      <c r="F10" s="15"/>
      <c r="G10" s="15">
        <v>1.1399999999999999</v>
      </c>
      <c r="H10" s="15">
        <v>1</v>
      </c>
      <c r="I10" s="15">
        <v>0.18</v>
      </c>
      <c r="J10" s="121">
        <v>8</v>
      </c>
      <c r="K10" s="122">
        <v>50</v>
      </c>
      <c r="L10" s="121">
        <f>28</f>
        <v>28</v>
      </c>
      <c r="M10" s="15"/>
      <c r="N10" s="15"/>
      <c r="O10" s="15"/>
      <c r="P10" s="15"/>
      <c r="Q10" s="15"/>
      <c r="R10" s="15"/>
      <c r="S10" s="15"/>
      <c r="T10" s="16"/>
    </row>
    <row r="11" spans="1:21" ht="15" thickBot="1" x14ac:dyDescent="0.35"/>
    <row r="12" spans="1:21" x14ac:dyDescent="0.3">
      <c r="A12" s="41" t="s">
        <v>309</v>
      </c>
      <c r="B12" s="123" t="s">
        <v>310</v>
      </c>
      <c r="C12" s="6"/>
      <c r="D12" s="124" t="s">
        <v>311</v>
      </c>
      <c r="E12" s="6"/>
      <c r="F12" s="125" t="s">
        <v>312</v>
      </c>
      <c r="G12" s="126"/>
      <c r="H12" s="41" t="s">
        <v>309</v>
      </c>
      <c r="I12" s="127" t="s">
        <v>308</v>
      </c>
      <c r="J12" s="7"/>
    </row>
    <row r="13" spans="1:21" x14ac:dyDescent="0.3">
      <c r="A13" s="9" t="s">
        <v>313</v>
      </c>
      <c r="B13" s="4">
        <f>B7</f>
        <v>12.9</v>
      </c>
      <c r="C13" s="4" t="s">
        <v>76</v>
      </c>
      <c r="D13" s="4">
        <v>12.9</v>
      </c>
      <c r="E13" s="4" t="s">
        <v>76</v>
      </c>
      <c r="F13" s="4">
        <f>B9</f>
        <v>5.75</v>
      </c>
      <c r="G13" s="63" t="s">
        <v>76</v>
      </c>
      <c r="H13" s="9" t="s">
        <v>313</v>
      </c>
      <c r="I13" s="4">
        <f>B10</f>
        <v>12</v>
      </c>
      <c r="J13" s="11" t="s">
        <v>76</v>
      </c>
    </row>
    <row r="14" spans="1:21" x14ac:dyDescent="0.3">
      <c r="A14" s="9" t="s">
        <v>314</v>
      </c>
      <c r="B14" s="4">
        <f>65/100</f>
        <v>0.65</v>
      </c>
      <c r="C14" s="4" t="s">
        <v>76</v>
      </c>
      <c r="D14" s="4">
        <f>65/100</f>
        <v>0.65</v>
      </c>
      <c r="E14" s="4" t="s">
        <v>76</v>
      </c>
      <c r="F14" s="4">
        <f>42/100</f>
        <v>0.42</v>
      </c>
      <c r="G14" s="63" t="s">
        <v>76</v>
      </c>
      <c r="H14" s="9" t="s">
        <v>314</v>
      </c>
      <c r="I14" s="4">
        <f>0.5</f>
        <v>0.5</v>
      </c>
      <c r="J14" s="11" t="s">
        <v>76</v>
      </c>
    </row>
    <row r="15" spans="1:21" x14ac:dyDescent="0.3">
      <c r="A15" s="9" t="s">
        <v>315</v>
      </c>
      <c r="B15" s="128" t="s">
        <v>316</v>
      </c>
      <c r="C15" s="4"/>
      <c r="D15" s="128" t="s">
        <v>316</v>
      </c>
      <c r="E15" s="4"/>
      <c r="F15" s="128"/>
      <c r="G15" s="63"/>
      <c r="H15" s="9" t="s">
        <v>315</v>
      </c>
      <c r="I15" s="128" t="s">
        <v>317</v>
      </c>
      <c r="J15" s="11"/>
    </row>
    <row r="16" spans="1:21" x14ac:dyDescent="0.3">
      <c r="A16" s="9" t="s">
        <v>318</v>
      </c>
      <c r="B16" s="4">
        <v>4</v>
      </c>
      <c r="C16" s="4" t="s">
        <v>319</v>
      </c>
      <c r="D16" s="4">
        <v>1</v>
      </c>
      <c r="E16" s="4" t="s">
        <v>319</v>
      </c>
      <c r="F16" s="4"/>
      <c r="G16" s="63" t="s">
        <v>319</v>
      </c>
      <c r="H16" s="9" t="s">
        <v>318</v>
      </c>
      <c r="I16" s="4"/>
      <c r="J16" s="11" t="s">
        <v>319</v>
      </c>
    </row>
    <row r="17" spans="1:15" x14ac:dyDescent="0.3">
      <c r="A17" s="9" t="s">
        <v>320</v>
      </c>
      <c r="B17" s="31">
        <f>RADIANS($G$7)</f>
        <v>6.0464932061499686E-3</v>
      </c>
      <c r="C17" s="4" t="s">
        <v>68</v>
      </c>
      <c r="D17" s="31">
        <f>RADIANS(G8)</f>
        <v>6.0464932061499686E-3</v>
      </c>
      <c r="E17" s="4" t="s">
        <v>68</v>
      </c>
      <c r="F17" s="31">
        <f>RADIANS(1.2)</f>
        <v>2.0943951023931952E-2</v>
      </c>
      <c r="G17" s="63" t="s">
        <v>68</v>
      </c>
      <c r="H17" s="9" t="s">
        <v>320</v>
      </c>
      <c r="I17" s="31">
        <f>RADIANS(G10)</f>
        <v>1.9896753472735354E-2</v>
      </c>
      <c r="J17" s="11" t="s">
        <v>68</v>
      </c>
    </row>
    <row r="18" spans="1:15" x14ac:dyDescent="0.3">
      <c r="A18" s="9" t="s">
        <v>321</v>
      </c>
      <c r="B18" s="129">
        <f>RADIANS($I$7)</f>
        <v>2.015503875900763E-5</v>
      </c>
      <c r="C18" s="4" t="s">
        <v>68</v>
      </c>
      <c r="D18" s="129">
        <f>RADIANS(I8)</f>
        <v>5.0387596899118197E-6</v>
      </c>
      <c r="E18" s="4" t="s">
        <v>68</v>
      </c>
      <c r="F18" s="129">
        <f>RADIANS(1.2)</f>
        <v>2.0943951023931952E-2</v>
      </c>
      <c r="G18" s="63" t="s">
        <v>68</v>
      </c>
      <c r="H18" s="9" t="s">
        <v>321</v>
      </c>
      <c r="I18" s="129">
        <f>RADIANS(I10)</f>
        <v>3.1415926535897929E-3</v>
      </c>
      <c r="J18" s="11" t="s">
        <v>68</v>
      </c>
    </row>
    <row r="19" spans="1:15" x14ac:dyDescent="0.3">
      <c r="A19" s="9"/>
      <c r="B19" s="4"/>
      <c r="C19" s="4"/>
      <c r="D19" s="4"/>
      <c r="E19" s="4"/>
      <c r="F19" s="4"/>
      <c r="G19" s="63"/>
      <c r="H19" s="9" t="s">
        <v>322</v>
      </c>
      <c r="I19" s="4">
        <f>L51</f>
        <v>500</v>
      </c>
      <c r="J19" s="11" t="s">
        <v>12</v>
      </c>
    </row>
    <row r="20" spans="1:15" x14ac:dyDescent="0.3">
      <c r="A20" s="9"/>
      <c r="B20" s="4"/>
      <c r="C20" s="4"/>
      <c r="D20" s="4"/>
      <c r="E20" s="4"/>
      <c r="F20" s="4"/>
      <c r="G20" s="63"/>
      <c r="H20" s="9" t="s">
        <v>323</v>
      </c>
      <c r="I20" s="31">
        <f>I17/2</f>
        <v>9.948376736367677E-3</v>
      </c>
      <c r="J20" s="11" t="s">
        <v>68</v>
      </c>
      <c r="O20" s="2" t="s">
        <v>324</v>
      </c>
    </row>
    <row r="21" spans="1:15" x14ac:dyDescent="0.3">
      <c r="A21" s="9" t="s">
        <v>322</v>
      </c>
      <c r="B21" s="4">
        <f>B34</f>
        <v>375</v>
      </c>
      <c r="C21" s="4" t="s">
        <v>12</v>
      </c>
      <c r="D21" s="4">
        <f>D34</f>
        <v>375</v>
      </c>
      <c r="E21" s="4" t="s">
        <v>12</v>
      </c>
      <c r="F21" s="4">
        <f>F34</f>
        <v>500</v>
      </c>
      <c r="G21" s="63" t="s">
        <v>12</v>
      </c>
      <c r="H21" s="9" t="s">
        <v>325</v>
      </c>
      <c r="I21" s="130">
        <f>I18/2</f>
        <v>1.5707963267948964E-3</v>
      </c>
      <c r="J21" s="11" t="s">
        <v>68</v>
      </c>
    </row>
    <row r="22" spans="1:15" x14ac:dyDescent="0.3">
      <c r="A22" s="9" t="s">
        <v>323</v>
      </c>
      <c r="B22" s="31">
        <f>B17/2</f>
        <v>3.0232466030749843E-3</v>
      </c>
      <c r="C22" s="4" t="s">
        <v>68</v>
      </c>
      <c r="D22" s="31">
        <f>D17/2</f>
        <v>3.0232466030749843E-3</v>
      </c>
      <c r="E22" s="4" t="s">
        <v>68</v>
      </c>
      <c r="F22" s="31">
        <f>F17/2</f>
        <v>1.0471975511965976E-2</v>
      </c>
      <c r="G22" s="63" t="s">
        <v>68</v>
      </c>
      <c r="H22" s="9" t="s">
        <v>326</v>
      </c>
      <c r="I22" s="131">
        <f>2*I19*TAN(I20)</f>
        <v>9.9487049469716364</v>
      </c>
      <c r="J22" s="11" t="s">
        <v>12</v>
      </c>
    </row>
    <row r="23" spans="1:15" x14ac:dyDescent="0.3">
      <c r="A23" s="9" t="s">
        <v>325</v>
      </c>
      <c r="B23" s="130">
        <f>B18/2</f>
        <v>1.0077519379503815E-5</v>
      </c>
      <c r="C23" s="4" t="s">
        <v>68</v>
      </c>
      <c r="D23" s="130">
        <f>D18/2</f>
        <v>2.5193798449559098E-6</v>
      </c>
      <c r="E23" s="4" t="s">
        <v>68</v>
      </c>
      <c r="F23" s="130">
        <f>F18/2</f>
        <v>1.0471975511965976E-2</v>
      </c>
      <c r="G23" s="63" t="s">
        <v>68</v>
      </c>
      <c r="H23" s="9" t="s">
        <v>327</v>
      </c>
      <c r="I23" s="131">
        <f>2*I19*TAN(I21)</f>
        <v>1.5707976187243666</v>
      </c>
      <c r="J23" s="11" t="s">
        <v>12</v>
      </c>
    </row>
    <row r="24" spans="1:15" x14ac:dyDescent="0.3">
      <c r="A24" s="9" t="s">
        <v>326</v>
      </c>
      <c r="B24" s="131">
        <f>2*B21*TAN(B22)</f>
        <v>2.2674418604651163</v>
      </c>
      <c r="C24" s="4" t="s">
        <v>12</v>
      </c>
      <c r="D24" s="131">
        <f>2*D21*TAN(D22)</f>
        <v>2.2674418604651163</v>
      </c>
      <c r="E24" s="4" t="s">
        <v>12</v>
      </c>
      <c r="F24" s="131">
        <f>2*F21*TAN(F22)</f>
        <v>10.472358322297188</v>
      </c>
      <c r="G24" s="63" t="s">
        <v>12</v>
      </c>
      <c r="H24" s="9" t="s">
        <v>328</v>
      </c>
      <c r="I24" s="31">
        <f>I23*I22</f>
        <v>15.627402040094372</v>
      </c>
      <c r="J24" s="11" t="s">
        <v>329</v>
      </c>
    </row>
    <row r="25" spans="1:15" x14ac:dyDescent="0.3">
      <c r="A25" s="9" t="s">
        <v>327</v>
      </c>
      <c r="B25" s="131">
        <f>2*B21*TAN(B23)</f>
        <v>7.5581395348837208E-3</v>
      </c>
      <c r="C25" s="4" t="s">
        <v>12</v>
      </c>
      <c r="D25" s="131">
        <f>2*D21*TAN(D23)</f>
        <v>1.8895348837209302E-3</v>
      </c>
      <c r="E25" s="4" t="s">
        <v>12</v>
      </c>
      <c r="F25" s="131">
        <f>2*F21*TAN(F23)</f>
        <v>10.472358322297188</v>
      </c>
      <c r="G25" s="63" t="s">
        <v>12</v>
      </c>
      <c r="H25" s="9" t="s">
        <v>330</v>
      </c>
      <c r="I25" s="8">
        <f>14*128*2048</f>
        <v>3670016</v>
      </c>
      <c r="J25" s="11" t="s">
        <v>331</v>
      </c>
    </row>
    <row r="26" spans="1:15" x14ac:dyDescent="0.3">
      <c r="A26" s="132" t="s">
        <v>332</v>
      </c>
      <c r="B26" s="131">
        <f>B25/D7*1000</f>
        <v>5.0387596899224806E-3</v>
      </c>
      <c r="C26" s="4" t="s">
        <v>333</v>
      </c>
      <c r="D26" s="131">
        <f>D25/D8*1000</f>
        <v>3.1492248062015503E-4</v>
      </c>
      <c r="E26" s="4" t="s">
        <v>333</v>
      </c>
      <c r="F26" s="131"/>
      <c r="G26" s="63" t="s">
        <v>333</v>
      </c>
      <c r="H26" s="9" t="s">
        <v>45</v>
      </c>
      <c r="I26" s="4">
        <v>473</v>
      </c>
      <c r="J26" s="11" t="s">
        <v>12</v>
      </c>
    </row>
    <row r="27" spans="1:15" x14ac:dyDescent="0.3">
      <c r="A27" s="9" t="s">
        <v>328</v>
      </c>
      <c r="B27" s="31">
        <f>B25*B24</f>
        <v>1.7137641968631694E-2</v>
      </c>
      <c r="C27" s="4" t="s">
        <v>329</v>
      </c>
      <c r="D27" s="31">
        <f>D25*D24</f>
        <v>4.2844104921579236E-3</v>
      </c>
      <c r="E27" s="4" t="s">
        <v>329</v>
      </c>
      <c r="F27" s="31">
        <f>F25*F24</f>
        <v>109.67028883058717</v>
      </c>
      <c r="G27" s="63" t="s">
        <v>329</v>
      </c>
      <c r="H27" s="9" t="s">
        <v>25</v>
      </c>
      <c r="I27" s="8">
        <v>9.2200943761203161E+20</v>
      </c>
      <c r="J27" s="11" t="s">
        <v>23</v>
      </c>
    </row>
    <row r="28" spans="1:15" x14ac:dyDescent="0.3">
      <c r="A28" s="9" t="s">
        <v>330</v>
      </c>
      <c r="B28" s="4"/>
      <c r="C28" s="4"/>
      <c r="D28" s="4"/>
      <c r="E28" s="4"/>
      <c r="F28" s="4">
        <f>F24*1000/(K10/100)*F25*1000/(K10/100)</f>
        <v>438681155.32234871</v>
      </c>
      <c r="G28" s="63"/>
      <c r="H28" s="9" t="s">
        <v>334</v>
      </c>
      <c r="I28" s="4">
        <f>0.27/1000</f>
        <v>2.7E-4</v>
      </c>
      <c r="J28" s="11" t="s">
        <v>335</v>
      </c>
    </row>
    <row r="29" spans="1:15" x14ac:dyDescent="0.3">
      <c r="A29" s="9" t="s">
        <v>45</v>
      </c>
      <c r="B29" s="4">
        <v>473</v>
      </c>
      <c r="C29" s="4" t="s">
        <v>12</v>
      </c>
      <c r="D29" s="4">
        <v>473</v>
      </c>
      <c r="E29" s="4" t="s">
        <v>12</v>
      </c>
      <c r="F29" s="4">
        <v>473</v>
      </c>
      <c r="G29" s="63" t="s">
        <v>12</v>
      </c>
      <c r="H29" s="9" t="s">
        <v>336</v>
      </c>
      <c r="I29" s="8">
        <f>((0.00000000006673)*I27)/(1000^3)</f>
        <v>61.525689771850871</v>
      </c>
      <c r="J29" s="11" t="s">
        <v>28</v>
      </c>
    </row>
    <row r="30" spans="1:15" x14ac:dyDescent="0.3">
      <c r="A30" s="9" t="s">
        <v>25</v>
      </c>
      <c r="B30" s="8">
        <v>9.2200943761203161E+20</v>
      </c>
      <c r="C30" s="4" t="s">
        <v>23</v>
      </c>
      <c r="D30" s="8">
        <v>9.2200943761203161E+20</v>
      </c>
      <c r="E30" s="4" t="s">
        <v>23</v>
      </c>
      <c r="F30" s="8">
        <v>9.2200943761203161E+20</v>
      </c>
      <c r="G30" s="63" t="s">
        <v>23</v>
      </c>
      <c r="H30" s="9" t="s">
        <v>337</v>
      </c>
      <c r="I30" s="4">
        <f>I31+I26</f>
        <v>973</v>
      </c>
      <c r="J30" s="11" t="s">
        <v>12</v>
      </c>
    </row>
    <row r="31" spans="1:15" x14ac:dyDescent="0.3">
      <c r="A31" s="9" t="s">
        <v>334</v>
      </c>
      <c r="B31" s="4">
        <f>0.27/1000</f>
        <v>2.7E-4</v>
      </c>
      <c r="C31" s="4" t="s">
        <v>335</v>
      </c>
      <c r="D31" s="4">
        <f>0.27/1000</f>
        <v>2.7E-4</v>
      </c>
      <c r="E31" s="4" t="s">
        <v>335</v>
      </c>
      <c r="F31" s="4">
        <f>0.27/1000</f>
        <v>2.7E-4</v>
      </c>
      <c r="G31" s="63" t="s">
        <v>335</v>
      </c>
      <c r="H31" s="9" t="s">
        <v>338</v>
      </c>
      <c r="I31" s="4">
        <f>I19</f>
        <v>500</v>
      </c>
      <c r="J31" s="11" t="s">
        <v>12</v>
      </c>
    </row>
    <row r="32" spans="1:15" x14ac:dyDescent="0.3">
      <c r="A32" s="9" t="s">
        <v>336</v>
      </c>
      <c r="B32" s="8">
        <f>((0.00000000006673)*B30)/(1000^3)</f>
        <v>61.525689771850871</v>
      </c>
      <c r="C32" s="4" t="s">
        <v>28</v>
      </c>
      <c r="D32" s="8">
        <f>((0.00000000006673)*D30)/(1000^3)</f>
        <v>61.525689771850871</v>
      </c>
      <c r="E32" s="4" t="s">
        <v>28</v>
      </c>
      <c r="F32" s="8">
        <f>((0.00000000006673)*F30)/(1000^3)</f>
        <v>61.525689771850871</v>
      </c>
      <c r="G32" s="63" t="s">
        <v>28</v>
      </c>
      <c r="H32" s="9" t="s">
        <v>339</v>
      </c>
      <c r="I32" s="131">
        <f>(2*PI()*SQRT((I30)^3/I29))/(3600)</f>
        <v>6.7533363815325256</v>
      </c>
      <c r="J32" s="11" t="s">
        <v>132</v>
      </c>
    </row>
    <row r="33" spans="1:11" x14ac:dyDescent="0.3">
      <c r="A33" s="9" t="s">
        <v>337</v>
      </c>
      <c r="B33" s="4">
        <f>B34+B29</f>
        <v>848</v>
      </c>
      <c r="C33" s="4" t="s">
        <v>12</v>
      </c>
      <c r="D33" s="4">
        <f>D34+D29</f>
        <v>848</v>
      </c>
      <c r="E33" s="4" t="s">
        <v>12</v>
      </c>
      <c r="F33" s="4">
        <f>F34+F29</f>
        <v>973</v>
      </c>
      <c r="G33" s="63" t="s">
        <v>12</v>
      </c>
      <c r="H33" s="9" t="s">
        <v>340</v>
      </c>
      <c r="I33" s="4">
        <v>9.0741700000000005</v>
      </c>
      <c r="J33" s="11" t="s">
        <v>132</v>
      </c>
    </row>
    <row r="34" spans="1:11" x14ac:dyDescent="0.3">
      <c r="A34" s="9" t="s">
        <v>338</v>
      </c>
      <c r="B34" s="4">
        <f>375</f>
        <v>375</v>
      </c>
      <c r="C34" s="4" t="s">
        <v>12</v>
      </c>
      <c r="D34" s="4">
        <f>375</f>
        <v>375</v>
      </c>
      <c r="E34" s="4" t="s">
        <v>12</v>
      </c>
      <c r="F34" s="4">
        <f>500</f>
        <v>500</v>
      </c>
      <c r="G34" s="63" t="s">
        <v>12</v>
      </c>
      <c r="H34" s="9"/>
      <c r="I34" s="4"/>
      <c r="J34" s="11"/>
    </row>
    <row r="35" spans="1:11" x14ac:dyDescent="0.3">
      <c r="A35" s="9" t="s">
        <v>339</v>
      </c>
      <c r="B35" s="131">
        <f>(2*PI()*SQRT((B33)^3/B32))/(3600)</f>
        <v>5.4946862668088636</v>
      </c>
      <c r="C35" s="4" t="s">
        <v>132</v>
      </c>
      <c r="D35" s="131">
        <f>(2*PI()*SQRT((D33)^3/D32))/(3600)</f>
        <v>5.4946862668088636</v>
      </c>
      <c r="E35" s="4" t="s">
        <v>132</v>
      </c>
      <c r="F35" s="131">
        <f>(2*PI()*SQRT((F33)^3/F32))/(3600)</f>
        <v>6.7533363815325256</v>
      </c>
      <c r="G35" s="63" t="s">
        <v>132</v>
      </c>
      <c r="H35" s="9" t="s">
        <v>341</v>
      </c>
      <c r="I35" s="128">
        <f>4*PI()*I26^2</f>
        <v>2811461.5311799631</v>
      </c>
      <c r="J35" s="11" t="s">
        <v>329</v>
      </c>
    </row>
    <row r="36" spans="1:11" x14ac:dyDescent="0.3">
      <c r="A36" s="9" t="s">
        <v>340</v>
      </c>
      <c r="B36" s="4">
        <v>9</v>
      </c>
      <c r="C36" s="4" t="s">
        <v>132</v>
      </c>
      <c r="D36" s="4">
        <v>9</v>
      </c>
      <c r="E36" s="4" t="s">
        <v>132</v>
      </c>
      <c r="F36" s="4">
        <v>9</v>
      </c>
      <c r="G36" s="63" t="s">
        <v>132</v>
      </c>
      <c r="H36" s="9" t="s">
        <v>342</v>
      </c>
      <c r="I36" s="8">
        <f>I24/I35</f>
        <v>5.5584619838406938E-6</v>
      </c>
      <c r="J36" s="11"/>
    </row>
    <row r="37" spans="1:11" x14ac:dyDescent="0.3">
      <c r="A37" s="9"/>
      <c r="B37" s="4"/>
      <c r="C37" s="4"/>
      <c r="D37" s="4"/>
      <c r="E37" s="4"/>
      <c r="F37" s="4"/>
      <c r="G37" s="63"/>
      <c r="H37" s="9" t="s">
        <v>343</v>
      </c>
      <c r="I37" s="31">
        <f>I23</f>
        <v>1.5707976187243666</v>
      </c>
      <c r="J37" s="11" t="s">
        <v>12</v>
      </c>
    </row>
    <row r="38" spans="1:11" x14ac:dyDescent="0.3">
      <c r="A38" s="9" t="s">
        <v>341</v>
      </c>
      <c r="B38" s="128">
        <f>4*PI()*B29^2</f>
        <v>2811461.5311799631</v>
      </c>
      <c r="C38" s="4" t="s">
        <v>329</v>
      </c>
      <c r="D38" s="128">
        <f>4*PI()*D29^2</f>
        <v>2811461.5311799631</v>
      </c>
      <c r="E38" s="4" t="s">
        <v>329</v>
      </c>
      <c r="F38" s="128">
        <f>4*PI()*F29^2</f>
        <v>2811461.5311799631</v>
      </c>
      <c r="G38" s="63" t="s">
        <v>329</v>
      </c>
      <c r="H38" s="9" t="s">
        <v>344</v>
      </c>
      <c r="I38" s="129">
        <f>I37/I44</f>
        <v>5.2854166092380819E-4</v>
      </c>
      <c r="J38" s="11"/>
    </row>
    <row r="39" spans="1:11" x14ac:dyDescent="0.3">
      <c r="A39" s="9" t="s">
        <v>342</v>
      </c>
      <c r="B39" s="8">
        <f>B27/B38</f>
        <v>6.095634522674429E-9</v>
      </c>
      <c r="C39" s="4"/>
      <c r="D39" s="8">
        <f>D27/D38</f>
        <v>1.5239086306686073E-9</v>
      </c>
      <c r="E39" s="4"/>
      <c r="F39" s="8">
        <f>F27/F38</f>
        <v>3.9008283632662343E-5</v>
      </c>
      <c r="G39" s="63"/>
      <c r="H39" s="9" t="s">
        <v>345</v>
      </c>
      <c r="I39" s="129">
        <f>I38*I32</f>
        <v>3.569419627872382E-3</v>
      </c>
      <c r="J39" s="11" t="s">
        <v>132</v>
      </c>
    </row>
    <row r="40" spans="1:11" x14ac:dyDescent="0.3">
      <c r="A40" s="9" t="s">
        <v>343</v>
      </c>
      <c r="B40" s="31">
        <f>B25</f>
        <v>7.5581395348837208E-3</v>
      </c>
      <c r="C40" s="4" t="s">
        <v>12</v>
      </c>
      <c r="D40" s="31">
        <f>D25</f>
        <v>1.8895348837209302E-3</v>
      </c>
      <c r="E40" s="4" t="s">
        <v>12</v>
      </c>
      <c r="F40" s="31">
        <f>F25</f>
        <v>10.472358322297188</v>
      </c>
      <c r="G40" s="63" t="s">
        <v>12</v>
      </c>
      <c r="H40" s="9" t="s">
        <v>345</v>
      </c>
      <c r="I40" s="131">
        <f>I39*60*60</f>
        <v>12.849910660340575</v>
      </c>
      <c r="J40" s="11" t="s">
        <v>346</v>
      </c>
    </row>
    <row r="41" spans="1:11" x14ac:dyDescent="0.3">
      <c r="A41" s="9" t="s">
        <v>344</v>
      </c>
      <c r="B41" s="129">
        <f>B40/B47</f>
        <v>2.5431612421882089E-6</v>
      </c>
      <c r="C41" s="4" t="s">
        <v>12</v>
      </c>
      <c r="D41" s="129">
        <f>D40/D47</f>
        <v>6.3579031054705222E-7</v>
      </c>
      <c r="E41" s="4" t="s">
        <v>12</v>
      </c>
      <c r="F41" s="129">
        <f>F40/F47</f>
        <v>3.5237369827127809E-3</v>
      </c>
      <c r="G41" s="63" t="s">
        <v>12</v>
      </c>
      <c r="H41" s="9" t="s">
        <v>347</v>
      </c>
      <c r="I41" s="21">
        <f>1/I39</f>
        <v>280.15758981974005</v>
      </c>
      <c r="J41" s="11" t="s">
        <v>348</v>
      </c>
    </row>
    <row r="42" spans="1:11" x14ac:dyDescent="0.3">
      <c r="A42" s="9" t="s">
        <v>345</v>
      </c>
      <c r="B42" s="129">
        <f>B41*B35</f>
        <v>1.3973873151732122E-5</v>
      </c>
      <c r="C42" s="4" t="s">
        <v>132</v>
      </c>
      <c r="D42" s="129">
        <f>D41*D35</f>
        <v>3.4934682879330304E-6</v>
      </c>
      <c r="E42" s="4" t="s">
        <v>132</v>
      </c>
      <c r="F42" s="129">
        <f>F41*F35</f>
        <v>2.3796981164305873E-2</v>
      </c>
      <c r="G42" s="63" t="s">
        <v>132</v>
      </c>
      <c r="H42" s="9" t="s">
        <v>349</v>
      </c>
      <c r="I42" s="133"/>
      <c r="J42" s="11" t="s">
        <v>348</v>
      </c>
    </row>
    <row r="43" spans="1:11" x14ac:dyDescent="0.3">
      <c r="A43" s="132" t="s">
        <v>345</v>
      </c>
      <c r="B43" s="131">
        <f>B42*60*60</f>
        <v>5.0305943346235636E-2</v>
      </c>
      <c r="C43" s="4" t="s">
        <v>346</v>
      </c>
      <c r="D43" s="131">
        <f>D42*60*60</f>
        <v>1.2576485836558909E-2</v>
      </c>
      <c r="E43" s="4" t="s">
        <v>346</v>
      </c>
      <c r="F43" s="131">
        <f>F42*60*60</f>
        <v>85.669132191501134</v>
      </c>
      <c r="G43" s="63" t="s">
        <v>346</v>
      </c>
      <c r="H43" s="134" t="s">
        <v>350</v>
      </c>
      <c r="I43" s="135">
        <f>I33*I41</f>
        <v>2542.1975968145907</v>
      </c>
      <c r="J43" s="136" t="s">
        <v>351</v>
      </c>
    </row>
    <row r="44" spans="1:11" x14ac:dyDescent="0.3">
      <c r="A44" s="9" t="s">
        <v>347</v>
      </c>
      <c r="B44" s="21">
        <f>1/B42</f>
        <v>71562.120905330084</v>
      </c>
      <c r="C44" s="4" t="s">
        <v>348</v>
      </c>
      <c r="D44" s="4">
        <f>1/D42</f>
        <v>286248.48362132034</v>
      </c>
      <c r="E44" s="4" t="s">
        <v>348</v>
      </c>
      <c r="F44" s="21">
        <f>1/F42</f>
        <v>42.022136887679835</v>
      </c>
      <c r="G44" s="63" t="s">
        <v>348</v>
      </c>
      <c r="H44" s="9" t="s">
        <v>352</v>
      </c>
      <c r="I44" s="4">
        <f>2*PI()*I26</f>
        <v>2971.9466502959444</v>
      </c>
      <c r="J44" s="11" t="s">
        <v>12</v>
      </c>
    </row>
    <row r="45" spans="1:11" x14ac:dyDescent="0.3">
      <c r="A45" s="9" t="s">
        <v>349</v>
      </c>
      <c r="B45" s="133"/>
      <c r="C45" s="4" t="s">
        <v>348</v>
      </c>
      <c r="D45" s="133"/>
      <c r="E45" s="4" t="s">
        <v>348</v>
      </c>
      <c r="F45" s="133"/>
      <c r="G45" s="63" t="s">
        <v>348</v>
      </c>
      <c r="H45" s="9" t="s">
        <v>353</v>
      </c>
      <c r="I45" s="4">
        <f>I43*I24</f>
        <v>39727.943910783346</v>
      </c>
      <c r="J45" s="11" t="s">
        <v>329</v>
      </c>
    </row>
    <row r="46" spans="1:11" x14ac:dyDescent="0.3">
      <c r="A46" s="134" t="s">
        <v>354</v>
      </c>
      <c r="B46" s="46">
        <f>B36*B44</f>
        <v>644059.08814797073</v>
      </c>
      <c r="C46" s="4" t="s">
        <v>355</v>
      </c>
      <c r="D46" s="46">
        <f>D36*D44</f>
        <v>2576236.3525918829</v>
      </c>
      <c r="E46" s="4" t="s">
        <v>355</v>
      </c>
      <c r="F46" s="46">
        <f>F36*F44</f>
        <v>378.19923198911852</v>
      </c>
      <c r="G46" s="63" t="s">
        <v>355</v>
      </c>
      <c r="H46" s="134" t="s">
        <v>356</v>
      </c>
      <c r="I46" s="137">
        <f>ROUNDUP(I35/I45,)</f>
        <v>71</v>
      </c>
      <c r="J46" s="136" t="s">
        <v>357</v>
      </c>
    </row>
    <row r="47" spans="1:11" x14ac:dyDescent="0.3">
      <c r="A47" s="9" t="s">
        <v>352</v>
      </c>
      <c r="B47" s="4">
        <f>2*PI()*B29</f>
        <v>2971.9466502959444</v>
      </c>
      <c r="C47" s="4" t="s">
        <v>12</v>
      </c>
      <c r="D47" s="4">
        <f>2*PI()*D29</f>
        <v>2971.9466502959444</v>
      </c>
      <c r="E47" s="4" t="s">
        <v>12</v>
      </c>
      <c r="F47" s="4">
        <f>2*PI()*F29</f>
        <v>2971.9466502959444</v>
      </c>
      <c r="G47" s="63" t="s">
        <v>12</v>
      </c>
      <c r="H47" s="9" t="s">
        <v>358</v>
      </c>
      <c r="I47" s="4">
        <f>ROUNDUP(I46*I43,0)</f>
        <v>180497</v>
      </c>
      <c r="J47" s="11" t="s">
        <v>359</v>
      </c>
      <c r="K47" s="2">
        <f>I51*I46</f>
        <v>225.5093054499736</v>
      </c>
    </row>
    <row r="48" spans="1:11" x14ac:dyDescent="0.3">
      <c r="A48" s="9" t="s">
        <v>353</v>
      </c>
      <c r="B48" s="4">
        <f>B46*B27</f>
        <v>11037.654059323322</v>
      </c>
      <c r="C48" s="4" t="s">
        <v>329</v>
      </c>
      <c r="D48" s="4">
        <f>D46*D27</f>
        <v>11037.654059323322</v>
      </c>
      <c r="E48" s="4" t="s">
        <v>329</v>
      </c>
      <c r="F48" s="4">
        <f>F46*F27</f>
        <v>41477.219007752872</v>
      </c>
      <c r="G48" s="63" t="s">
        <v>329</v>
      </c>
      <c r="H48" s="9" t="s">
        <v>360</v>
      </c>
      <c r="I48" s="4">
        <f>I47*I25</f>
        <v>662426877952</v>
      </c>
      <c r="J48" s="11" t="s">
        <v>331</v>
      </c>
    </row>
    <row r="49" spans="1:13" x14ac:dyDescent="0.3">
      <c r="A49" s="134" t="s">
        <v>356</v>
      </c>
      <c r="B49" s="4">
        <f>0.8*B38/B48</f>
        <v>203.77239700171026</v>
      </c>
      <c r="C49" s="4" t="s">
        <v>361</v>
      </c>
      <c r="D49" s="4">
        <f>0.8*D38/D48</f>
        <v>203.77239700171026</v>
      </c>
      <c r="E49" s="4" t="s">
        <v>361</v>
      </c>
      <c r="F49" s="4">
        <f>0.8*F38/F48</f>
        <v>54.226615929181719</v>
      </c>
      <c r="G49" s="63" t="s">
        <v>361</v>
      </c>
      <c r="H49" s="9" t="s">
        <v>362</v>
      </c>
      <c r="I49" s="4">
        <f>I48*J10</f>
        <v>5299415023616</v>
      </c>
      <c r="J49" s="11" t="s">
        <v>363</v>
      </c>
    </row>
    <row r="50" spans="1:13" ht="15" thickBot="1" x14ac:dyDescent="0.35">
      <c r="A50" s="9" t="s">
        <v>358</v>
      </c>
      <c r="B50" s="4">
        <f>B46*B49</f>
        <v>131241464.20264779</v>
      </c>
      <c r="C50" s="4"/>
      <c r="D50" s="4"/>
      <c r="E50" s="4"/>
      <c r="F50" s="4">
        <f>F49*F46</f>
        <v>20508.464497785426</v>
      </c>
      <c r="G50" s="63"/>
      <c r="H50" s="9" t="s">
        <v>364</v>
      </c>
      <c r="I50" s="4">
        <f>I49*(10^(-9))/8*L53</f>
        <v>476.94735212544003</v>
      </c>
      <c r="J50" s="11" t="s">
        <v>132</v>
      </c>
    </row>
    <row r="51" spans="1:13" ht="15" thickBot="1" x14ac:dyDescent="0.35">
      <c r="A51" s="13" t="s">
        <v>360</v>
      </c>
      <c r="B51" s="15"/>
      <c r="C51" s="15"/>
      <c r="D51" s="15"/>
      <c r="E51" s="15"/>
      <c r="F51" s="15">
        <f>F50*F28</f>
        <v>8996676899775.8828</v>
      </c>
      <c r="G51" s="138"/>
      <c r="H51" s="9" t="s">
        <v>365</v>
      </c>
      <c r="I51" s="21">
        <f>'[1]Mapping Orbits Data Budget'!C21</f>
        <v>3.1761874007038533</v>
      </c>
      <c r="J51" s="11" t="s">
        <v>132</v>
      </c>
      <c r="K51" s="41" t="s">
        <v>366</v>
      </c>
      <c r="L51" s="6">
        <v>500</v>
      </c>
      <c r="M51" s="7" t="s">
        <v>12</v>
      </c>
    </row>
    <row r="52" spans="1:13" x14ac:dyDescent="0.3">
      <c r="H52" s="59" t="s">
        <v>367</v>
      </c>
      <c r="I52" s="61">
        <f>I49/I53/(10^9)</f>
        <v>35.09546373255629</v>
      </c>
      <c r="J52" s="139" t="s">
        <v>368</v>
      </c>
      <c r="K52" s="42"/>
      <c r="L52" s="43"/>
      <c r="M52" s="44"/>
    </row>
    <row r="53" spans="1:13" ht="15" thickBot="1" x14ac:dyDescent="0.35">
      <c r="H53" s="140" t="s">
        <v>157</v>
      </c>
      <c r="I53" s="71">
        <f>ROUNDUP(I50/I51,0)</f>
        <v>151</v>
      </c>
      <c r="J53" s="141"/>
      <c r="K53" s="13" t="s">
        <v>369</v>
      </c>
      <c r="L53" s="15">
        <f>0.72</f>
        <v>0.72</v>
      </c>
      <c r="M53" s="16" t="s">
        <v>370</v>
      </c>
    </row>
    <row r="54" spans="1:13" ht="15" thickBot="1" x14ac:dyDescent="0.35">
      <c r="H54" s="142" t="s">
        <v>371</v>
      </c>
      <c r="I54" s="143">
        <f>I46/I53</f>
        <v>0.47019867549668876</v>
      </c>
      <c r="J54" s="144" t="s">
        <v>372</v>
      </c>
    </row>
    <row r="55" spans="1:13" x14ac:dyDescent="0.3">
      <c r="B55" s="67"/>
    </row>
    <row r="56" spans="1:13" x14ac:dyDescent="0.3">
      <c r="I56" s="20"/>
    </row>
    <row r="57" spans="1:13" x14ac:dyDescent="0.3">
      <c r="I57" s="145"/>
    </row>
  </sheetData>
  <conditionalFormatting sqref="B44">
    <cfRule type="cellIs" dxfId="3" priority="4" operator="greaterThan">
      <formula>$B$44</formula>
    </cfRule>
  </conditionalFormatting>
  <conditionalFormatting sqref="D44">
    <cfRule type="cellIs" dxfId="2" priority="3" operator="greaterThan">
      <formula>$B$44</formula>
    </cfRule>
  </conditionalFormatting>
  <conditionalFormatting sqref="F44">
    <cfRule type="cellIs" dxfId="1" priority="2" operator="greaterThan">
      <formula>$B$44</formula>
    </cfRule>
  </conditionalFormatting>
  <conditionalFormatting sqref="I41">
    <cfRule type="cellIs" dxfId="0" priority="1" operator="greaterThan">
      <formula>$B$44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ADCS</vt:lpstr>
      <vt:lpstr>HiRISE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Adrik Shamlonian</dc:creator>
  <cp:lastModifiedBy>Adrik Shamlonian</cp:lastModifiedBy>
  <dcterms:created xsi:type="dcterms:W3CDTF">2020-08-27T21:06:46Z</dcterms:created>
  <dcterms:modified xsi:type="dcterms:W3CDTF">2020-08-27T21:13:57Z</dcterms:modified>
</cp:coreProperties>
</file>