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hidePivotFieldList="1" defaultThemeVersion="166925"/>
  <mc:AlternateContent xmlns:mc="http://schemas.openxmlformats.org/markup-compatibility/2006">
    <mc:Choice Requires="x15">
      <x15ac:absPath xmlns:x15ac="http://schemas.microsoft.com/office/spreadsheetml/2010/11/ac" url="https://bancolombia-my.sharepoint.com/personal/madacorr_bancolombia_com_co/Documents/ESTRATEGIA COMERCIAL DE PAGOS/TDC/CALCULADORA BENEFICIOS/Definitiva/"/>
    </mc:Choice>
  </mc:AlternateContent>
  <xr:revisionPtr revIDLastSave="49" documentId="13_ncr:1_{53492871-4C64-40D4-9B7A-DA5F2BB8C68B}" xr6:coauthVersionLast="47" xr6:coauthVersionMax="47" xr10:uidLastSave="{CCEB4A9A-1574-4602-B0D3-65E123C7A5D7}"/>
  <workbookProtection workbookAlgorithmName="SHA-512" workbookHashValue="0wUEzQMezSwmqSojugku1ExipTC+PLIwAXZCw4MP0L6vtap5tn34owI+HIodEOL7oSlwMCurotB6H73sGR8aSQ==" workbookSaltValue="EAaA2WfnUuLY8uSdUmwcdQ==" workbookSpinCount="100000" lockStructure="1"/>
  <bookViews>
    <workbookView showSheetTabs="0" xWindow="-120" yWindow="-120" windowWidth="20730" windowHeight="11160" tabRatio="756" xr2:uid="{3D03199E-5C71-4AF0-9CD1-BF4C599398B8}"/>
  </bookViews>
  <sheets>
    <sheet name="Calculadora" sheetId="1" r:id="rId1"/>
    <sheet name="Parametros" sheetId="3" state="hidden" r:id="rId2"/>
    <sheet name="Caracteristicas TDC" sheetId="2" state="hidden" r:id="rId3"/>
    <sheet name="Beneficios" sheetId="7" state="hidden" r:id="rId4"/>
    <sheet name="Seguros TDC" sheetId="4" state="hidden" r:id="rId5"/>
    <sheet name="Asistencias" sheetId="6" state="hidden" r:id="rId6"/>
  </sheets>
  <definedNames>
    <definedName name="_xlnm._FilterDatabase" localSheetId="5" hidden="1">Asistencias!$A$1:$G$153</definedName>
    <definedName name="_xlnm._FilterDatabase" localSheetId="3" hidden="1">Beneficios!$A$1:$G$108</definedName>
    <definedName name="_xlnm._FilterDatabase" localSheetId="2" hidden="1">'Caracteristicas TDC'!$A$1:$N$28</definedName>
    <definedName name="_xlnm._FilterDatabase" localSheetId="4" hidden="1">'Seguros TDC'!$A$1:$G$68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3" i="7" l="1"/>
  <c r="C44" i="7"/>
  <c r="D44" i="7" s="1"/>
  <c r="D43" i="7"/>
  <c r="C43" i="7"/>
  <c r="G36" i="7"/>
  <c r="G66" i="7"/>
  <c r="G49" i="7"/>
  <c r="G40" i="7"/>
  <c r="G24" i="7"/>
  <c r="G5" i="4"/>
  <c r="G54" i="6"/>
  <c r="C55" i="6"/>
  <c r="D55" i="6" s="1"/>
  <c r="G51" i="6"/>
  <c r="G48" i="6"/>
  <c r="G47" i="6"/>
  <c r="C24" i="4" l="1"/>
  <c r="C25" i="4" s="1"/>
  <c r="C33" i="4"/>
  <c r="C42" i="4"/>
  <c r="C43" i="4" s="1"/>
  <c r="C44" i="4" s="1"/>
  <c r="C38" i="4"/>
  <c r="D38" i="4" s="1"/>
  <c r="C39" i="4" l="1"/>
  <c r="C40" i="4" s="1"/>
  <c r="G17" i="4"/>
  <c r="G19" i="4"/>
  <c r="G31" i="4"/>
  <c r="G30" i="4"/>
  <c r="G27" i="4"/>
  <c r="C27" i="4"/>
  <c r="C28" i="4" s="1"/>
  <c r="C29" i="4" s="1"/>
  <c r="C30" i="4" s="1"/>
  <c r="C31" i="4" s="1"/>
  <c r="C19" i="4"/>
  <c r="C20" i="4" s="1"/>
  <c r="C26" i="4"/>
  <c r="D26" i="4" s="1"/>
  <c r="C17" i="4"/>
  <c r="C18" i="4" s="1"/>
  <c r="D18" i="4" s="1"/>
  <c r="C32" i="4" l="1"/>
  <c r="D32" i="4" s="1"/>
  <c r="D31" i="4"/>
  <c r="D29" i="4"/>
  <c r="D30" i="4"/>
  <c r="C21" i="4"/>
  <c r="D21" i="4" s="1"/>
  <c r="D20" i="4"/>
  <c r="D28" i="4"/>
  <c r="D27" i="4"/>
  <c r="C22" i="4"/>
  <c r="D25" i="4"/>
  <c r="D17" i="4"/>
  <c r="D24" i="4"/>
  <c r="D19" i="4"/>
  <c r="C9" i="4"/>
  <c r="D9" i="4" s="1"/>
  <c r="C10" i="4"/>
  <c r="D10" i="4" s="1"/>
  <c r="C11" i="4"/>
  <c r="D11" i="4" s="1"/>
  <c r="D22" i="4" l="1"/>
  <c r="C23" i="4"/>
  <c r="G108" i="7"/>
  <c r="G106" i="7"/>
  <c r="G104" i="7"/>
  <c r="G100" i="7"/>
  <c r="G97" i="7"/>
  <c r="G48" i="7"/>
  <c r="G28" i="7"/>
  <c r="G14" i="7"/>
  <c r="D33" i="4" l="1"/>
  <c r="C34" i="4"/>
  <c r="D23" i="4"/>
  <c r="C128" i="6"/>
  <c r="D34" i="4" l="1"/>
  <c r="C35" i="4"/>
  <c r="C129" i="6"/>
  <c r="D129" i="6" s="1"/>
  <c r="C36" i="4" l="1"/>
  <c r="D35" i="4"/>
  <c r="D128" i="6"/>
  <c r="C105" i="7"/>
  <c r="C106" i="7" s="1"/>
  <c r="D106" i="7" s="1"/>
  <c r="C107" i="7"/>
  <c r="C108" i="7" s="1"/>
  <c r="D108" i="7" s="1"/>
  <c r="C37" i="4" l="1"/>
  <c r="D37" i="4" s="1"/>
  <c r="D36" i="4"/>
  <c r="D105" i="7"/>
  <c r="D107" i="7"/>
  <c r="C25" i="7"/>
  <c r="D25" i="7" s="1"/>
  <c r="C26" i="7"/>
  <c r="D39" i="4" l="1"/>
  <c r="C15" i="7"/>
  <c r="D15" i="7" s="1"/>
  <c r="C41" i="4" l="1"/>
  <c r="D40" i="4"/>
  <c r="C16" i="7"/>
  <c r="G7" i="4"/>
  <c r="G67" i="4"/>
  <c r="G24" i="6"/>
  <c r="G25" i="6"/>
  <c r="C27" i="6"/>
  <c r="G6" i="6"/>
  <c r="D41" i="4" l="1"/>
  <c r="G90" i="6"/>
  <c r="G68" i="4" l="1"/>
  <c r="G61" i="4"/>
  <c r="G58" i="4"/>
  <c r="G47" i="4"/>
  <c r="G45" i="4"/>
  <c r="G42" i="4"/>
  <c r="G41" i="4"/>
  <c r="G37" i="4"/>
  <c r="G36" i="4"/>
  <c r="G24" i="4"/>
  <c r="G14" i="4"/>
  <c r="G11" i="4"/>
  <c r="C14" i="4"/>
  <c r="C15" i="4" s="1"/>
  <c r="C16" i="4" s="1"/>
  <c r="C8" i="4"/>
  <c r="D8" i="4" s="1"/>
  <c r="C6" i="4"/>
  <c r="D6" i="4" s="1"/>
  <c r="D42" i="4" l="1"/>
  <c r="D15" i="4"/>
  <c r="C7" i="4"/>
  <c r="D7" i="4" s="1"/>
  <c r="D14" i="4"/>
  <c r="C12" i="4"/>
  <c r="C2" i="4"/>
  <c r="D2" i="4" s="1"/>
  <c r="C3" i="4"/>
  <c r="D3" i="4" s="1"/>
  <c r="C4" i="4"/>
  <c r="D4" i="4" s="1"/>
  <c r="C5" i="4"/>
  <c r="D5" i="4" s="1"/>
  <c r="D43" i="4" l="1"/>
  <c r="D16" i="4"/>
  <c r="C13" i="4"/>
  <c r="D13" i="4" s="1"/>
  <c r="D12" i="4"/>
  <c r="C142" i="6"/>
  <c r="C137" i="6"/>
  <c r="C133" i="6"/>
  <c r="C45" i="4" l="1"/>
  <c r="D44" i="4"/>
  <c r="C103" i="7"/>
  <c r="C104" i="7" s="1"/>
  <c r="D104" i="7" s="1"/>
  <c r="C100" i="7"/>
  <c r="C101" i="7" s="1"/>
  <c r="C102" i="7" s="1"/>
  <c r="C97" i="7"/>
  <c r="C90" i="7"/>
  <c r="C82" i="7"/>
  <c r="C75" i="7"/>
  <c r="C76" i="7" s="1"/>
  <c r="C77" i="7" s="1"/>
  <c r="C78" i="7" s="1"/>
  <c r="C68" i="7"/>
  <c r="C61" i="7"/>
  <c r="C57" i="7"/>
  <c r="C51" i="7"/>
  <c r="C35" i="7"/>
  <c r="C31" i="7"/>
  <c r="C20" i="7"/>
  <c r="C17" i="7"/>
  <c r="D16" i="7"/>
  <c r="C11" i="7"/>
  <c r="C79" i="7" l="1"/>
  <c r="D78" i="7"/>
  <c r="D45" i="4"/>
  <c r="C46" i="4"/>
  <c r="C5" i="7"/>
  <c r="D5" i="7" s="1"/>
  <c r="C80" i="7" l="1"/>
  <c r="C81" i="7" s="1"/>
  <c r="D79" i="7"/>
  <c r="C47" i="4"/>
  <c r="D46" i="4"/>
  <c r="G62" i="7"/>
  <c r="G69" i="7"/>
  <c r="G77" i="7"/>
  <c r="D47" i="4" l="1"/>
  <c r="C48" i="4"/>
  <c r="C49" i="4" s="1"/>
  <c r="G32" i="7"/>
  <c r="C50" i="4" l="1"/>
  <c r="D49" i="4"/>
  <c r="D48" i="4"/>
  <c r="G147" i="6"/>
  <c r="G151" i="6"/>
  <c r="C150" i="6"/>
  <c r="C151" i="6" s="1"/>
  <c r="C152" i="6" s="1"/>
  <c r="C153" i="6" s="1"/>
  <c r="D153" i="6" s="1"/>
  <c r="C146" i="6"/>
  <c r="C147" i="6" s="1"/>
  <c r="C148" i="6" s="1"/>
  <c r="C149" i="6" s="1"/>
  <c r="D149" i="6" s="1"/>
  <c r="G122" i="6"/>
  <c r="G120" i="6"/>
  <c r="C123" i="6"/>
  <c r="D50" i="4" l="1"/>
  <c r="C51" i="4"/>
  <c r="D51" i="4" s="1"/>
  <c r="G15" i="7"/>
  <c r="C52" i="4" l="1"/>
  <c r="G143" i="6"/>
  <c r="G138" i="6"/>
  <c r="G129" i="6"/>
  <c r="G124" i="6"/>
  <c r="G117" i="6"/>
  <c r="G115" i="6"/>
  <c r="G114" i="6"/>
  <c r="G113" i="6"/>
  <c r="G112" i="6"/>
  <c r="G109" i="6"/>
  <c r="G107" i="6"/>
  <c r="G106" i="6"/>
  <c r="G105" i="6"/>
  <c r="G104" i="6"/>
  <c r="G101" i="6"/>
  <c r="G99" i="6"/>
  <c r="G98" i="6"/>
  <c r="G97" i="6"/>
  <c r="G96" i="6"/>
  <c r="G93" i="6"/>
  <c r="G91" i="6"/>
  <c r="G89" i="6"/>
  <c r="G88" i="6"/>
  <c r="G85" i="6"/>
  <c r="G83" i="6"/>
  <c r="G82" i="6"/>
  <c r="G81" i="6"/>
  <c r="G80" i="6"/>
  <c r="G77" i="6"/>
  <c r="G75" i="6"/>
  <c r="G74" i="6"/>
  <c r="G73" i="6"/>
  <c r="G72" i="6"/>
  <c r="G69" i="6"/>
  <c r="G67" i="6"/>
  <c r="G66" i="6"/>
  <c r="G65" i="6"/>
  <c r="G64" i="6"/>
  <c r="G61" i="6"/>
  <c r="G59" i="6"/>
  <c r="G58" i="6"/>
  <c r="G57" i="6"/>
  <c r="G56" i="6"/>
  <c r="G53" i="6"/>
  <c r="G52" i="6"/>
  <c r="G44" i="6"/>
  <c r="G42" i="6"/>
  <c r="G41" i="6"/>
  <c r="G40" i="6"/>
  <c r="G39" i="6"/>
  <c r="G36" i="6"/>
  <c r="G34" i="6"/>
  <c r="G33" i="6"/>
  <c r="G32" i="6"/>
  <c r="G31" i="6"/>
  <c r="G28" i="6"/>
  <c r="G26" i="6"/>
  <c r="G20" i="6"/>
  <c r="G18" i="6"/>
  <c r="G17" i="6"/>
  <c r="G15" i="6"/>
  <c r="G13" i="6"/>
  <c r="G11" i="6"/>
  <c r="G10" i="6"/>
  <c r="G7" i="6"/>
  <c r="G72" i="7"/>
  <c r="G58" i="7"/>
  <c r="D150" i="6"/>
  <c r="C143" i="6"/>
  <c r="C144" i="6" s="1"/>
  <c r="C145" i="6" s="1"/>
  <c r="D145" i="6" s="1"/>
  <c r="C138" i="6"/>
  <c r="D133" i="6"/>
  <c r="C124" i="6"/>
  <c r="C119" i="6"/>
  <c r="D119" i="6" s="1"/>
  <c r="C111" i="6"/>
  <c r="C112" i="6" s="1"/>
  <c r="C103" i="6"/>
  <c r="C104" i="6" s="1"/>
  <c r="C95" i="6"/>
  <c r="C96" i="6" s="1"/>
  <c r="C87" i="6"/>
  <c r="D87" i="6" s="1"/>
  <c r="C79" i="6"/>
  <c r="C80" i="6" s="1"/>
  <c r="C71" i="6"/>
  <c r="C72" i="6" s="1"/>
  <c r="C63" i="6"/>
  <c r="C64" i="6" s="1"/>
  <c r="C46" i="6"/>
  <c r="C38" i="6"/>
  <c r="D38" i="6" s="1"/>
  <c r="C30" i="6"/>
  <c r="C29" i="6"/>
  <c r="D29" i="6" s="1"/>
  <c r="C28" i="6"/>
  <c r="D28" i="6" s="1"/>
  <c r="C23" i="6"/>
  <c r="C24" i="6" s="1"/>
  <c r="C16" i="6"/>
  <c r="C17" i="6" s="1"/>
  <c r="D17" i="6" s="1"/>
  <c r="C9" i="6"/>
  <c r="D9" i="6" s="1"/>
  <c r="C4" i="6"/>
  <c r="C3" i="6"/>
  <c r="D3" i="6" s="1"/>
  <c r="C2" i="6"/>
  <c r="D2" i="6" s="1"/>
  <c r="D103" i="7"/>
  <c r="C98" i="7"/>
  <c r="C95" i="7"/>
  <c r="C92" i="7"/>
  <c r="C93" i="7" s="1"/>
  <c r="C91" i="7"/>
  <c r="D91" i="7" s="1"/>
  <c r="G86" i="7"/>
  <c r="C86" i="7"/>
  <c r="D86" i="7" s="1"/>
  <c r="D82" i="7"/>
  <c r="D75" i="7"/>
  <c r="G68" i="7"/>
  <c r="C58" i="7"/>
  <c r="C52" i="7"/>
  <c r="C53" i="7" s="1"/>
  <c r="C45" i="7"/>
  <c r="G37" i="7"/>
  <c r="G35" i="7"/>
  <c r="C36" i="7"/>
  <c r="D31" i="7"/>
  <c r="G26" i="7"/>
  <c r="D26" i="7"/>
  <c r="C21" i="7"/>
  <c r="C22" i="7" s="1"/>
  <c r="C18" i="7"/>
  <c r="C12" i="7"/>
  <c r="C7" i="7"/>
  <c r="D7" i="7" s="1"/>
  <c r="C2" i="7"/>
  <c r="D2" i="7" s="1"/>
  <c r="D46" i="6" l="1"/>
  <c r="C47" i="6"/>
  <c r="D52" i="4"/>
  <c r="C53" i="4"/>
  <c r="D24" i="6"/>
  <c r="C25" i="6"/>
  <c r="D53" i="7"/>
  <c r="C54" i="7"/>
  <c r="D54" i="7" s="1"/>
  <c r="C23" i="7"/>
  <c r="C24" i="7" s="1"/>
  <c r="D22" i="7"/>
  <c r="D4" i="6"/>
  <c r="C5" i="6"/>
  <c r="C6" i="6" s="1"/>
  <c r="C134" i="6"/>
  <c r="C135" i="6" s="1"/>
  <c r="D98" i="7"/>
  <c r="C99" i="7"/>
  <c r="D99" i="7" s="1"/>
  <c r="D95" i="7"/>
  <c r="C96" i="7"/>
  <c r="D96" i="7" s="1"/>
  <c r="D21" i="7"/>
  <c r="D18" i="7"/>
  <c r="C19" i="7"/>
  <c r="D19" i="7" s="1"/>
  <c r="D12" i="7"/>
  <c r="C13" i="7"/>
  <c r="C87" i="7"/>
  <c r="C88" i="7" s="1"/>
  <c r="C3" i="7"/>
  <c r="D61" i="7"/>
  <c r="C62" i="7"/>
  <c r="D68" i="7"/>
  <c r="C69" i="7"/>
  <c r="C8" i="7"/>
  <c r="D8" i="7" s="1"/>
  <c r="D17" i="7"/>
  <c r="C27" i="7"/>
  <c r="C6" i="7"/>
  <c r="D6" i="7" s="1"/>
  <c r="D20" i="7"/>
  <c r="D57" i="7"/>
  <c r="C32" i="7"/>
  <c r="C33" i="7" s="1"/>
  <c r="D51" i="7"/>
  <c r="C10" i="6"/>
  <c r="D10" i="6" s="1"/>
  <c r="C39" i="6"/>
  <c r="C40" i="6" s="1"/>
  <c r="D40" i="6" s="1"/>
  <c r="C18" i="6"/>
  <c r="C19" i="6" s="1"/>
  <c r="D63" i="6"/>
  <c r="C88" i="6"/>
  <c r="C89" i="6" s="1"/>
  <c r="C90" i="6" s="1"/>
  <c r="D16" i="6"/>
  <c r="D27" i="6"/>
  <c r="C56" i="6"/>
  <c r="D56" i="6" s="1"/>
  <c r="D95" i="6"/>
  <c r="C120" i="6"/>
  <c r="D152" i="6"/>
  <c r="D23" i="6"/>
  <c r="C31" i="6"/>
  <c r="D30" i="6"/>
  <c r="C81" i="6"/>
  <c r="D80" i="6"/>
  <c r="D104" i="6"/>
  <c r="C105" i="6"/>
  <c r="C130" i="6"/>
  <c r="D138" i="6"/>
  <c r="C139" i="6"/>
  <c r="D147" i="6"/>
  <c r="D148" i="6"/>
  <c r="D64" i="6"/>
  <c r="C65" i="6"/>
  <c r="D96" i="6"/>
  <c r="C97" i="6"/>
  <c r="D72" i="6"/>
  <c r="C73" i="6"/>
  <c r="C113" i="6"/>
  <c r="D112" i="6"/>
  <c r="D124" i="6"/>
  <c r="C125" i="6"/>
  <c r="D144" i="6"/>
  <c r="D143" i="6"/>
  <c r="D71" i="6"/>
  <c r="D103" i="6"/>
  <c r="D123" i="6"/>
  <c r="D137" i="6"/>
  <c r="D146" i="6"/>
  <c r="D79" i="6"/>
  <c r="D111" i="6"/>
  <c r="D142" i="6"/>
  <c r="D93" i="7"/>
  <c r="C94" i="7"/>
  <c r="D94" i="7" s="1"/>
  <c r="C37" i="7"/>
  <c r="D36" i="7"/>
  <c r="D45" i="7"/>
  <c r="C46" i="7"/>
  <c r="C47" i="7" s="1"/>
  <c r="C48" i="7" s="1"/>
  <c r="C49" i="7" s="1"/>
  <c r="C50" i="7" s="1"/>
  <c r="D58" i="7"/>
  <c r="C59" i="7"/>
  <c r="D52" i="7"/>
  <c r="D11" i="7"/>
  <c r="D35" i="7"/>
  <c r="C83" i="7"/>
  <c r="D90" i="7"/>
  <c r="D92" i="7"/>
  <c r="D97" i="7"/>
  <c r="D100" i="7"/>
  <c r="D47" i="6" l="1"/>
  <c r="C48" i="6"/>
  <c r="C54" i="4"/>
  <c r="D53" i="4"/>
  <c r="D48" i="7"/>
  <c r="D27" i="7"/>
  <c r="C28" i="7"/>
  <c r="D13" i="7"/>
  <c r="C14" i="7"/>
  <c r="D14" i="7" s="1"/>
  <c r="C41" i="6"/>
  <c r="C42" i="6" s="1"/>
  <c r="D25" i="6"/>
  <c r="C26" i="6"/>
  <c r="D26" i="6" s="1"/>
  <c r="D47" i="7"/>
  <c r="D24" i="7"/>
  <c r="D23" i="7"/>
  <c r="C55" i="7"/>
  <c r="D55" i="7" s="1"/>
  <c r="C7" i="6"/>
  <c r="D6" i="6"/>
  <c r="D5" i="6"/>
  <c r="D87" i="7"/>
  <c r="D135" i="6"/>
  <c r="C136" i="6"/>
  <c r="D136" i="6" s="1"/>
  <c r="D39" i="6"/>
  <c r="D134" i="6"/>
  <c r="C11" i="6"/>
  <c r="D11" i="6" s="1"/>
  <c r="D101" i="7"/>
  <c r="D102" i="7"/>
  <c r="D89" i="6"/>
  <c r="D88" i="6"/>
  <c r="C57" i="6"/>
  <c r="D57" i="6" s="1"/>
  <c r="D88" i="7"/>
  <c r="C89" i="7"/>
  <c r="D89" i="7" s="1"/>
  <c r="D59" i="7"/>
  <c r="C60" i="7"/>
  <c r="D60" i="7" s="1"/>
  <c r="D33" i="7"/>
  <c r="C34" i="7"/>
  <c r="D34" i="7" s="1"/>
  <c r="C9" i="7"/>
  <c r="C10" i="7" s="1"/>
  <c r="D10" i="7" s="1"/>
  <c r="D3" i="7"/>
  <c r="C4" i="7"/>
  <c r="D4" i="7" s="1"/>
  <c r="D62" i="7"/>
  <c r="C63" i="7"/>
  <c r="C64" i="7" s="1"/>
  <c r="D64" i="7" s="1"/>
  <c r="C70" i="7"/>
  <c r="C71" i="7" s="1"/>
  <c r="D69" i="7"/>
  <c r="D77" i="7"/>
  <c r="D76" i="7"/>
  <c r="D32" i="7"/>
  <c r="C121" i="6"/>
  <c r="C122" i="6" s="1"/>
  <c r="D122" i="6" s="1"/>
  <c r="D151" i="6"/>
  <c r="D18" i="6"/>
  <c r="D120" i="6"/>
  <c r="C98" i="6"/>
  <c r="D97" i="6"/>
  <c r="D90" i="6"/>
  <c r="C91" i="6"/>
  <c r="D31" i="6"/>
  <c r="C32" i="6"/>
  <c r="C126" i="6"/>
  <c r="D125" i="6"/>
  <c r="C140" i="6"/>
  <c r="D139" i="6"/>
  <c r="D105" i="6"/>
  <c r="C106" i="6"/>
  <c r="C66" i="6"/>
  <c r="D65" i="6"/>
  <c r="D73" i="6"/>
  <c r="C74" i="6"/>
  <c r="D113" i="6"/>
  <c r="C114" i="6"/>
  <c r="C20" i="6"/>
  <c r="D19" i="6"/>
  <c r="D130" i="6"/>
  <c r="C131" i="6"/>
  <c r="D81" i="6"/>
  <c r="C82" i="6"/>
  <c r="D46" i="7"/>
  <c r="D83" i="7"/>
  <c r="C84" i="7"/>
  <c r="D37" i="7"/>
  <c r="C38" i="7"/>
  <c r="C56" i="7" l="1"/>
  <c r="D56" i="7" s="1"/>
  <c r="C49" i="6"/>
  <c r="C50" i="6" s="1"/>
  <c r="D48" i="6"/>
  <c r="D41" i="6"/>
  <c r="D126" i="6"/>
  <c r="C127" i="6"/>
  <c r="D127" i="6" s="1"/>
  <c r="D54" i="4"/>
  <c r="C55" i="4"/>
  <c r="C29" i="7"/>
  <c r="D29" i="7" s="1"/>
  <c r="D28" i="7"/>
  <c r="D49" i="7"/>
  <c r="C8" i="6"/>
  <c r="D8" i="6" s="1"/>
  <c r="D7" i="6"/>
  <c r="D140" i="6"/>
  <c r="C141" i="6"/>
  <c r="D141" i="6" s="1"/>
  <c r="C58" i="6"/>
  <c r="D58" i="6" s="1"/>
  <c r="D131" i="6"/>
  <c r="C132" i="6"/>
  <c r="D132" i="6" s="1"/>
  <c r="C12" i="6"/>
  <c r="D12" i="6" s="1"/>
  <c r="D9" i="7"/>
  <c r="C65" i="7"/>
  <c r="C66" i="7" s="1"/>
  <c r="C67" i="7" s="1"/>
  <c r="D70" i="7"/>
  <c r="D63" i="7"/>
  <c r="D121" i="6"/>
  <c r="C43" i="6"/>
  <c r="D42" i="6"/>
  <c r="D114" i="6"/>
  <c r="C115" i="6"/>
  <c r="C107" i="6"/>
  <c r="D106" i="6"/>
  <c r="C83" i="6"/>
  <c r="D82" i="6"/>
  <c r="C75" i="6"/>
  <c r="D74" i="6"/>
  <c r="D32" i="6"/>
  <c r="C33" i="6"/>
  <c r="C92" i="6"/>
  <c r="D91" i="6"/>
  <c r="D20" i="6"/>
  <c r="C21" i="6"/>
  <c r="D66" i="6"/>
  <c r="C67" i="6"/>
  <c r="C99" i="6"/>
  <c r="D98" i="6"/>
  <c r="C85" i="7"/>
  <c r="D85" i="7" s="1"/>
  <c r="D84" i="7"/>
  <c r="C39" i="7"/>
  <c r="C40" i="7" s="1"/>
  <c r="C41" i="7" s="1"/>
  <c r="C42" i="7" s="1"/>
  <c r="D42" i="7" s="1"/>
  <c r="D38" i="7"/>
  <c r="C72" i="7"/>
  <c r="D71" i="7"/>
  <c r="C51" i="6" l="1"/>
  <c r="D50" i="6"/>
  <c r="D49" i="6"/>
  <c r="C13" i="6"/>
  <c r="C14" i="6" s="1"/>
  <c r="D14" i="6" s="1"/>
  <c r="C56" i="4"/>
  <c r="D55" i="4"/>
  <c r="C30" i="7"/>
  <c r="D30" i="7" s="1"/>
  <c r="D50" i="7"/>
  <c r="D66" i="7"/>
  <c r="D40" i="7"/>
  <c r="D41" i="7"/>
  <c r="C59" i="6"/>
  <c r="D59" i="6" s="1"/>
  <c r="D80" i="7"/>
  <c r="D81" i="7"/>
  <c r="D65" i="7"/>
  <c r="D39" i="7"/>
  <c r="C22" i="6"/>
  <c r="D22" i="6" s="1"/>
  <c r="D21" i="6"/>
  <c r="C34" i="6"/>
  <c r="D33" i="6"/>
  <c r="D99" i="6"/>
  <c r="C100" i="6"/>
  <c r="C116" i="6"/>
  <c r="D115" i="6"/>
  <c r="C84" i="6"/>
  <c r="D83" i="6"/>
  <c r="D67" i="6"/>
  <c r="C68" i="6"/>
  <c r="C93" i="6"/>
  <c r="D92" i="6"/>
  <c r="C76" i="6"/>
  <c r="D75" i="6"/>
  <c r="C108" i="6"/>
  <c r="D107" i="6"/>
  <c r="C44" i="6"/>
  <c r="D43" i="6"/>
  <c r="D72" i="7"/>
  <c r="C73" i="7"/>
  <c r="C15" i="6" l="1"/>
  <c r="D15" i="6" s="1"/>
  <c r="C52" i="6"/>
  <c r="C53" i="6" s="1"/>
  <c r="C54" i="6" s="1"/>
  <c r="D54" i="6" s="1"/>
  <c r="D51" i="6"/>
  <c r="D13" i="6"/>
  <c r="C57" i="4"/>
  <c r="C58" i="4" s="1"/>
  <c r="D56" i="4"/>
  <c r="D67" i="7"/>
  <c r="C60" i="6"/>
  <c r="C61" i="6" s="1"/>
  <c r="D73" i="7"/>
  <c r="C74" i="7"/>
  <c r="D74" i="7" s="1"/>
  <c r="C101" i="6"/>
  <c r="D100" i="6"/>
  <c r="D44" i="6"/>
  <c r="C45" i="6"/>
  <c r="D45" i="6" s="1"/>
  <c r="D108" i="6"/>
  <c r="C109" i="6"/>
  <c r="D93" i="6"/>
  <c r="C94" i="6"/>
  <c r="D94" i="6" s="1"/>
  <c r="C85" i="6"/>
  <c r="D84" i="6"/>
  <c r="C69" i="6"/>
  <c r="D68" i="6"/>
  <c r="D76" i="6"/>
  <c r="C77" i="6"/>
  <c r="C117" i="6"/>
  <c r="D116" i="6"/>
  <c r="C35" i="6"/>
  <c r="D34" i="6"/>
  <c r="D53" i="6" l="1"/>
  <c r="D52" i="6"/>
  <c r="D60" i="6"/>
  <c r="D58" i="4"/>
  <c r="C59" i="4"/>
  <c r="D57" i="4"/>
  <c r="C78" i="6"/>
  <c r="D78" i="6" s="1"/>
  <c r="D77" i="6"/>
  <c r="C110" i="6"/>
  <c r="D110" i="6" s="1"/>
  <c r="D109" i="6"/>
  <c r="D85" i="6"/>
  <c r="C86" i="6"/>
  <c r="D86" i="6" s="1"/>
  <c r="D61" i="6"/>
  <c r="C62" i="6"/>
  <c r="D62" i="6" s="1"/>
  <c r="D35" i="6"/>
  <c r="C36" i="6"/>
  <c r="D117" i="6"/>
  <c r="C118" i="6"/>
  <c r="D118" i="6" s="1"/>
  <c r="C70" i="6"/>
  <c r="D70" i="6" s="1"/>
  <c r="D69" i="6"/>
  <c r="C102" i="6"/>
  <c r="D102" i="6" s="1"/>
  <c r="D101" i="6"/>
  <c r="D4" i="1"/>
  <c r="G9" i="1" s="1"/>
  <c r="D59" i="4" l="1"/>
  <c r="C60" i="4"/>
  <c r="G107" i="7"/>
  <c r="G56" i="7"/>
  <c r="G103" i="7"/>
  <c r="G99" i="7"/>
  <c r="G74" i="7"/>
  <c r="G50" i="7"/>
  <c r="G105" i="7"/>
  <c r="G96" i="7"/>
  <c r="G81" i="7"/>
  <c r="G67" i="7"/>
  <c r="G41" i="7"/>
  <c r="G102" i="7"/>
  <c r="G89" i="7"/>
  <c r="G60" i="7"/>
  <c r="G34" i="7"/>
  <c r="G4" i="7"/>
  <c r="G23" i="7"/>
  <c r="G19" i="7"/>
  <c r="G13" i="7"/>
  <c r="G30" i="7"/>
  <c r="G16" i="7"/>
  <c r="G10" i="7"/>
  <c r="G13" i="1"/>
  <c r="G12" i="1"/>
  <c r="C37" i="6"/>
  <c r="D37" i="6" s="1"/>
  <c r="D36" i="6"/>
  <c r="G14" i="1"/>
  <c r="G11" i="1"/>
  <c r="G10" i="1"/>
  <c r="J1" i="6"/>
  <c r="J1" i="7"/>
  <c r="G15" i="1"/>
  <c r="J1" i="4"/>
  <c r="D19" i="1"/>
  <c r="D13" i="1" s="1"/>
  <c r="G6" i="1"/>
  <c r="G7" i="1"/>
  <c r="J3" i="6" l="1"/>
  <c r="J4" i="6"/>
  <c r="J8" i="6"/>
  <c r="J9" i="6"/>
  <c r="J6" i="6"/>
  <c r="J10" i="6"/>
  <c r="J7" i="6"/>
  <c r="J2" i="6"/>
  <c r="J5" i="6"/>
  <c r="J3" i="4"/>
  <c r="J7" i="4"/>
  <c r="J2" i="4"/>
  <c r="J6" i="4"/>
  <c r="J4" i="4"/>
  <c r="J8" i="4"/>
  <c r="J9" i="4"/>
  <c r="J10" i="4"/>
  <c r="J5" i="4"/>
  <c r="J6" i="7"/>
  <c r="J2" i="7"/>
  <c r="J4" i="7"/>
  <c r="J5" i="7"/>
  <c r="J3" i="7"/>
  <c r="J7" i="7"/>
  <c r="J9" i="7"/>
  <c r="J8" i="7"/>
  <c r="C61" i="4"/>
  <c r="D60" i="4"/>
  <c r="F19" i="1"/>
  <c r="C62" i="4" l="1"/>
  <c r="C63" i="4" s="1"/>
  <c r="D61" i="4"/>
  <c r="K9" i="7"/>
  <c r="M9" i="7"/>
  <c r="L9" i="7"/>
  <c r="M8" i="7"/>
  <c r="K8" i="7"/>
  <c r="L8" i="7"/>
  <c r="K4" i="7"/>
  <c r="D63" i="4" l="1"/>
  <c r="C64" i="4"/>
  <c r="D62" i="4"/>
  <c r="M7" i="7"/>
  <c r="L6" i="7"/>
  <c r="K7" i="7"/>
  <c r="L4" i="7"/>
  <c r="K3" i="7"/>
  <c r="M6" i="7"/>
  <c r="K5" i="7"/>
  <c r="M2" i="7"/>
  <c r="K2" i="7"/>
  <c r="M4" i="7"/>
  <c r="L5" i="7"/>
  <c r="L7" i="7"/>
  <c r="M3" i="7"/>
  <c r="K6" i="7"/>
  <c r="M5" i="7"/>
  <c r="I1" i="7"/>
  <c r="L3" i="7"/>
  <c r="L2" i="7"/>
  <c r="D64" i="4" l="1"/>
  <c r="C65" i="4"/>
  <c r="C66" i="4" s="1"/>
  <c r="D66" i="4" s="1"/>
  <c r="G25" i="1"/>
  <c r="G24" i="1"/>
  <c r="D24" i="1"/>
  <c r="D25" i="1"/>
  <c r="F25" i="1" s="1"/>
  <c r="C67" i="4" l="1"/>
  <c r="D65" i="4"/>
  <c r="F24" i="1"/>
  <c r="C68" i="4" l="1"/>
  <c r="D67" i="4"/>
  <c r="M2" i="4"/>
  <c r="L2" i="4"/>
  <c r="K2" i="4"/>
  <c r="M7" i="6"/>
  <c r="L9" i="6"/>
  <c r="M10" i="6"/>
  <c r="M9" i="6"/>
  <c r="K9" i="6"/>
  <c r="K10" i="6"/>
  <c r="L10" i="6"/>
  <c r="M8" i="6"/>
  <c r="L3" i="6"/>
  <c r="M2" i="6"/>
  <c r="L4" i="6"/>
  <c r="K7" i="6"/>
  <c r="M5" i="6"/>
  <c r="M6" i="6"/>
  <c r="L5" i="6"/>
  <c r="K2" i="6"/>
  <c r="L2" i="6"/>
  <c r="L6" i="6"/>
  <c r="K8" i="6"/>
  <c r="M4" i="6"/>
  <c r="K5" i="6"/>
  <c r="M3" i="6"/>
  <c r="L8" i="6"/>
  <c r="K6" i="6"/>
  <c r="K4" i="6"/>
  <c r="L7" i="6"/>
  <c r="K3" i="6"/>
  <c r="I1" i="6"/>
  <c r="M3" i="4"/>
  <c r="K3" i="4"/>
  <c r="L4" i="4"/>
  <c r="L3" i="4"/>
  <c r="M4" i="4"/>
  <c r="K4" i="4"/>
  <c r="D68" i="4" l="1"/>
  <c r="L6" i="4" s="1"/>
  <c r="I1" i="4"/>
  <c r="G22" i="1"/>
  <c r="D22" i="1"/>
  <c r="F22" i="1" s="1"/>
  <c r="D23" i="1"/>
  <c r="F23" i="1" s="1"/>
  <c r="G23" i="1"/>
  <c r="K6" i="4" l="1"/>
  <c r="K9" i="4"/>
  <c r="M9" i="4"/>
  <c r="K8" i="4"/>
  <c r="L5" i="4"/>
  <c r="L8" i="4"/>
  <c r="M5" i="4"/>
  <c r="K10" i="4"/>
  <c r="M10" i="4"/>
  <c r="M6" i="4"/>
  <c r="L9" i="4"/>
  <c r="L7" i="4"/>
  <c r="M8" i="4"/>
  <c r="M7" i="4"/>
  <c r="K7" i="4"/>
  <c r="K5" i="4"/>
  <c r="L10" i="4"/>
  <c r="G20" i="1" l="1"/>
  <c r="D20" i="1"/>
  <c r="G21" i="1"/>
  <c r="D21" i="1"/>
  <c r="F21" i="1" s="1"/>
  <c r="D12" i="1" l="1"/>
  <c r="D15" i="1"/>
  <c r="F20" i="1"/>
</calcChain>
</file>

<file path=xl/sharedStrings.xml><?xml version="1.0" encoding="utf-8"?>
<sst xmlns="http://schemas.openxmlformats.org/spreadsheetml/2006/main" count="1361" uniqueCount="365">
  <si>
    <t>Bin</t>
  </si>
  <si>
    <t xml:space="preserve">Cuota manejo </t>
  </si>
  <si>
    <t>Descripcion</t>
  </si>
  <si>
    <t>Costo</t>
  </si>
  <si>
    <t>Conteo</t>
  </si>
  <si>
    <t>Concatenar</t>
  </si>
  <si>
    <t>Valor Mensual</t>
  </si>
  <si>
    <t>E-CARD</t>
  </si>
  <si>
    <t>MASTER JOVEN</t>
  </si>
  <si>
    <t>AMEX BLUE</t>
  </si>
  <si>
    <t>VISA SELECCIÓN</t>
  </si>
  <si>
    <t>VISA CLASICA</t>
  </si>
  <si>
    <t>MASTER CLASICA</t>
  </si>
  <si>
    <t>VISA EMPRESARIAL</t>
  </si>
  <si>
    <t>LIFEMILES PERSONAS</t>
  </si>
  <si>
    <t>AMEX GREEN</t>
  </si>
  <si>
    <t>MASTER ORO</t>
  </si>
  <si>
    <t>AMEX LIBRE</t>
  </si>
  <si>
    <t>AMEX PLATINUM</t>
  </si>
  <si>
    <t>AMEX ORO</t>
  </si>
  <si>
    <t>VISA PLATINUM</t>
  </si>
  <si>
    <t>VISA INFINITE</t>
  </si>
  <si>
    <t>MASTER PLATINUM</t>
  </si>
  <si>
    <t>MASTER BLACK</t>
  </si>
  <si>
    <t>LIFEMILES MICROPYME</t>
  </si>
  <si>
    <t>LIFEMILES PYME</t>
  </si>
  <si>
    <t>MASTERCARD IDEAL</t>
  </si>
  <si>
    <t xml:space="preserve">Tarjeta de credito </t>
  </si>
  <si>
    <t>Basicas</t>
  </si>
  <si>
    <t>Clasicas</t>
  </si>
  <si>
    <t>Oro</t>
  </si>
  <si>
    <t>Platinum</t>
  </si>
  <si>
    <t>Affluent</t>
  </si>
  <si>
    <t>Marca Compartida</t>
  </si>
  <si>
    <t>Pyme</t>
  </si>
  <si>
    <t>Empresas</t>
  </si>
  <si>
    <t>MASTERCARD EMPRESARIAL CTA</t>
  </si>
  <si>
    <t>Categoria</t>
  </si>
  <si>
    <t>Tarjeta</t>
  </si>
  <si>
    <t xml:space="preserve">Cupo </t>
  </si>
  <si>
    <t xml:space="preserve">Acumulacion de puntos </t>
  </si>
  <si>
    <t xml:space="preserve">Franquicia </t>
  </si>
  <si>
    <t>Moneda de Facturacion</t>
  </si>
  <si>
    <t>Desde $70.000 hasta $10.000.000.</t>
  </si>
  <si>
    <t>Pesos(COP) / Dólar (USD)</t>
  </si>
  <si>
    <t>6 Puntos Colombia por cada $6.600 en compras</t>
  </si>
  <si>
    <t>Mastercard</t>
  </si>
  <si>
    <t>Seguro Proteccion de Compras</t>
  </si>
  <si>
    <t>No aplica</t>
  </si>
  <si>
    <t>Seguro</t>
  </si>
  <si>
    <t>Asistencia</t>
  </si>
  <si>
    <t>Desde $200.000 hasta $1.750.000.</t>
  </si>
  <si>
    <t xml:space="preserve">No acumula puntos </t>
  </si>
  <si>
    <t>Pesos(COP) / Dólar (USD).</t>
  </si>
  <si>
    <t>-</t>
  </si>
  <si>
    <t>Desde $200.000 hasta $5.000.000.</t>
  </si>
  <si>
    <t>6 Puntos Colombia por cada $6.600 en compras.</t>
  </si>
  <si>
    <t>Servicios Medicos</t>
  </si>
  <si>
    <t>desde $400.000 hasta $4.900.000.</t>
  </si>
  <si>
    <t>Desde $400.000 hasta $10.000.000.</t>
  </si>
  <si>
    <t>Desde $400.000 hasta $4.900.000.</t>
  </si>
  <si>
    <t>Desde $700.000 hasta $4.900.000.</t>
  </si>
  <si>
    <t>6 Puntos Colombia por cada 6.600 en compras.</t>
  </si>
  <si>
    <t>Visa</t>
  </si>
  <si>
    <t>American Express</t>
  </si>
  <si>
    <t>Pesos(COP).</t>
  </si>
  <si>
    <t xml:space="preserve">Seguro de Viaje </t>
  </si>
  <si>
    <t>Envío y pago de técnicos para Servicios de Emergencia</t>
  </si>
  <si>
    <t xml:space="preserve">Demora o perdida equipaje </t>
  </si>
  <si>
    <t>Beneficios</t>
  </si>
  <si>
    <t>Puedes realizar transacciones de compra internacionales física y virtual (como Uber, Spotify o plataformas virtuales que se comportan como internacionales</t>
  </si>
  <si>
    <t>Aumenta rápidamente la calificación crediticia al realizar los pagos puntualmente</t>
  </si>
  <si>
    <t>Descripcion Beneficios</t>
  </si>
  <si>
    <t>Escoge la tarjeta de crédito</t>
  </si>
  <si>
    <t>Detalle</t>
  </si>
  <si>
    <t>Categorias</t>
  </si>
  <si>
    <t>Seleccionar</t>
  </si>
  <si>
    <t>Ingreso a Salas VIP</t>
  </si>
  <si>
    <t xml:space="preserve">Beneficio </t>
  </si>
  <si>
    <t>Alianza Aeropost</t>
  </si>
  <si>
    <t>Descuento en Restaurantes</t>
  </si>
  <si>
    <t xml:space="preserve">Preventa en Boletas </t>
  </si>
  <si>
    <t>No Aplica</t>
  </si>
  <si>
    <t>Compras fisicas y Virtuales</t>
  </si>
  <si>
    <t xml:space="preserve">Historial Crediticio </t>
  </si>
  <si>
    <t>2X1 Cine Colombia</t>
  </si>
  <si>
    <t>2X1 Cinemark</t>
  </si>
  <si>
    <t>Desde $5.000.000 hasta $50.000.000.</t>
  </si>
  <si>
    <t>Desde $3.000.000 hasta $15.000.000</t>
  </si>
  <si>
    <t>6 Puntos Colombia por cada $4.800 en compras</t>
  </si>
  <si>
    <t>Pesos(COP)</t>
  </si>
  <si>
    <t>Recibe 10.720 Puntos Colombia por facturación mínima de $2.000.000 durante los 6 primeros meses</t>
  </si>
  <si>
    <t>50% de descuento en la cuota de manejo</t>
  </si>
  <si>
    <t>Descuento en Hoteles</t>
  </si>
  <si>
    <t>Descuento Visa Days</t>
  </si>
  <si>
    <t xml:space="preserve">Puntos Colombia por facturacion </t>
  </si>
  <si>
    <t>Descuento Cuota de Manejo</t>
  </si>
  <si>
    <t>Seguro Garantia Extendida</t>
  </si>
  <si>
    <t xml:space="preserve">Seguro de Auto Rentado </t>
  </si>
  <si>
    <t>Ingresa 2 veces al año a la sala VIP del aeropuerto internacional El Dorado, en Bogotá.</t>
  </si>
  <si>
    <t>6 Puntos Colombia por cada $3.300 en compras.</t>
  </si>
  <si>
    <t>Desde $10.000.000 hasta $200.000.000.</t>
  </si>
  <si>
    <t>Espera cómodamente los vuelos en la sala VIP Amex del aeropuerto El Dorado de Bogotá. 2 Ingresos al año gratis</t>
  </si>
  <si>
    <t>Acceso al Bar Amex en el Movistar Arena. 2x1 en cócteles o una picada para compartir para 2 personas sin cargo adicional a la Tarjeta comprando una botella de licor. (Bogota)</t>
  </si>
  <si>
    <t xml:space="preserve">Ingreso a Sala VIP Aeropuerto el Dorado </t>
  </si>
  <si>
    <t xml:space="preserve">Movistar Arena </t>
  </si>
  <si>
    <t xml:space="preserve">Reservas en Restaurantes, Viajes y eventos </t>
  </si>
  <si>
    <t>Asesoria de un Concierge</t>
  </si>
  <si>
    <t>Seguro Proteccion de Precios</t>
  </si>
  <si>
    <t>6 Puntos Colombia por cada $3.300 en compras
Además, recibe acumulación doble de puntos por compras internacionales</t>
  </si>
  <si>
    <t>Desde $10.000.000 hasta $300.000.000.</t>
  </si>
  <si>
    <t>Desde $15.000.000 hasta $300.000.000.</t>
  </si>
  <si>
    <t>Acceso al Bar Amex en el Movistar Arena. 2x1 en cócteles o una picada para compartir para (2) dos personas sin cargo adicional a la Tarjeta comprando una botella de licor de la carta.</t>
  </si>
  <si>
    <t>Acceso a Salas VIP Aeropuertos</t>
  </si>
  <si>
    <t xml:space="preserve">Acceso Movistar Arena </t>
  </si>
  <si>
    <t xml:space="preserve">Wifi Boingo </t>
  </si>
  <si>
    <t>Seguro por Robo en Cajeros</t>
  </si>
  <si>
    <t>Acumula hasta 2 millas LifeMiles por cada dólar en compras.</t>
  </si>
  <si>
    <t>Acumula 6 Puntos Colombia por cada $4.800 en compras nacionales e internacionales.</t>
  </si>
  <si>
    <t>Desde $400.000 hasta $50.000.000.</t>
  </si>
  <si>
    <t>Millas Lifemiles por facturacion</t>
  </si>
  <si>
    <t>Acumula Millas Lifemiles en Compras</t>
  </si>
  <si>
    <t>Membresía Priority Pass para la tarjeta de credito Pyme con (2) entradas gratuitas al año para el titular.</t>
  </si>
  <si>
    <t>Acumula 1 LifeMile por cada 2 dólares en compras. LifeMiles adicionales por compras en canales Avianca.</t>
  </si>
  <si>
    <t>Acumula 1 LifeMile por cada 1,5 dólares en compras. LifeMiles adicionales por compras en canales Avianca</t>
  </si>
  <si>
    <t>Acumula 6 Puntos Colombia por cada $11.400 en compras nacionales e internacionales.</t>
  </si>
  <si>
    <t>Desde 500.000 Hasta 500.000.000.</t>
  </si>
  <si>
    <t>Acumula 6 puntos por cada 11.400 en compras</t>
  </si>
  <si>
    <t>Desde 500.000 Hasta 850.000.000</t>
  </si>
  <si>
    <t>Exoneración de cuota de manejo durante los primeros 6 meses.</t>
  </si>
  <si>
    <t>Sobrecupo</t>
  </si>
  <si>
    <t xml:space="preserve">Exoneracion Cuota Manejo </t>
  </si>
  <si>
    <t>Capacitacion Tecnica Agro</t>
  </si>
  <si>
    <t xml:space="preserve">Asesoria en Vacunacion </t>
  </si>
  <si>
    <t>Uso indebido de la tarjeta</t>
  </si>
  <si>
    <t>Proteccion Compras Agricolas</t>
  </si>
  <si>
    <t>Avances</t>
  </si>
  <si>
    <t>Disfruta un 30% de descuento* en más de 200 restaurantes y sin reservas.*Aplica términos y condiciones. Ejemplo una comida para dos personas promedio plato $60.000</t>
  </si>
  <si>
    <t>Wifi ilimitado y gratuito en más de un millón de sitios en el mundo a través de Boingo. Ejemplo costo mes</t>
  </si>
  <si>
    <t xml:space="preserve">MASTER SUFI </t>
  </si>
  <si>
    <t>10% adicional al cupo</t>
  </si>
  <si>
    <t>20% adicional al cupo</t>
  </si>
  <si>
    <t>Servicio VIP y descuentos exclusivos en más de 900 hoteles alrededor del mundo con el programa Luxury Hotel Collection. Ejemplo dependiendo cada hotel tienen del 10% al 20% de descuento. Promedio costo noche $200 Usd.</t>
  </si>
  <si>
    <t>Recibe el servicio VIP en más de 900 hoteles exclusivos en todo el mundo con el programa Luxury Hotel Collection. Ejemplo dependiendo cada hotel tienen del 10% al 20% de descuento. Promedio costo noche $200 Usd.</t>
  </si>
  <si>
    <t>Servicio Global Service</t>
  </si>
  <si>
    <t xml:space="preserve">Servicios Medicos </t>
  </si>
  <si>
    <t>Asistencia digital Concierge</t>
  </si>
  <si>
    <t>Asistencia Grua para Vehiculo</t>
  </si>
  <si>
    <t>Asistencia Tecnica para Vehiculo</t>
  </si>
  <si>
    <t xml:space="preserve">Asistencia Emergencia Hogar </t>
  </si>
  <si>
    <t>Asistencia Hogar por inhabitabilidad</t>
  </si>
  <si>
    <t>Asistencia Hogar- Vigilancia</t>
  </si>
  <si>
    <t>Envío y pago de grúa para trasladar el vehículo al concesionario o taller más cercano. Hasta USD 200 o 3 eventos.</t>
  </si>
  <si>
    <t>5 días de vigilancia por inhabitabilidad de la vivienda. Cobertura de USD 100 / Por día / Máx 5 días y 2 eventos al año.</t>
  </si>
  <si>
    <t>Conoce el mundo rodeado de estilo y confort gracias a convenios con más de 3.000 hoteles. Ejemplo: En promerdio una noche por persona cuesta $100.000 si se hospeda con su pareja durante 3 noches y con un descuento hasta del 20%.</t>
  </si>
  <si>
    <t>Paga el costo total del producto y si ves un precio menor por el mismo, en los 45 días siguientes a la compra, se te reembolsará la diferencia. El cubrimiento es USD 100 por incidente, hasta USD 200 al año</t>
  </si>
  <si>
    <t xml:space="preserve">Gastos Odontologicos y farmaceuticos </t>
  </si>
  <si>
    <t>Envío y pago de grúa para trasladar el vehículo al concesionario o taller más cercano. Hasta USD 350 ilimitado por eventos.</t>
  </si>
  <si>
    <t>Envío y pago de grúa para trasladar el vehículo al concesionario o taller más cercano. Hasta USD 300 /3 eventos</t>
  </si>
  <si>
    <t>Envío y pago de grúa para trasladar el vehículo al concesionario o taller más cercano. Hasta USD 300 / ilimitado por eventos</t>
  </si>
  <si>
    <t>Global Service MasterCard Global Service™ brinda asistencia en todo el mundo, las 24 horas del día, con Informes deTarjetas Perdidas y Robadas, Reemplazo con Tarjeta de Emergencia y Anticipo de Efectivo deEmergencia.</t>
  </si>
  <si>
    <t>Servicios médicos por enfermedad de hasta USD 35.000, traslados y hospedajes médicos internacionales  por viajes de estudio de hasta 90 días.</t>
  </si>
  <si>
    <t>Envío y pago de grúa para trasladar el vehículo al concesionario o taller más cercano. Hasta USD 350 / ilimitado por eventos</t>
  </si>
  <si>
    <t xml:space="preserve">Disfrute en los hoteles más lujosos del mundo y obtenga descuentos con el programa FINE HOTELS &amp; RESORTS.  Cada hotel adicionalmente le ofrecerá un servicio único valorado en $ 100, que puede incluir cualquier cosa, desde un crédito de spa hasta un crédito de comida y bebida. </t>
  </si>
  <si>
    <t>Envío y pago de grúa para trasladar el vehículo al concesionario o taller más cercano. Hasta USD 350 ilimitado por eventos</t>
  </si>
  <si>
    <t>Servicio VIP en mas de 900 Hoteles</t>
  </si>
  <si>
    <t>Demora o Cancelacion en Viajes</t>
  </si>
  <si>
    <t>Demora o Perdida de Equipaje</t>
  </si>
  <si>
    <t>Si sufres un robo o asalto inmediatamente después de haber usado el cajero automático con tu tarjeta, se te repondrá el dinero robado hasta un máximo de USD 1.000 por incidente.</t>
  </si>
  <si>
    <t>Cuando alquilas un carro, puedes obtener una cobertura de hasta USD 75.000.</t>
  </si>
  <si>
    <t>Asesoria Juridica Telefonica en caso de Accidente</t>
  </si>
  <si>
    <t>Asesoría legal Telefonica inmediata en razón a un Accidente automovilístico en el Vehículo de propiedad del Beneficiario</t>
  </si>
  <si>
    <t xml:space="preserve">5 Noches de hotel por problemas para habitar la vivienda. Cobertura de USD 100 / Por noche y por beneficiario / Máx 5 noches y 4 beneficiarios. Dos eventos al año </t>
  </si>
  <si>
    <t>Gastos de traslado y estadia acompañante en Caso de Emergencia en el exterior</t>
  </si>
  <si>
    <t>Seguro de protección de compras por robo o daño accidental, con una cobertura de hasta USD 100 y un máximo anual de USD 200. cobertura hasta 45 días después de la compra.</t>
  </si>
  <si>
    <t>Seguro de protección de compras por robo o daño accidental, con una cobertura de hasta USD 100 y un máximo anual de USD 200. cobertura hasta 45 días después de la compra</t>
  </si>
  <si>
    <t xml:space="preserve">Indemnización por pérdida accidental de la vida o desmembramiento ocurrido en transporte
público hasta un máximo de USD 75.000. </t>
  </si>
  <si>
    <t>Paga el costo total del producto con tu Tarjeta de crédito Visa y si ves un precio menor por el mismo, en los 30 días siguientes a la compra, se te reembolsará la diferencia. Recibe hasta USD 200 al año</t>
  </si>
  <si>
    <t>Daños accidentales o robo durante  (45) días a partir de la fecha de compra. La cobertura alcanza los USD 100 por incidente y contempla un total de USD 200 anuales.</t>
  </si>
  <si>
    <t>Daños accidentales o robo durante  (45) días a partir de la fecha de compra. La cobertura alcanza los USD 200 por incidente y contempla un total de USD 400 anuales.</t>
  </si>
  <si>
    <t>Extiende hasta por un año el periodo de reparación gratuita otorgado por la tienda o por el fabricante original de un producto, con una cobertura de USD 200 por incidente y hasta USD 400 por año</t>
  </si>
  <si>
    <t xml:space="preserve">Paga el costo total del producto y si ves un precio menor por el mismo, en los 30 días siguientes a la compra, se te reembolsará la diferencia con una cobertura hasta USD 400 por año </t>
  </si>
  <si>
    <t>Daños accidentales o robo durante  (90) días a partir de la fecha de compra. La cobertura alcanza los USD 1.000 por incidente y contempla un total de USD 5.000 anuales.</t>
  </si>
  <si>
    <t>Compra lo que quieras sin preocuparte por daños accidentales o hurtos. cubre artículos adquiridos con la tarjeta de crédito durante los 90 días posteriores a la compra con una cobertura USD 1.000 por incidente y hasta por USD 5.000 por año</t>
  </si>
  <si>
    <t>Cuando alquilas un automóvil puedes obtener una cobertura de hasta USD 75.000</t>
  </si>
  <si>
    <t>Compra lo que quieras sin preocuparte por daños accidentales o hurtos. cubre artículos adquiridos con la tarjeta de crédito durante los 45 días posteriores a la compra con una cobertura USD 5.000 por evento y hasta por USD 10.000 por año</t>
  </si>
  <si>
    <t>Paga el costo total del producto y si ves un precio menor por el mismo, en los 30 días siguientes a la compra, se te reembolsará la diferencia con una cobertura USD 500 por evento / USD 2.000 máximo al año</t>
  </si>
  <si>
    <t>Paga el costo total del producto y si ves un precio menor por el mismo, en los 30 días siguientes a la compra, se te reembolsará la diferencia con una cobertura hasta USD 4.000 al año</t>
  </si>
  <si>
    <t>Por Cancelacion en tu vuelo tienes un cubrimiento de hasta USD 3.000/ o por Demora del vuelo y perdida de conexiones hasta USD 300 por persona.</t>
  </si>
  <si>
    <t>Estas protegido en caso de que el equipaje se demore cubre hasta USD 600 o si pierde su equipaje tiene una cobertura de hasta USD 3.000; siempre que haya comprado el pasaje con su tarjeta Visa.</t>
  </si>
  <si>
    <t>Compra lo que quieras sin preocuparte por daños accidentales o hurtos. cubre artículos adquiridos con la tarjeta de crédito durante los 90 días posteriores a la compra con una cobertura USD 5.000 por evento y hasta por USD 20.000 por año</t>
  </si>
  <si>
    <t>Extiende hasta por un año el periodo de reparación gratuita otorgado por la tienda o por el fabricante original de un producto con una cobertura por evento de USD 2.500 y de hasta USD 5.000 por año</t>
  </si>
  <si>
    <t>Compensación de demora hasta USD 300 y pérdida de equipaje hasta USD 1.200.</t>
  </si>
  <si>
    <t xml:space="preserve">Servicios médicos por enfermedad Internacionales de hasta USD 65.000, y servicios medicos por enfermedad nacionales de hasta USD 10.000; ademas hospedajes por convalecencia en viajes de hasta 105 días. </t>
  </si>
  <si>
    <t xml:space="preserve">Servicios médicos por enfermedad Internacionales de hasta USD 55.000, y servicios medicos por enfermedad nacionales de hasta USD 10.000; ademas hospedajes por convalecencia en viajes de hasta 105 días. </t>
  </si>
  <si>
    <t xml:space="preserve">servicios médicos por enfermedad Internacionales de hasta USD 35.000, y servicios medicos por enfermedad nacionales de hasta USD 10.000; ademas hospedajes médicos por viajes de hasta 100 días. </t>
  </si>
  <si>
    <t xml:space="preserve">servicios médicos por enfermedad Internacionales de hasta USD 40.000, y servicios medicos por enfermedad nacionales de hasta USD 10.000; ademas hospedajes médicos por viajes de hasta 100 días. </t>
  </si>
  <si>
    <t>servicios medicos por enfermedad Internacionales de hasta USD 50.000, y servicios medicos por enfermedad nacionales de hasta USD 10.000; ademas hospedajes médicos por viajes de hasta 100 días.</t>
  </si>
  <si>
    <t>servicios medicos por enfermedad Internacionales de hasta USD 45.000, y servicios medicos por enfermedad nacionales de hasta USD 10.000; ademas hospedajes médicos por viajes de hasta 100 días.</t>
  </si>
  <si>
    <t xml:space="preserve">servicios médicos por enfermedad Internacionales de hasta USD 50.000, y servicios medicos por enfermedad nacionales de hasta USD 10.000; ademas hospedajes médicos por viajes de hasta 100 días. </t>
  </si>
  <si>
    <t xml:space="preserve">Servicios médicos por enfermedad Internacionales de hasta USD 60.000, y servicios medicos por enfermedad nacionales de hasta USD 10.000; ademas hospedajes por convalecencia en viajes de hasta 105 días. </t>
  </si>
  <si>
    <t xml:space="preserve">Servicios médicos por enfermedad Internacionales de hasta USD 80.000, y servicios medicos por enfermedad nacionales de hasta USD 10.000; ademas hospedajes por convalecencia en viajes de hasta 105 días. </t>
  </si>
  <si>
    <t>Bancolombia se ocupará de los gastos por traslado y estadía de un acompañante en caso de convalecencia hasta USD 250 por dia por 10 noches</t>
  </si>
  <si>
    <t>Bancolombia se ocupará de los gastos por traslado y estadía de un acompañante en caso de convalecencia hasta USD 300 por dia por 10 noches</t>
  </si>
  <si>
    <t xml:space="preserve">5 Noches de hotel por por problemas para habitar la vivienda. Cobertura de USD 100 / Por noche y por beneficiario / Máx 5 noches y 4 beneficiarios. Dos eventos al año </t>
  </si>
  <si>
    <t>Compensación de demora de equipaje hasta USD 300 y pérdida de equipaje de hasta USD 1.200</t>
  </si>
  <si>
    <t>Cobertura en Gastos odontológicos o farmacéuticos internacionales hasta por USD 1.500 y nacionales hasta USD 200.</t>
  </si>
  <si>
    <t>Compensación de demora de equipaje hasta USD 200 y pérdida de equipaje de hasta USD 1.600</t>
  </si>
  <si>
    <t>Gastos menores de reparación (Mano de obra y materiales) en emergencias por Plomería, Vidriería, Electricidad, Cerrajería con un cubrimiento hasta USD 300 por evento - ilimitado por eventos</t>
  </si>
  <si>
    <t>Cobertura en Gastos odontológicos o farmacéuticos internacionales hasta por USD 1.500 y nacionales hasta USD 400.</t>
  </si>
  <si>
    <t>Compensación de demora de equipaje hasta USD 300 y pérdida de equipaje de hasta USD 2.800</t>
  </si>
  <si>
    <t>Cobertura en Gastos odontológicos o farmacéuticos internacionales hasta por USD 2.000 y nacionales hasta USD 300.</t>
  </si>
  <si>
    <t>Compensación de demora de equipaje hasta USD 300 y pérdida de equipaje de hasta USD 1.800</t>
  </si>
  <si>
    <t>Compensación de demora de equipaje hasta USD 1.000 y pérdida de equipaje de hasta USD 3.000</t>
  </si>
  <si>
    <t>Cobertura en Gastos odontológicos ilimitados y farmacéuticos hasta por USD 3.000 internacionales y nacionales en ambos hasta USD 500.</t>
  </si>
  <si>
    <t>Paga el costo total del producto y si ves un precio menor por el mismo, en los 30 días siguientes a la compra, se te reembolsará la diferencia con una cobertura hasta USD 400 al año</t>
  </si>
  <si>
    <t xml:space="preserve">Servicios médicos por enfermedad Internacionales de hasta USD 45.000, y servicios medicos por enfermedad nacionales de hasta USD 10.000; ademas hospedajes por convalecencia en viajes de hasta 100 días. </t>
  </si>
  <si>
    <t>Cobertura en Gastos odontológicos y farmacéuticos hasta por USD 1.500 internacionales y nacionales en ambos hasta USD 200.</t>
  </si>
  <si>
    <t>Compensación de demora de equipaje hasta USD 300 y pérdida de equipaje de hasta USD 1.600</t>
  </si>
  <si>
    <t xml:space="preserve">Envío y pago de grúa para trasladar el vehículo al concesionario o taller más cercano. Hasta USD 300 / 3 eventos </t>
  </si>
  <si>
    <t>50% de exoneración en la cuota de manejo a partir del primer mes para clientes con crédito de vehículo vigente con Sufi, de no ser así aplica la cuota de manejo plena establecida, la cual podrás consultar en tarifas</t>
  </si>
  <si>
    <t>Descuento en Cuota de Manejo si tiene crédito Sufi</t>
  </si>
  <si>
    <t>Paga el costo total del producto y si ves un precio menor por el mismo, en los 30 días siguientes a la compra, se te reembolsará la diferencia con una cobertura USD 100 por incidente y hasta USD 200 al año</t>
  </si>
  <si>
    <t>Compra lo que quieras sin preocuparte por daños accidentales o hurtos. cubre artículos adquiridos con la tarjeta de crédito durante los 45 días posteriores a la compra con una cobertura  de USD 200 por incidente y hasta por USD 400 por año</t>
  </si>
  <si>
    <t>Extiende hasta por un año el periodo de reparación gratuita otorgado por la tienda o por el fabricante original de un producto con una cobertura de USD 200 por incidente y hasta USD 400 por año</t>
  </si>
  <si>
    <t xml:space="preserve">Servicios médicos por enfermedad Internacionales de hasta USD 50.000, y servicios medicos por enfermedad nacionales de hasta USD 10.000; ademas hospedajes por convalecencia en viajes de hasta 100 días. </t>
  </si>
  <si>
    <t>Hasta el 100% del cupo disponible en la cuenta de ahorros o efectivo.</t>
  </si>
  <si>
    <t>Disfruta de entradas 2x1 en Cine Colombia. Además los jueves, recibe un bono adicional para redimir en la confitería</t>
  </si>
  <si>
    <t>Disfruta boletería 2x1 en Cinemark(2D). Además recibe un cupón de descuento para redimir en confitería todos los días en Cinemark</t>
  </si>
  <si>
    <t>Disfruta boletería 2x1 (2D)  Además recibe un cupón de descuento para redimir en confitería todos los días en Cinemark</t>
  </si>
  <si>
    <t>Disfruta boletería 2x1 (2D) y cupón de descuentos para confitería, todos los días en Cinemark.</t>
  </si>
  <si>
    <t>Recibe la asesoría de un concierge, o asesor de viajes, las 24 horas durante los 7 días de la semana</t>
  </si>
  <si>
    <t>Disfruta boletería 2x1 (2D y 3D) todos los días en Cinemark. Aplica salas premier.</t>
  </si>
  <si>
    <t>Disfruta acceso a más de 850 salas VIP en aeropuertos alrededor del mundo con Priority Pass. Este beneficio te ofrece la posibilidad de disfrutar de 2 ingresos al año como titular de la tarjeta a las salas sin ningún costo.</t>
  </si>
  <si>
    <t xml:space="preserve">VISA PYME </t>
  </si>
  <si>
    <t>Avianza Aeropost</t>
  </si>
  <si>
    <t>MASTERCARD NEGOCIOS</t>
  </si>
  <si>
    <t>MASTERCARD EMPRESARIAL</t>
  </si>
  <si>
    <t>VISA PYME</t>
  </si>
  <si>
    <t xml:space="preserve">MASTERCARD NEGOCIOS </t>
  </si>
  <si>
    <t>Seguro de accidente a pasajeros</t>
  </si>
  <si>
    <t>Seguro gratuito de viaje (aéreo, marítimo o terrestre) en Colombia o el exterior. Es válido solo para el tarjetahabiente con cobertura de hasta USD 250.000.</t>
  </si>
  <si>
    <t>Proteccion ATM</t>
  </si>
  <si>
    <t>Fallecimiento de la víctima: víctima de asalto mientras usa el ATM y pierde la vida. Cobertura de USD 3.600.</t>
  </si>
  <si>
    <t>Seguro Contra Accidente en Viaje Asegurado, con una cobertura después de descender de un transporte común en el punto de destino del viaje. Beneficio máximo de USD 3.000 por persona</t>
  </si>
  <si>
    <t>Protege a las compañías contra el uso indebido de las tarjetas de pago que puedan hacer los empleados. Cobertura de USD 5.000</t>
  </si>
  <si>
    <t>Gastos Médicos por Enfermedad o Accidente BENEFICIARIOS (Titular de la tarjeta y 6 empleados que designe la empresa) pagando por los servicios médicos, gastos hospitalarios, intervenciones quirúrgicas y productos farmacéuticos. Cobertura hasta USD 50.000</t>
  </si>
  <si>
    <t>Envío y pago de grúa para trasladar el vehículo al concesionario o taller más cercano, aplica para carros de transporte de pasasjeros, con cubrimiento de 3 eventos por año. Beneficiario: Por tarjeta se cubrira hasta un máximo de dos vehículos que no exceda las 3.5 toneladas a nombre del titular de la tarjeta o a nombre de la empresa.</t>
  </si>
  <si>
    <t>Servicios especiales para pymes</t>
  </si>
  <si>
    <t xml:space="preserve">Referencia de asesorias en normas ISO, Referencia y coordinación de salas para conferencias, Información financiera sobre pago de impuestos, Referencia de empresas que ofrecen programas contables, entre otros beneficios </t>
  </si>
  <si>
    <t>PLAN DE VACUNACIÓN AXA ASISTENCIA ofrece al titular de la tarjeta de crédito Agro la asesoría telefónica sobre el plan básico de vacunación de ganado</t>
  </si>
  <si>
    <t>Reparaciones menores en caso de emergencia</t>
  </si>
  <si>
    <t>En caso de presentar fallas menores por varada del automotor que se utiliza para transportar insumos y realizar actividades fundamentales en la agricultura, AXA ASISTENCIA otorga al titular de la tarjeta de crédito Agro la posibilidad de realizar las reparaciones menores del vehículo</t>
  </si>
  <si>
    <t xml:space="preserve">Puntos Colombia </t>
  </si>
  <si>
    <t>Cuando alquilas un automóvil puedes obtener una cobertura de hasta USD 50.000.</t>
  </si>
  <si>
    <t>Experiencias y beneficios exclusivos con la Selección Colombia: preventa de boletas, entrada a entrenamientos y visita a camerinos *TyC. Ejemplo descuento 10% en una entrada de $250.000</t>
  </si>
  <si>
    <t xml:space="preserve">Hotel por inhabitabilidad de la MICROPYME a causa de una emergencia por plomería, cerrajeria, viadrieria o electricidad, cubrimiento de USD 250 por noche hasta por 5 noches </t>
  </si>
  <si>
    <t>Servicios en Caso de Emergencias</t>
  </si>
  <si>
    <t>https://www.grupobancolombia.com/personas/necesidades/mas-beneficios/ofertas</t>
  </si>
  <si>
    <t>Segmento</t>
  </si>
  <si>
    <t>Costo Avances</t>
  </si>
  <si>
    <t xml:space="preserve">Segmento </t>
  </si>
  <si>
    <t>Negocios e independientes.</t>
  </si>
  <si>
    <t>Pyme pequeña y Pyme mediana.</t>
  </si>
  <si>
    <t>Negocios e independientes, Pyme empresarial y corporativo.</t>
  </si>
  <si>
    <t>Negocios e independientes, Pyme pequeña y Pyme mediana.</t>
  </si>
  <si>
    <t>Pyme grande, Pyme plus, empresarial y corporativo</t>
  </si>
  <si>
    <t>pyme grande, pyme plus, empresarial y corporativo</t>
  </si>
  <si>
    <t>Preferencial</t>
  </si>
  <si>
    <t>https://siempreprotegido.axa-assistance.com.co/</t>
  </si>
  <si>
    <t>Acumulacion de Puntos o Millas</t>
  </si>
  <si>
    <t xml:space="preserve">Para mas Informacion </t>
  </si>
  <si>
    <t>https://bancolombia.sharepoint.com/sites/pcamelot/Paginas/inicio.aspx?t=Personas</t>
  </si>
  <si>
    <t>Ofertas: Para mayor informacion puedes consultar el siguiente link y conocer cuales estan vigentes.</t>
  </si>
  <si>
    <t xml:space="preserve">Beneficio Priority Pass. Ingresos ilimitados para el tarjetahabiente a las salas VIP presentando su tarjeta Priority Pass o su membresía digital. </t>
  </si>
  <si>
    <t>Beneficio Mastercard Airport Experience (MCAE). Ingresos ilimitados para el tarjetahabiente, puede presentar su tarjeta de crédito física o app de Mastercard Airport Experience (MCAE)</t>
  </si>
  <si>
    <t>MASTERCARD AGRO</t>
  </si>
  <si>
    <t>Todos los segmentos</t>
  </si>
  <si>
    <t xml:space="preserve">Disfruta beneficios y descuentos en comercios del programa Visa Days en el mundo. Ejemplo por compras en almacenes seleccionados tienes 30% de descuento la monetizacion del beneficio esta por una compra de $200.000 </t>
  </si>
  <si>
    <t>Membresia Priority Pass</t>
  </si>
  <si>
    <t>Puntos colombia</t>
  </si>
  <si>
    <t>Monto</t>
  </si>
  <si>
    <t>Acumulacion Puntos Colombia</t>
  </si>
  <si>
    <t>Diligencia aquí un valor de facturacion promedio mes</t>
  </si>
  <si>
    <t>Puntos Colombia</t>
  </si>
  <si>
    <t>VISA ORO</t>
  </si>
  <si>
    <t xml:space="preserve">Protección de compras agrícolas hasta por USD 500 por incidente y hasta  por USD 2.500 en 12 meses. </t>
  </si>
  <si>
    <t>Seguro Accidente de Viajes</t>
  </si>
  <si>
    <t>Seguro Contra Accidente en Viaje Asegurado, con una cobertura hasta por USD 250.000.</t>
  </si>
  <si>
    <t>Protege a las compañías contra el uso indebido de las tarjetas de pago que puedan hacer los empleados. Cobertura de USD 15.000</t>
  </si>
  <si>
    <t>Gastos Médicos por Enfermedad o Accidente BENEFICIARIOS (Representante Legal, Suplente y un empleado que designe la empresa) pagando por los servicios médicos, gastos hospitalarios, intervenciones quirúrgicas y productos farmacéuticos. Cobertura hasta USD 50.000</t>
  </si>
  <si>
    <t xml:space="preserve">Recibe 5000 LifeMiles de bienvenida si facturas 3 millones en los primeros 3 meses. </t>
  </si>
  <si>
    <t xml:space="preserve">Recibe 5000 LifeMiles de bienvenida si facturas 5 millones en los primeros 3 meses. </t>
  </si>
  <si>
    <t xml:space="preserve">Recibe un bono de bienvenida de 7.500 millas LifeMiles si facturas $7.500.000 durante los primeros 6 meses de uso. </t>
  </si>
  <si>
    <t>Millas Lifemiles por facturacion Aniversario</t>
  </si>
  <si>
    <t xml:space="preserve">Acumula 2 millas LifeMiles por cada dólar en canales directos de Avianca y en los Aliados LifeMiles
1.5 millas LifeMiles por cada dólar en compras internacionales y adicional 1 milla LifeMiles por cada dólar en otros establecimientos del país. Las cuales podras redimir en productos disponibles en la pagina o en vuelos, ejemplo con 1000 millas redime productos energeticos y proteinas </t>
  </si>
  <si>
    <t>Rastreo de Mercancia</t>
  </si>
  <si>
    <t>Orientacion Telefonica Veterinaria</t>
  </si>
  <si>
    <t>En caso de enfermedad o accidente de los animales domésticos entendidos como ganado, producción porcina y avícola del Tarjetahabiente, AXA ASISTENCIA asistirá al Tarjetahabiente orientándolo sobre las medidas básicas a tomar, los servicios de asistencia médica veterinaria prestados por terceros y el acceso a los mismos en relación con los síntomas o molestias que estén aquejando a los animales domésticos.</t>
  </si>
  <si>
    <t>AXA compañía Asistencias realizara el seguimiento con la compañía de mensajería. Ilimitado por eventos</t>
  </si>
  <si>
    <t>Seguro contra accidente de viajes en transporte común. El beneficio principal máximo que se proporciona es de hasta USD 250.000 por persona.</t>
  </si>
  <si>
    <t xml:space="preserve">Recibe 53.600 Puntos Colombia por facturación de $15.000.000 durante los primeros 6 meses luego de la activacion. </t>
  </si>
  <si>
    <t>Segmento Personal, Social</t>
  </si>
  <si>
    <t>Todos los segmentos que apliquen la edad entre 14- 25 años</t>
  </si>
  <si>
    <t xml:space="preserve">Segmento Personal, Plus </t>
  </si>
  <si>
    <t>Paga el costo total del producto con tu Tarjeta de crédito Visa y si ves un precio menor por el mismo, en los 30 días siguientes a la compra, se te reembolsará la diferencia. Recibe USD 100 por evento y hasta USD 200 al año.</t>
  </si>
  <si>
    <t>Daños accidentales o robo durante  (90) días a partir de la fecha de compra. La cobertura alcanza los USD 1.000 por incidente y contempla un total de US $5000 anuales.</t>
  </si>
  <si>
    <t xml:space="preserve">Segmento Personal, Plus, Plus alto </t>
  </si>
  <si>
    <t>Cobertura en Gastos odontológicos ilimitados y farmacéuticos hasta por USD 3000 internacionales y nacionales hasta USD 500.</t>
  </si>
  <si>
    <t xml:space="preserve">Personal </t>
  </si>
  <si>
    <t>Membresia Mastercard Airport Experience (MCAE)</t>
  </si>
  <si>
    <t>Ingreso a Sala VIP</t>
  </si>
  <si>
    <t>Asesoria Telefonica para Creacion de Empresa</t>
  </si>
  <si>
    <t xml:space="preserve">A solicitud del Titular de la Tarjeta Joven AXA ASISTENCIA brindará una asesoría telefónica enfocada en la aclaración de inquietudes sobre la creación de una empresa entendiéndose consultas tributarias, legales y financieras. </t>
  </si>
  <si>
    <t>Cobertura en Gastos odontológicos o farmacéuticos internacionales hasta por USD 1.000 y nacionales hasta USD 100.</t>
  </si>
  <si>
    <t xml:space="preserve"> Asistencia digital para compra de boletas para espectáculos, eventos deportivos, teatro y entretenimiento</t>
  </si>
  <si>
    <t>Alianza exclusiva con Aeropost incluye Registro gratis vitalicio, beneficios especiales para realizar compras en tiendas de Estados unidos en línea, seguro gratis hasta USD 100 y seguimiento a las compras via celular App y pagina web.</t>
  </si>
  <si>
    <t>CornerShop</t>
  </si>
  <si>
    <t>AXA ASISTENCIA coordinará y pagará por la realización de una capacitación de máximo 3 horas, con una persona especializada (agrónomo) para despejar dudas y ampliar los conocimientos sobre temas agrarios como: Producción Agrónoma, Producción de engorde, Recolección de alimentos, Procesos de crianza y ambiente optimo animal</t>
  </si>
  <si>
    <t>Moneda de Facturación</t>
  </si>
  <si>
    <t>Preferencial- Plus Alto</t>
  </si>
  <si>
    <r>
      <t xml:space="preserve">Mastercard® Flight Delay Pass, un beneficio de Mastercard, le permite relajarse antes de volar. Registre su vuelo, y </t>
    </r>
    <r>
      <rPr>
        <b/>
        <sz val="11"/>
        <color theme="1"/>
        <rFont val="Calibri"/>
        <family val="2"/>
        <scheme val="minor"/>
      </rPr>
      <t>si se retrasa 90 minutos o más</t>
    </r>
    <r>
      <rPr>
        <sz val="11"/>
        <color theme="1"/>
        <rFont val="Calibri"/>
        <family val="2"/>
        <scheme val="minor"/>
      </rPr>
      <t>, las bebidas, aperitivos y el Wi-Fi están a su disposición y sus 4 compañeros de viaje registrados en una de las más de 1,100 salas VIP de aeropuertos en el mundo.</t>
    </r>
  </si>
  <si>
    <t>Registre su vuelo, y si se retrasa 90 minutos o más, las bebidas, aperitivos y el Wi-Fi están a su disposición y sus 4 compañeros de viaje registrados en una de las más de 1,100 salas VIP de aeropuertos en el mundo.</t>
  </si>
  <si>
    <t xml:space="preserve">Exoneración de cuota de manejo 100% Vitalicia </t>
  </si>
  <si>
    <t>Descuentos en Hoteles</t>
  </si>
  <si>
    <r>
      <rPr>
        <b/>
        <sz val="12"/>
        <color theme="1" tint="0.249977111117893"/>
        <rFont val="CIBFont Sans"/>
        <family val="2"/>
      </rPr>
      <t>Diligencia la TRM* del dia</t>
    </r>
    <r>
      <rPr>
        <b/>
        <sz val="8"/>
        <color theme="1" tint="0.249977111117893"/>
        <rFont val="CIBFont Sans"/>
        <family val="2"/>
      </rPr>
      <t>, (publicada por la Super) campo ajustable debido a que algunos seguros y asistencias son en USD.</t>
    </r>
  </si>
  <si>
    <r>
      <t xml:space="preserve">Valor Diario
</t>
    </r>
    <r>
      <rPr>
        <b/>
        <sz val="8"/>
        <color theme="0"/>
        <rFont val="CIBFont Sans"/>
        <family val="2"/>
      </rPr>
      <t>(Calculado con mes de 30 dias)</t>
    </r>
  </si>
  <si>
    <r>
      <rPr>
        <b/>
        <sz val="14"/>
        <rFont val="CIBFont Sans"/>
        <family val="2"/>
      </rPr>
      <t>Seguros</t>
    </r>
    <r>
      <rPr>
        <sz val="14"/>
        <rFont val="CIBFont Sans"/>
        <family val="2"/>
      </rPr>
      <t xml:space="preserve">
</t>
    </r>
    <r>
      <rPr>
        <sz val="10"/>
        <rFont val="CIBFont Light"/>
      </rPr>
      <t>Mastercard 018009121303
Visa 018009122066
American Express +1 3129353647</t>
    </r>
  </si>
  <si>
    <r>
      <t xml:space="preserve">Asistencias 
</t>
    </r>
    <r>
      <rPr>
        <sz val="10"/>
        <rFont val="CIBFont Light"/>
      </rPr>
      <t>Central Telefónica Linea Nacional 018000954000</t>
    </r>
    <r>
      <rPr>
        <b/>
        <sz val="10"/>
        <rFont val="CIBFont Sans"/>
        <family val="2"/>
      </rPr>
      <t xml:space="preserve">
 </t>
    </r>
  </si>
  <si>
    <t>Paga el costo total del producto y si ves un precio menor por el mismo, en los 30 días siguientes a la compra, se te reembolsará la diferencia con una cobertura USD 250 por evento / USD 1.000 máximo al año</t>
  </si>
  <si>
    <t>Extiende hasta por un año el periodo de reparación gratuita otorgado por la tienda o por el fabricante original de un producto con una cobertura por evento y por año de USD 5.000.</t>
  </si>
  <si>
    <t>Inconvenientes en Viaje</t>
  </si>
  <si>
    <t>Cubre por demora en vuelo hasta USD400 y por perdida de conexión hasta USD400</t>
  </si>
  <si>
    <t>Compra lo que quieras sin preocuparte por daños accidentales o hurtos. cubre artículos adquiridos con la tarjeta de crédito durante los 90 días posteriores a la compra con una cobertura USD 5.000 por evento y hasta por USD 25.000 por año</t>
  </si>
  <si>
    <t>Cuando alquilas un automóvil, puedes obtener una cobertura de hasta USD 75.000.</t>
  </si>
  <si>
    <t>Extiende hasta por un año el periodo de reparación gratuita otorgado por la tienda o por el fabricante original de un producto con una cobertura por evento de USD 5.000 y de hasta USD 25.000 por año</t>
  </si>
  <si>
    <t>Cancelacion de Viaje</t>
  </si>
  <si>
    <t>Cubre por cancelacion de viaje hasta USD3000</t>
  </si>
  <si>
    <t>Extiende hasta por un año el periodo de reparación gratuita otorgado por la tienda o por el fabricante original de un producto con una cobertura de hasta USD 5.000 por año. Para hacer efectivo el seguro deberá solicitar el certificado de garantía a través del Portal de Beneficios Visa https://visabenefitslac.axa-assistance.us/</t>
  </si>
  <si>
    <t>Compra lo que quieras sin preocuparte por daños accidentales o hurtos. cubre artículos adquiridos con la tarjeta de crédito durante los 180 días posteriores a la compra con una cobertura hasta por USD 1.000 por año</t>
  </si>
  <si>
    <t>Compra lo que quieras sin preocuparte por daños accidentales o hurtos. cubre artículos adquiridos con la tarjeta de crédito durante los 180 días posteriores a la compra con una cobertura  hasta por USD 1.000 por año</t>
  </si>
  <si>
    <t xml:space="preserve">Compra lo que quieras sin preocuparte por daños accidentales o hurtos. cubre artículos adquiridos con la tarjeta de crédito durante los 180 días posteriores a la compra con una cobertura hasta USD 5.000 </t>
  </si>
  <si>
    <t>Compra lo que quieras sin preocuparte por daños accidentales o hurtos. cubre artículos adquiridos con la tarjeta de crédito durante los 180 dias posteriores a la compra con una cobertura hasta USD 5.000</t>
  </si>
  <si>
    <t xml:space="preserve">Acumula 6 puntos Colombia por cada $6.600, y con los puntos acumulados puedes redimir productos en las marcas aliadas o vuelos. En la parte superior de la herramienta puedes diligenciar un monto promedio de facturacion mensual y aquí se vera reflejado el beneficio en pesos de la acumulacion de los puntos. Algunas de las marcas aliadas son: Almacenes Exito y exito.com, Carulla, Surtimax, deli, frisby, Ifood, Dominos Pizza, Lifemiles,  distrihogar, Oster, Esso movil, Primax, Estacion Exito (gasolina), Pilatos, Replay, Tenis,  Smartfit, Sol verde, Medipiel, Kanu (tienda para animales), Dentisalud, Claro, Cine Colombia, entre otros que puedes consultar https://www.puntoscolombia.com/aliados </t>
  </si>
  <si>
    <t xml:space="preserve">Acumula 6 puntos Colombia por cada $4.800, y con los puntos acumulados puedes redimir productos en las marcas aliadas o vuelos. En la parte superior de la herramienta puedes diligenciar un monto promedio de facturacion mensual y aquí se vera reflejado el beneficio en pesos de la acumulacion de los puntos. Algunas de las marcas aliadas son: Almacenes Exito y exito.com, Carulla, Surtimax, deli, frisby, Ifood, Dominos Pizza, Lifemiles,  distrihogar, Oster, Esso movil, Primax, Estacion Exito (gasolina), Pilatos, Replay, Tenis,  Smartfit, Sol verde, Medipiel, Kanu (tienda para animales), Dentisalud, Claro, Cine Colombia, entre otros que puedes consultar https://www.puntoscolombia.com/aliados </t>
  </si>
  <si>
    <t xml:space="preserve">Acumula 6 puntos Colombia por cada $3.300, y con los puntos acumulados puedes redimir productos en las marcas aliadas o vuelos. En la parte superior de la herramienta puedes diligenciar un monto promedio de facturacion mensual y aquí se vera reflejado el beneficio en pesos de la acumulacion de los puntos. Algunas de las marcas aliadas son: Almacenes Exito y exito.com, Carulla, Surtimax, deli, frisby, Ifood, Dominos Pizza, Lifemiles,  distrihogar, Oster, Esso movil, Primax, Estacion Exito (gasolina), Pilatos, Replay, Tenis,  Smartfit, Sol verde, Medipiel, Kanu (tienda para animales), Dentisalud, Claro, Cine Colombia, entre otros que puedes consultar https://www.puntoscolombia.com/aliados </t>
  </si>
  <si>
    <t xml:space="preserve">Acumula 6 puntos Colombia por cada $11.400, y con los puntos acumulados puedes redimir productos en las marcas aliadas o vuelos. En la parte superior de la herramienta puedes diligenciar un monto promedio de facturacion mensual y aquí se vera reflejado el beneficio en pesos de la acumulacion de los puntos. Algunas de las marcas aliadas son: Almacenes Exito y exito.com, Carulla, Surtimax, deli, frisby, Ifood, Dominos Pizza, Lifemiles,  distrihogar, Oster, Esso movil, Primax, Estacion Exito (gasolina), Pilatos, Replay, Tenis,  Smartfit, Sol verde, Medipiel, Kanu (tienda para animales), Dentisalud, Claro, Cine Colombia, entre otros que puedes consultar https://www.puntoscolombia.com/aliados </t>
  </si>
  <si>
    <t>Todero en Casa</t>
  </si>
  <si>
    <t>AXA coordinará y pagará por los servicios de una persona que realice servicios de mudanza e instalación de los bienes que designe el beneficiario tales como y sin limitarse a: armado de muebles, instalación de televisores, y reparación de puertas.
Tiempo máximo de duración de seis (6) horas por Evento / Solamente en ciudades principales / Debe solicitarse con mínimo 48 horas de anticipación/ Límite de dos (2) eventos por vigencia y hasta por $150.000 COP por evento.</t>
  </si>
  <si>
    <t>Envío y pago de grúa para trasladar el vehículo al concesionario o taller más cercano. Hasta USD 200 /3 eventos</t>
  </si>
  <si>
    <t>Asesoría telefónica en marketing personal</t>
  </si>
  <si>
    <t>Orientación telefónica para el buen manejo de entrevistas laborales. Conceptos básicos sobre recomendaciones para un desempeño efectivo en una entrevista laboral y manejo de plataformas.</t>
  </si>
  <si>
    <t>$ 12.200 Corresponsal Bancario
$ 5.650 Cajero Electronico, 
$5.400 SVP y APP 
$ 13.290 (2) Sucursal Física.</t>
  </si>
  <si>
    <t>Personal- Plus- Preferencial</t>
  </si>
  <si>
    <t>Bono de aniversario de 10.000 LifeMiles de descuento anual en viajes, por facturar $24.000.000  millones de pesos durante cada año.</t>
  </si>
  <si>
    <t>Cornershop una app que permite hacer compras en diferentes tiendas especializadas  y  supermercados, para encargárselas a un Personal Shopper quien llevará las compras al lugar que le indiquemos. 
Beneficio 1. Realizando compras iguales o superiores a $120.000 con Tarjetas American Express® en comercios pequeños de Cornershop by Uber,  tienes un bono descuento de $40.000 para tu primera compra, este se verá reflejado en la misma compra
Aplica para Bogotá chia, cajica  Medellin, Envigado, Sabaneta, y Cali.
Beneficio 2. Reembolso de $49.900 COP por compra de membresía POP Anual pagando con Tarjetas American Express en Cornershop.
Beneficio 3. 20% OFF en las compras, que se verán reflejados en créditos Cornershop. Promoción en CORNERSHOP válida del 01 de Abril de 2022 hasta 31 de diciembre de 2022 o hasta agotar el fondo de promoción, lo que ocurra primero.</t>
  </si>
  <si>
    <t>Exoneración de cuota de manejo durante 6 meses, aplica hasta el 31 de Mayo de 2022</t>
  </si>
  <si>
    <t>Acceso a Salas VIP Avianca</t>
  </si>
  <si>
    <t xml:space="preserve">Doble Acumulacion Puntos Colombia </t>
  </si>
  <si>
    <t>Acceso a salas VIP Avianca Solo aplican las salas nacionales, te compartimos las salas disponibles:
Avianca Lounge Bogotá, Avianca Lounge Medellín, Avianca Lounge Cali, Avianca Lounge Bucaramanga, Avianca Lounge Cartagena, Avianca Lounge Barranquilla. Para estos ingresos los clientes deben presentar su tarjeta física directamente en la sala, no es necesario presentar membresía de Priority Pass física o digital.
-Los accesos para el titular son ilimitados (sin costo) y los acompañantes tendrán un costo por ingreso.
-La vigencia de este beneficio es hasta el 31 de agosto.
-Aplica para Lounges (Salas) nacionales. No aplica para Lounge El Salvador</t>
  </si>
  <si>
    <t>El programa cuenta con más de 1.000 Salas VIP alrededor del mundo. Para acceder a este beneficio nuestros clientes no necesitan códigos de enrolamiento para ingresar, únicamente deben presentar su tarjeta física en la sala y se generara un cobro de USD 1 para validar que la tarjeta este activa, la transacción se reversa en 15 días hábiles. Aplica para la Tarjeta de crédito MasterCard Black.
-Los accesos para el titular son ilimitados (sin costo) y los acompañantes tendrán un costo de USD 32 por ingreso.
-Nuestros clientes deben validar las salas disponibles en el sitio oficial del programa o app. Pueden consultar por ciudad, aeropuerto o código de aeropuerto.
- Link del programa: https://airport.mastercard.com/es/program-overview</t>
  </si>
  <si>
    <t>El programa cuenta con más de 1.300 Salas VIP en más de 600 ciudades en 148 países, independiente de la aerolínea o la clase de viaje. Para acceder a este beneficio los clientes deben realizar el enrolamiento en la plataforma para obtener su membresía digital. Aplica para Tarjetas de crédito Visa Infinite y American Express Platinum.
Para realizar el proceso de enrolamiento debes indicarle al cliente su código de invitación. Conoce el proceso aquí:  https://bancolombia.sharepoint.com/sites/pcamelot/productos-personas/Paginas/PA06-tarjetas-credito.aspx (Procesos comerciales)
-Nuestros clientes deben validar las salas disponibles en el sitio oficial del programa o app. Pueden consultar por ciudad, aeropuerto o código de aeropuerto.
-Los accesos para el titular son ilimitados (sin costo) y los acompañantes tendrán un costo de USD 32 por ingreso.
-Link del programa: https://www.prioritypass.com/ES</t>
  </si>
  <si>
    <t>Recibe doble acumulacion en puntos colombia por compras en Éxito y Carulla hasta una facturacion mensual de $160.000. Despues de este monto el cliente sigue acumulando los puntos colombia normales Ejemplo: realizas una compra en dichos establecimientso por valor de $300.000 y recibes doble acumulacion de puntos colombia hasta $160.000 para el restante seria una acumulacion general de 6 puntos por cada $ 4.800 en compras.</t>
  </si>
  <si>
    <t xml:space="preserve">Descuentos Always On </t>
  </si>
  <si>
    <t>Descuento permanente del 15% pagando con la tarjeta de credito American Express Green en las marcas:  Medipiel, Naf Naf, ESPRIT. Ejemplo: si compras un articulo de $300.000 en Medipiel tendrias un descuento de $ 45.000.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</si>
</sst>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 #,##0_-;\-&quot;$&quot;\ * #,##0_-;_-&quot;$&quot;\ * &quot;-&quot;_-;_-@_-"/>
    <numFmt numFmtId="44" formatCode="_-&quot;$&quot;\ * #,##0.00_-;\-&quot;$&quot;\ * #,##0.00_-;_-&quot;$&quot;\ * &quot;-&quot;??_-;_-@_-"/>
    <numFmt numFmtId="43" formatCode="_-* #,##0.00_-;\-* #,##0.00_-;_-* &quot;-&quot;??_-;_-@_-"/>
    <numFmt numFmtId="164" formatCode="_-&quot;$&quot;\ * #,##0_-;\-&quot;$&quot;\ * #,##0_-;_-&quot;$&quot;\ * &quot;-&quot;??_-;_-@_-"/>
    <numFmt numFmtId="165" formatCode="_-* #,##0_-;\-* #,##0_-;_-* &quot;-&quot;??_-;_-@_-"/>
  </numFmts>
  <fonts count="26">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Gotham Rounded Light"/>
      <family val="3"/>
    </font>
    <font>
      <sz val="14"/>
      <color rgb="FF002060"/>
      <name val="Gotham Rounded Bold"/>
      <family val="3"/>
    </font>
    <font>
      <b/>
      <sz val="14"/>
      <color theme="1"/>
      <name val="Gotham Rounded Light"/>
      <family val="3"/>
    </font>
    <font>
      <sz val="12"/>
      <color rgb="FF2E005C"/>
      <name val="Gotham Rounded Bold"/>
      <family val="3"/>
    </font>
    <font>
      <u/>
      <sz val="11"/>
      <color theme="10"/>
      <name val="Calibri"/>
      <family val="2"/>
      <scheme val="minor"/>
    </font>
    <font>
      <u/>
      <sz val="11"/>
      <name val="Calibri"/>
      <family val="2"/>
      <scheme val="minor"/>
    </font>
    <font>
      <b/>
      <sz val="12"/>
      <color theme="1" tint="0.249977111117893"/>
      <name val="CIBFont Sans"/>
      <family val="2"/>
    </font>
    <font>
      <sz val="11"/>
      <color theme="1"/>
      <name val="CIBFont light"/>
    </font>
    <font>
      <b/>
      <sz val="11"/>
      <name val="CIBFont Sans"/>
      <family val="2"/>
    </font>
    <font>
      <b/>
      <sz val="8"/>
      <color theme="1" tint="0.249977111117893"/>
      <name val="CIBFont Sans"/>
      <family val="2"/>
    </font>
    <font>
      <sz val="12"/>
      <color theme="0"/>
      <name val="CIBFont Sans"/>
      <family val="2"/>
    </font>
    <font>
      <sz val="14"/>
      <name val="CIBFont Sans"/>
      <family val="2"/>
    </font>
    <font>
      <sz val="10"/>
      <name val="CIBFont Light"/>
    </font>
    <font>
      <b/>
      <sz val="14"/>
      <name val="CIBFont Sans"/>
      <family val="2"/>
    </font>
    <font>
      <b/>
      <sz val="12"/>
      <color theme="0"/>
      <name val="CIBFont Sans"/>
      <family val="2"/>
    </font>
    <font>
      <b/>
      <sz val="8"/>
      <color theme="0"/>
      <name val="CIBFont Sans"/>
      <family val="2"/>
    </font>
    <font>
      <sz val="11"/>
      <color theme="1"/>
      <name val="CIBFont Sans Light"/>
      <family val="2"/>
    </font>
    <font>
      <b/>
      <sz val="18"/>
      <name val="CIBFont Sans"/>
      <family val="2"/>
    </font>
    <font>
      <b/>
      <sz val="10"/>
      <name val="CIBFont Sans"/>
      <family val="2"/>
    </font>
    <font>
      <sz val="11"/>
      <color rgb="FFFF0000"/>
      <name val="Calibri"/>
      <family val="2"/>
      <scheme val="minor"/>
    </font>
    <font>
      <sz val="12"/>
      <color rgb="FFFF0000"/>
      <name val="Gotham Rounded Bold"/>
      <family val="3"/>
    </font>
    <font>
      <sz val="14"/>
      <color rgb="FFFF0000"/>
      <name val="Gotham Rounded Bold"/>
      <family val="3"/>
    </font>
  </fonts>
  <fills count="11">
    <fill>
      <patternFill patternType="none"/>
    </fill>
    <fill>
      <patternFill patternType="gray125"/>
    </fill>
    <fill>
      <patternFill patternType="solid">
        <fgColor theme="0"/>
        <bgColor indexed="64"/>
      </patternFill>
    </fill>
    <fill>
      <patternFill patternType="solid">
        <fgColor theme="1" tint="0.14999847407452621"/>
        <bgColor indexed="64"/>
      </patternFill>
    </fill>
    <fill>
      <patternFill patternType="solid">
        <fgColor rgb="FF9063CD"/>
        <bgColor indexed="64"/>
      </patternFill>
    </fill>
    <fill>
      <patternFill patternType="solid">
        <fgColor rgb="FFF5B6CD"/>
        <bgColor indexed="64"/>
      </patternFill>
    </fill>
    <fill>
      <patternFill patternType="solid">
        <fgColor rgb="FF0CA783"/>
        <bgColor indexed="64"/>
      </patternFill>
    </fill>
    <fill>
      <patternFill patternType="solid">
        <fgColor rgb="FF58C3E3"/>
        <bgColor indexed="64"/>
      </patternFill>
    </fill>
    <fill>
      <patternFill patternType="solid">
        <fgColor rgb="FFFADA22"/>
        <bgColor indexed="64"/>
      </patternFill>
    </fill>
    <fill>
      <patternFill patternType="solid">
        <fgColor rgb="FFE57B48"/>
        <bgColor indexed="64"/>
      </patternFill>
    </fill>
    <fill>
      <patternFill patternType="solid">
        <fgColor rgb="FFFFFF00"/>
        <bgColor indexed="64"/>
      </patternFill>
    </fill>
  </fills>
  <borders count="5">
    <border>
      <left/>
      <right/>
      <top/>
      <bottom/>
      <diagonal/>
    </border>
    <border>
      <left style="thin">
        <color theme="2"/>
      </left>
      <right/>
      <top style="thin">
        <color theme="2"/>
      </top>
      <bottom/>
      <diagonal/>
    </border>
    <border>
      <left style="thin">
        <color theme="2"/>
      </left>
      <right/>
      <top/>
      <bottom style="thin">
        <color theme="2"/>
      </bottom>
      <diagonal/>
    </border>
    <border>
      <left/>
      <right style="thin">
        <color rgb="FFD9B3FF"/>
      </right>
      <top style="thin">
        <color theme="2"/>
      </top>
      <bottom/>
      <diagonal/>
    </border>
    <border>
      <left/>
      <right style="thin">
        <color rgb="FFD9B3FF"/>
      </right>
      <top/>
      <bottom style="thin">
        <color theme="2"/>
      </bottom>
      <diagonal/>
    </border>
  </borders>
  <cellStyleXfs count="5">
    <xf numFmtId="0" fontId="0" fillId="0" borderId="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43" fontId="1" fillId="0" borderId="0" applyFont="0" applyFill="0" applyBorder="0" applyAlignment="0" applyProtection="0"/>
  </cellStyleXfs>
  <cellXfs count="74">
    <xf numFmtId="0" fontId="0" fillId="0" borderId="0" xfId="0"/>
    <xf numFmtId="164" fontId="0" fillId="0" borderId="0" xfId="1" applyNumberFormat="1" applyFont="1"/>
    <xf numFmtId="0" fontId="0" fillId="0" borderId="0" xfId="0" applyAlignment="1">
      <alignment wrapText="1"/>
    </xf>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2" fillId="0" borderId="0" xfId="0" applyFont="1"/>
    <xf numFmtId="0" fontId="2" fillId="0" borderId="0" xfId="0" applyFont="1" applyAlignment="1">
      <alignment horizontal="center" vertical="center"/>
    </xf>
    <xf numFmtId="164" fontId="2" fillId="0" borderId="0" xfId="1" applyNumberFormat="1" applyFont="1"/>
    <xf numFmtId="164" fontId="2" fillId="0" borderId="0" xfId="1"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0" fillId="0" borderId="0" xfId="0" applyAlignment="1">
      <alignment horizontal="center" vertical="center" wrapText="1"/>
    </xf>
    <xf numFmtId="0" fontId="0" fillId="0" borderId="0" xfId="0" applyNumberFormat="1"/>
    <xf numFmtId="0" fontId="2" fillId="0" borderId="0" xfId="0" applyFont="1" applyAlignment="1">
      <alignment wrapText="1"/>
    </xf>
    <xf numFmtId="164" fontId="0" fillId="0" borderId="0" xfId="1" applyNumberFormat="1" applyFont="1" applyFill="1"/>
    <xf numFmtId="42" fontId="4" fillId="0" borderId="0" xfId="2" applyFont="1" applyBorder="1" applyAlignment="1">
      <alignment vertical="center"/>
    </xf>
    <xf numFmtId="0" fontId="5" fillId="0" borderId="0" xfId="0" applyFont="1" applyBorder="1" applyAlignment="1">
      <alignment vertical="center"/>
    </xf>
    <xf numFmtId="164" fontId="0" fillId="0" borderId="0" xfId="0" applyNumberFormat="1"/>
    <xf numFmtId="0" fontId="0" fillId="0" borderId="0" xfId="0" applyFill="1" applyAlignment="1">
      <alignment wrapText="1"/>
    </xf>
    <xf numFmtId="0" fontId="8" fillId="0" borderId="0" xfId="3" applyAlignment="1">
      <alignment horizontal="left"/>
    </xf>
    <xf numFmtId="0" fontId="2" fillId="0" borderId="0" xfId="0" applyFont="1" applyAlignment="1">
      <alignment horizontal="center" vertical="center"/>
    </xf>
    <xf numFmtId="44" fontId="7" fillId="0" borderId="0" xfId="1" applyFont="1" applyFill="1" applyBorder="1" applyAlignment="1" applyProtection="1">
      <alignment horizontal="center" vertical="center"/>
      <protection locked="0"/>
    </xf>
    <xf numFmtId="0" fontId="7" fillId="0" borderId="0" xfId="0" applyFont="1" applyBorder="1" applyAlignment="1">
      <alignment horizontal="center" vertical="center" wrapText="1"/>
    </xf>
    <xf numFmtId="0" fontId="2" fillId="0" borderId="0" xfId="0" applyFont="1" applyAlignment="1">
      <alignment horizontal="center" vertical="center"/>
    </xf>
    <xf numFmtId="1" fontId="0" fillId="0" borderId="0" xfId="0" applyNumberFormat="1"/>
    <xf numFmtId="165" fontId="0" fillId="0" borderId="0" xfId="4" applyNumberFormat="1" applyFont="1"/>
    <xf numFmtId="0" fontId="9" fillId="0" borderId="2" xfId="3" applyFont="1" applyBorder="1" applyAlignment="1">
      <alignment vertical="center" wrapText="1"/>
    </xf>
    <xf numFmtId="164" fontId="11" fillId="0" borderId="0" xfId="1" applyNumberFormat="1" applyFont="1" applyBorder="1" applyAlignment="1">
      <alignment vertical="center"/>
    </xf>
    <xf numFmtId="164" fontId="11" fillId="0" borderId="0" xfId="1" applyNumberFormat="1" applyFont="1" applyBorder="1" applyAlignment="1">
      <alignment vertical="center" wrapText="1"/>
    </xf>
    <xf numFmtId="0" fontId="17" fillId="2" borderId="0" xfId="0" applyFont="1" applyFill="1" applyBorder="1" applyAlignment="1">
      <alignment horizontal="right" vertical="center"/>
    </xf>
    <xf numFmtId="164" fontId="20" fillId="0" borderId="0" xfId="1" applyNumberFormat="1" applyFont="1" applyBorder="1" applyAlignment="1">
      <alignment vertical="center"/>
    </xf>
    <xf numFmtId="42" fontId="15" fillId="0" borderId="0" xfId="2" applyFont="1" applyFill="1" applyBorder="1" applyAlignment="1">
      <alignment vertical="center"/>
    </xf>
    <xf numFmtId="42" fontId="21" fillId="0" borderId="0" xfId="2" applyFont="1" applyFill="1" applyBorder="1" applyAlignment="1">
      <alignment vertical="center"/>
    </xf>
    <xf numFmtId="0" fontId="17" fillId="0" borderId="1" xfId="0" applyFont="1" applyBorder="1" applyAlignment="1">
      <alignment horizontal="center" wrapText="1"/>
    </xf>
    <xf numFmtId="0" fontId="18" fillId="3" borderId="0" xfId="0" applyFont="1" applyFill="1" applyBorder="1" applyAlignment="1" applyProtection="1">
      <alignment horizontal="center" vertical="center"/>
      <protection locked="0"/>
    </xf>
    <xf numFmtId="0" fontId="18" fillId="3" borderId="0" xfId="0" applyFont="1" applyFill="1" applyBorder="1" applyAlignment="1" applyProtection="1">
      <alignment horizontal="center" vertical="center" wrapText="1"/>
      <protection locked="0"/>
    </xf>
    <xf numFmtId="0" fontId="18" fillId="6" borderId="0" xfId="0" applyFont="1" applyFill="1" applyBorder="1" applyAlignment="1" applyProtection="1">
      <alignment horizontal="center" vertical="center"/>
      <protection locked="0"/>
    </xf>
    <xf numFmtId="0" fontId="18" fillId="7" borderId="0" xfId="0" applyFont="1" applyFill="1" applyBorder="1" applyAlignment="1" applyProtection="1">
      <alignment horizontal="center" vertical="center"/>
      <protection locked="0"/>
    </xf>
    <xf numFmtId="0" fontId="18" fillId="8" borderId="0" xfId="0" applyFont="1" applyFill="1" applyBorder="1" applyAlignment="1" applyProtection="1">
      <alignment horizontal="center" vertical="center"/>
      <protection locked="0"/>
    </xf>
    <xf numFmtId="0" fontId="18" fillId="5" borderId="0" xfId="0" applyFont="1" applyFill="1" applyBorder="1" applyAlignment="1" applyProtection="1">
      <alignment horizontal="center" vertical="center"/>
      <protection locked="0"/>
    </xf>
    <xf numFmtId="0" fontId="18" fillId="4" borderId="0" xfId="0" applyFont="1" applyFill="1" applyBorder="1" applyAlignment="1" applyProtection="1">
      <alignment horizontal="center" vertical="center"/>
      <protection locked="0"/>
    </xf>
    <xf numFmtId="0" fontId="18" fillId="9" borderId="0" xfId="0" applyFont="1" applyFill="1" applyBorder="1" applyAlignment="1" applyProtection="1">
      <alignment horizontal="center" vertical="center"/>
      <protection locked="0"/>
    </xf>
    <xf numFmtId="164" fontId="11" fillId="0" borderId="0" xfId="1" applyNumberFormat="1" applyFont="1" applyBorder="1" applyAlignment="1">
      <alignment horizontal="center" vertical="center"/>
    </xf>
    <xf numFmtId="164" fontId="11" fillId="0" borderId="0" xfId="1" applyNumberFormat="1" applyFont="1" applyBorder="1" applyAlignment="1">
      <alignment horizontal="center" vertical="center" wrapText="1"/>
    </xf>
    <xf numFmtId="164" fontId="14" fillId="4" borderId="0" xfId="1" applyNumberFormat="1" applyFont="1" applyFill="1" applyBorder="1" applyAlignment="1" applyProtection="1">
      <alignment horizontal="center" vertical="center"/>
      <protection locked="0"/>
    </xf>
    <xf numFmtId="0" fontId="12" fillId="0" borderId="0" xfId="0" applyFont="1" applyBorder="1" applyAlignment="1">
      <alignment horizontal="right" vertical="center" indent="2"/>
    </xf>
    <xf numFmtId="0" fontId="12" fillId="0" borderId="0" xfId="0" applyFont="1" applyBorder="1" applyAlignment="1">
      <alignment horizontal="right" vertical="center" wrapText="1" indent="2"/>
    </xf>
    <xf numFmtId="44" fontId="18" fillId="4" borderId="0" xfId="1" applyFont="1" applyFill="1" applyBorder="1" applyAlignment="1" applyProtection="1">
      <alignment horizontal="center" vertical="center"/>
      <protection locked="0"/>
    </xf>
    <xf numFmtId="1" fontId="11" fillId="0" borderId="0" xfId="1" applyNumberFormat="1" applyFont="1" applyBorder="1" applyAlignment="1">
      <alignment horizontal="center" vertical="center"/>
    </xf>
    <xf numFmtId="49" fontId="11" fillId="0" borderId="0" xfId="1" applyNumberFormat="1" applyFont="1" applyBorder="1" applyAlignment="1">
      <alignment vertical="center" wrapText="1"/>
    </xf>
    <xf numFmtId="0" fontId="0" fillId="10" borderId="0" xfId="0" applyFill="1" applyAlignment="1">
      <alignment wrapText="1"/>
    </xf>
    <xf numFmtId="0" fontId="0" fillId="10" borderId="0" xfId="0" applyFill="1"/>
    <xf numFmtId="0" fontId="23" fillId="0" borderId="0" xfId="0" applyFont="1" applyAlignment="1">
      <alignment horizontal="center" vertical="center"/>
    </xf>
    <xf numFmtId="0" fontId="24" fillId="0" borderId="0" xfId="0" applyFont="1" applyBorder="1" applyAlignment="1">
      <alignment horizontal="center" vertical="center" wrapText="1"/>
    </xf>
    <xf numFmtId="0" fontId="25" fillId="0" borderId="0" xfId="0" applyFont="1" applyBorder="1" applyAlignment="1">
      <alignment vertical="center"/>
    </xf>
    <xf numFmtId="0" fontId="17" fillId="2" borderId="1"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2" fillId="0" borderId="0" xfId="0" applyFont="1" applyBorder="1" applyAlignment="1">
      <alignment horizontal="center" vertical="center" wrapText="1"/>
    </xf>
    <xf numFmtId="0" fontId="6" fillId="0" borderId="0" xfId="0" applyFont="1" applyFill="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7" fillId="0" borderId="0" xfId="0" applyFont="1" applyBorder="1" applyAlignment="1">
      <alignment horizontal="center" vertical="center" wrapText="1"/>
    </xf>
    <xf numFmtId="0" fontId="2" fillId="0" borderId="0" xfId="0" applyFont="1" applyAlignment="1">
      <alignment horizontal="center" vertical="center"/>
    </xf>
  </cellXfs>
  <cellStyles count="5">
    <cellStyle name="Hipervínculo" xfId="3" builtinId="8"/>
    <cellStyle name="Millares" xfId="4" builtinId="3"/>
    <cellStyle name="Moneda" xfId="1" builtinId="4"/>
    <cellStyle name="Moneda [0]" xfId="2" builtinId="7"/>
    <cellStyle name="Normal" xfId="0" builtinId="0"/>
  </cellStyles>
  <dxfs count="0"/>
  <tableStyles count="0" defaultTableStyle="TableStyleMedium2" defaultPivotStyle="PivotStyleLight16"/>
  <colors>
    <mruColors>
      <color rgb="FF9063CD"/>
      <color rgb="FFE57B48"/>
      <color rgb="FFF5B6CD"/>
      <color rgb="FFFADA22"/>
      <color rgb="FF58C3E3"/>
      <color rgb="FF0CA783"/>
      <color rgb="FF9063F5"/>
      <color rgb="FF845AFC"/>
      <color rgb="FF2E005C"/>
      <color rgb="FF45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6</xdr:col>
      <xdr:colOff>1150937</xdr:colOff>
      <xdr:row>0</xdr:row>
      <xdr:rowOff>29766</xdr:rowOff>
    </xdr:from>
    <xdr:to>
      <xdr:col>6</xdr:col>
      <xdr:colOff>5268516</xdr:colOff>
      <xdr:row>4</xdr:row>
      <xdr:rowOff>294570</xdr:rowOff>
    </xdr:to>
    <xdr:pic>
      <xdr:nvPicPr>
        <xdr:cNvPr id="18" name="Imagen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
        <a:stretch>
          <a:fillRect/>
        </a:stretch>
      </xdr:blipFill>
      <xdr:spPr>
        <a:xfrm>
          <a:off x="10348515" y="29766"/>
          <a:ext cx="4117579" cy="1018867"/>
        </a:xfrm>
        <a:prstGeom prst="rect">
          <a:avLst/>
        </a:prstGeom>
      </xdr:spPr>
    </xdr:pic>
    <xdr:clientData/>
  </xdr:twoCellAnchor>
  <xdr:twoCellAnchor>
    <xdr:from>
      <xdr:col>0</xdr:col>
      <xdr:colOff>91280</xdr:colOff>
      <xdr:row>0</xdr:row>
      <xdr:rowOff>145776</xdr:rowOff>
    </xdr:from>
    <xdr:to>
      <xdr:col>9</xdr:col>
      <xdr:colOff>538559</xdr:colOff>
      <xdr:row>3</xdr:row>
      <xdr:rowOff>185523</xdr:rowOff>
    </xdr:to>
    <xdr:sp macro="" textlink="">
      <xdr:nvSpPr>
        <xdr:cNvPr id="3" name="Rectángulo 2">
          <a:extLst>
            <a:ext uri="{FF2B5EF4-FFF2-40B4-BE49-F238E27FC236}">
              <a16:creationId xmlns:a16="http://schemas.microsoft.com/office/drawing/2014/main" id="{00000000-0008-0000-0000-000003000000}"/>
            </a:ext>
          </a:extLst>
        </xdr:cNvPr>
        <xdr:cNvSpPr/>
      </xdr:nvSpPr>
      <xdr:spPr>
        <a:xfrm>
          <a:off x="91280" y="145776"/>
          <a:ext cx="18373817" cy="625901"/>
        </a:xfrm>
        <a:prstGeom prst="rect">
          <a:avLst/>
        </a:prstGeom>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s-CO" sz="3200" b="1" spc="300">
              <a:solidFill>
                <a:sysClr val="windowText" lastClr="000000"/>
              </a:solidFill>
              <a:latin typeface="CIBFont Sans" panose="020B0603020202020104" pitchFamily="34" charset="0"/>
            </a:rPr>
            <a:t>Calculadora</a:t>
          </a:r>
          <a:r>
            <a:rPr lang="es-CO" sz="3200" b="1" spc="300" baseline="0">
              <a:solidFill>
                <a:sysClr val="windowText" lastClr="000000"/>
              </a:solidFill>
              <a:latin typeface="CIBFont Sans" panose="020B0603020202020104" pitchFamily="34" charset="0"/>
            </a:rPr>
            <a:t> de Beneficios Tarjetas de crédito</a:t>
          </a:r>
          <a:endParaRPr lang="es-CO" sz="3200" b="1" spc="300">
            <a:solidFill>
              <a:sysClr val="windowText" lastClr="000000"/>
            </a:solidFill>
            <a:latin typeface="CIBFont Sans" panose="020B0603020202020104" pitchFamily="34" charset="0"/>
          </a:endParaRPr>
        </a:p>
      </xdr:txBody>
    </xdr:sp>
    <xdr:clientData/>
  </xdr:twoCellAnchor>
  <xdr:twoCellAnchor>
    <xdr:from>
      <xdr:col>1</xdr:col>
      <xdr:colOff>1954609</xdr:colOff>
      <xdr:row>12</xdr:row>
      <xdr:rowOff>214312</xdr:rowOff>
    </xdr:from>
    <xdr:to>
      <xdr:col>2</xdr:col>
      <xdr:colOff>2514203</xdr:colOff>
      <xdr:row>15</xdr:row>
      <xdr:rowOff>9921</xdr:rowOff>
    </xdr:to>
    <xdr:sp macro="" textlink="">
      <xdr:nvSpPr>
        <xdr:cNvPr id="20" name="Rectángulo 19">
          <a:extLst>
            <a:ext uri="{FF2B5EF4-FFF2-40B4-BE49-F238E27FC236}">
              <a16:creationId xmlns:a16="http://schemas.microsoft.com/office/drawing/2014/main" id="{00000000-0008-0000-0000-000014000000}"/>
            </a:ext>
          </a:extLst>
        </xdr:cNvPr>
        <xdr:cNvSpPr/>
      </xdr:nvSpPr>
      <xdr:spPr>
        <a:xfrm>
          <a:off x="2530078" y="4292203"/>
          <a:ext cx="2524125" cy="658812"/>
        </a:xfrm>
        <a:prstGeom prst="rect">
          <a:avLst/>
        </a:prstGeom>
      </xdr:spPr>
      <xdr:txBody>
        <a:bodyPr wrap="square">
          <a:no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endParaRPr lang="es-CO" sz="1400" b="1" spc="300">
            <a:solidFill>
              <a:sysClr val="windowText" lastClr="000000"/>
            </a:solidFill>
            <a:latin typeface="CIBFont Sans" panose="020B0603020202020104" pitchFamily="34" charset="0"/>
          </a:endParaRPr>
        </a:p>
        <a:p>
          <a:pPr algn="r"/>
          <a:r>
            <a:rPr lang="es-CO" sz="1400" b="1" spc="300">
              <a:solidFill>
                <a:sysClr val="windowText" lastClr="000000"/>
              </a:solidFill>
              <a:latin typeface="CIBFont Sans" panose="020B0603020202020104" pitchFamily="34" charset="0"/>
            </a:rPr>
            <a:t>Total Ahorro Mensual...</a:t>
          </a:r>
        </a:p>
      </xdr:txBody>
    </xdr:sp>
    <xdr:clientData/>
  </xdr:twoCellAnchor>
  <xdr:twoCellAnchor>
    <xdr:from>
      <xdr:col>2</xdr:col>
      <xdr:colOff>90489</xdr:colOff>
      <xdr:row>11</xdr:row>
      <xdr:rowOff>41274</xdr:rowOff>
    </xdr:from>
    <xdr:to>
      <xdr:col>2</xdr:col>
      <xdr:colOff>2545557</xdr:colOff>
      <xdr:row>11</xdr:row>
      <xdr:rowOff>582448</xdr:rowOff>
    </xdr:to>
    <xdr:sp macro="" textlink="">
      <xdr:nvSpPr>
        <xdr:cNvPr id="21" name="Rectángulo 20">
          <a:extLst>
            <a:ext uri="{FF2B5EF4-FFF2-40B4-BE49-F238E27FC236}">
              <a16:creationId xmlns:a16="http://schemas.microsoft.com/office/drawing/2014/main" id="{00000000-0008-0000-0000-000015000000}"/>
            </a:ext>
          </a:extLst>
        </xdr:cNvPr>
        <xdr:cNvSpPr/>
      </xdr:nvSpPr>
      <xdr:spPr>
        <a:xfrm>
          <a:off x="2630489" y="3513930"/>
          <a:ext cx="2455068" cy="541174"/>
        </a:xfrm>
        <a:prstGeom prst="rect">
          <a:avLst/>
        </a:prstGeom>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s-CO" sz="1400" b="1" spc="300">
              <a:solidFill>
                <a:sysClr val="windowText" lastClr="000000"/>
              </a:solidFill>
              <a:latin typeface="CIBFont Sans" panose="020B0603020202020104" pitchFamily="34" charset="0"/>
            </a:rPr>
            <a:t>Total beneficios Mensuales</a:t>
          </a:r>
        </a:p>
      </xdr:txBody>
    </xdr:sp>
    <xdr:clientData/>
  </xdr:twoCellAnchor>
  <xdr:twoCellAnchor>
    <xdr:from>
      <xdr:col>2</xdr:col>
      <xdr:colOff>171451</xdr:colOff>
      <xdr:row>11</xdr:row>
      <xdr:rowOff>584598</xdr:rowOff>
    </xdr:from>
    <xdr:to>
      <xdr:col>2</xdr:col>
      <xdr:colOff>2626519</xdr:colOff>
      <xdr:row>13</xdr:row>
      <xdr:rowOff>8382</xdr:rowOff>
    </xdr:to>
    <xdr:sp macro="" textlink="">
      <xdr:nvSpPr>
        <xdr:cNvPr id="22" name="Rectángulo 21">
          <a:extLst>
            <a:ext uri="{FF2B5EF4-FFF2-40B4-BE49-F238E27FC236}">
              <a16:creationId xmlns:a16="http://schemas.microsoft.com/office/drawing/2014/main" id="{00000000-0008-0000-0000-000016000000}"/>
            </a:ext>
          </a:extLst>
        </xdr:cNvPr>
        <xdr:cNvSpPr/>
      </xdr:nvSpPr>
      <xdr:spPr>
        <a:xfrm>
          <a:off x="2711451" y="4057254"/>
          <a:ext cx="2455068" cy="316753"/>
        </a:xfrm>
        <a:prstGeom prst="rect">
          <a:avLst/>
        </a:prstGeom>
        <a:noFill/>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s-CO" sz="1400" b="1" spc="300">
              <a:solidFill>
                <a:sysClr val="windowText" lastClr="000000"/>
              </a:solidFill>
              <a:latin typeface="CIBFont Sans" panose="020B0603020202020104" pitchFamily="34" charset="0"/>
            </a:rPr>
            <a:t>Cuota de Manejo</a:t>
          </a:r>
        </a:p>
      </xdr:txBody>
    </xdr:sp>
    <xdr:clientData/>
  </xdr:twoCellAnchor>
  <xdr:twoCellAnchor editAs="oneCell">
    <xdr:from>
      <xdr:col>3</xdr:col>
      <xdr:colOff>374971</xdr:colOff>
      <xdr:row>12</xdr:row>
      <xdr:rowOff>277812</xdr:rowOff>
    </xdr:from>
    <xdr:to>
      <xdr:col>3</xdr:col>
      <xdr:colOff>1416327</xdr:colOff>
      <xdr:row>16</xdr:row>
      <xdr:rowOff>94621</xdr:rowOff>
    </xdr:to>
    <xdr:pic>
      <xdr:nvPicPr>
        <xdr:cNvPr id="13" name="Imagen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
        <a:stretch>
          <a:fillRect/>
        </a:stretch>
      </xdr:blipFill>
      <xdr:spPr>
        <a:xfrm>
          <a:off x="5276377" y="4355703"/>
          <a:ext cx="1041356" cy="1057042"/>
        </a:xfrm>
        <a:prstGeom prst="rect">
          <a:avLst/>
        </a:prstGeom>
      </xdr:spPr>
    </xdr:pic>
    <xdr:clientData/>
  </xdr:twoCellAnchor>
  <xdr:twoCellAnchor editAs="oneCell">
    <xdr:from>
      <xdr:col>2</xdr:col>
      <xdr:colOff>2321718</xdr:colOff>
      <xdr:row>5</xdr:row>
      <xdr:rowOff>89295</xdr:rowOff>
    </xdr:from>
    <xdr:to>
      <xdr:col>2</xdr:col>
      <xdr:colOff>2698750</xdr:colOff>
      <xdr:row>6</xdr:row>
      <xdr:rowOff>178593</xdr:rowOff>
    </xdr:to>
    <xdr:pic>
      <xdr:nvPicPr>
        <xdr:cNvPr id="15" name="Gráfico 30">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861718" y="1200545"/>
          <a:ext cx="377032" cy="377032"/>
        </a:xfrm>
        <a:prstGeom prst="rect">
          <a:avLst/>
        </a:prstGeom>
      </xdr:spPr>
    </xdr:pic>
    <xdr:clientData/>
  </xdr:twoCellAnchor>
  <xdr:twoCellAnchor editAs="oneCell">
    <xdr:from>
      <xdr:col>1</xdr:col>
      <xdr:colOff>0</xdr:colOff>
      <xdr:row>7</xdr:row>
      <xdr:rowOff>219152</xdr:rowOff>
    </xdr:from>
    <xdr:to>
      <xdr:col>2</xdr:col>
      <xdr:colOff>577213</xdr:colOff>
      <xdr:row>14</xdr:row>
      <xdr:rowOff>252735</xdr:rowOff>
    </xdr:to>
    <xdr:pic>
      <xdr:nvPicPr>
        <xdr:cNvPr id="19" name="Gráfico 30">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rot="5400000">
          <a:off x="287734" y="2371328"/>
          <a:ext cx="2956719" cy="2541744"/>
        </a:xfrm>
        <a:prstGeom prst="rect">
          <a:avLst/>
        </a:prstGeom>
      </xdr:spPr>
    </xdr:pic>
    <xdr:clientData/>
  </xdr:twoCellAnchor>
  <xdr:twoCellAnchor editAs="oneCell">
    <xdr:from>
      <xdr:col>5</xdr:col>
      <xdr:colOff>2212578</xdr:colOff>
      <xdr:row>5</xdr:row>
      <xdr:rowOff>69452</xdr:rowOff>
    </xdr:from>
    <xdr:to>
      <xdr:col>6</xdr:col>
      <xdr:colOff>9923</xdr:colOff>
      <xdr:row>10</xdr:row>
      <xdr:rowOff>89295</xdr:rowOff>
    </xdr:to>
    <xdr:pic>
      <xdr:nvPicPr>
        <xdr:cNvPr id="23" name="Imagen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5"/>
        <a:stretch>
          <a:fillRect/>
        </a:stretch>
      </xdr:blipFill>
      <xdr:spPr>
        <a:xfrm>
          <a:off x="9921875" y="1180702"/>
          <a:ext cx="89298" cy="2093515"/>
        </a:xfrm>
        <a:prstGeom prst="rect">
          <a:avLst/>
        </a:prstGeom>
      </xdr:spPr>
    </xdr:pic>
    <xdr:clientData/>
  </xdr:twoCellAnchor>
  <xdr:twoCellAnchor editAs="oneCell">
    <xdr:from>
      <xdr:col>5</xdr:col>
      <xdr:colOff>2176462</xdr:colOff>
      <xdr:row>9</xdr:row>
      <xdr:rowOff>509588</xdr:rowOff>
    </xdr:from>
    <xdr:to>
      <xdr:col>5</xdr:col>
      <xdr:colOff>2265760</xdr:colOff>
      <xdr:row>15</xdr:row>
      <xdr:rowOff>63866</xdr:rowOff>
    </xdr:to>
    <xdr:pic>
      <xdr:nvPicPr>
        <xdr:cNvPr id="24" name="Imagen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5"/>
        <a:stretch>
          <a:fillRect/>
        </a:stretch>
      </xdr:blipFill>
      <xdr:spPr>
        <a:xfrm>
          <a:off x="9885759" y="3119041"/>
          <a:ext cx="89298" cy="209351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ancolombia.sharepoint.com/sites/pcamelot/Paginas/inicio.aspx?t=Personas" TargetMode="External"/><Relationship Id="rId2" Type="http://schemas.openxmlformats.org/officeDocument/2006/relationships/hyperlink" Target="https://siempreprotegido.axa-assistance.com.co/" TargetMode="External"/><Relationship Id="rId1" Type="http://schemas.openxmlformats.org/officeDocument/2006/relationships/hyperlink" Target="https://www.grupobancolombia.com/personas/necesidades/mas-beneficios/oferta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A7A82-4E62-4CC5-B402-B7EADAF9AA74}">
  <sheetPr codeName="Hoja1"/>
  <dimension ref="B4:H28"/>
  <sheetViews>
    <sheetView showGridLines="0" showRowColHeaders="0" tabSelected="1" zoomScale="78" zoomScaleNormal="78" workbookViewId="0">
      <selection activeCell="F6" sqref="F6"/>
    </sheetView>
  </sheetViews>
  <sheetFormatPr baseColWidth="10" defaultRowHeight="15"/>
  <cols>
    <col min="1" max="1" width="3.42578125" style="16" customWidth="1"/>
    <col min="2" max="2" width="29.42578125" style="16" customWidth="1"/>
    <col min="3" max="3" width="40.5703125" style="16" customWidth="1"/>
    <col min="4" max="4" width="26.7109375" style="16" customWidth="1"/>
    <col min="5" max="5" width="3.28515625" style="16" customWidth="1"/>
    <col min="6" max="6" width="34.42578125" style="16" customWidth="1"/>
    <col min="7" max="7" width="91.7109375" style="16" customWidth="1"/>
    <col min="8" max="8" width="27.7109375" style="18" customWidth="1"/>
    <col min="9" max="16384" width="11.42578125" style="16"/>
  </cols>
  <sheetData>
    <row r="4" spans="2:8">
      <c r="D4" s="17">
        <f>VLOOKUP(D6,Parametros!$B:$C,2,0)</f>
        <v>530372</v>
      </c>
      <c r="E4" s="17"/>
    </row>
    <row r="5" spans="2:8" ht="28.5" customHeight="1">
      <c r="C5" s="59"/>
      <c r="D5" s="59"/>
      <c r="F5" s="61"/>
      <c r="G5" s="23"/>
      <c r="H5" s="16"/>
    </row>
    <row r="6" spans="2:8" ht="22.5" customHeight="1">
      <c r="B6" s="66" t="s">
        <v>73</v>
      </c>
      <c r="C6" s="66"/>
      <c r="D6" s="47" t="s">
        <v>16</v>
      </c>
      <c r="E6"/>
      <c r="F6" s="52" t="s">
        <v>39</v>
      </c>
      <c r="G6" s="49" t="str">
        <f>VLOOKUP($D$4,'Caracteristicas TDC'!$A:$F,3,0)</f>
        <v>Desde $5.000.000 hasta $50.000.000.</v>
      </c>
      <c r="H6" s="16"/>
    </row>
    <row r="7" spans="2:8" ht="42.75" customHeight="1">
      <c r="B7" s="66" t="s">
        <v>325</v>
      </c>
      <c r="C7" s="66"/>
      <c r="D7" s="54">
        <v>3500</v>
      </c>
      <c r="E7" s="22"/>
      <c r="F7" s="53" t="s">
        <v>270</v>
      </c>
      <c r="G7" s="50" t="str">
        <f>VLOOKUP($D$4,'Caracteristicas TDC'!$A:$F,4,0)</f>
        <v>6 Puntos Colombia por cada $4.800 en compras</v>
      </c>
      <c r="H7" s="16"/>
    </row>
    <row r="8" spans="2:8" ht="30" customHeight="1">
      <c r="C8" s="60"/>
      <c r="D8" s="59"/>
      <c r="F8" s="53" t="s">
        <v>283</v>
      </c>
      <c r="G8" s="51">
        <v>1000000</v>
      </c>
      <c r="H8" s="16"/>
    </row>
    <row r="9" spans="2:8" ht="22.5" customHeight="1">
      <c r="C9" s="29"/>
      <c r="D9" s="59"/>
      <c r="F9" s="52" t="s">
        <v>282</v>
      </c>
      <c r="G9" s="55">
        <f>((G8/(VLOOKUP(D4,'Caracteristicas TDC'!A:N,14,0)))*VLOOKUP(D4,'Caracteristicas TDC'!A:M,13,0))</f>
        <v>1250</v>
      </c>
      <c r="H9" s="16"/>
    </row>
    <row r="10" spans="2:8" ht="45" customHeight="1">
      <c r="B10" s="72"/>
      <c r="C10" s="72"/>
      <c r="D10" s="28"/>
      <c r="E10" s="22"/>
      <c r="F10" s="53" t="s">
        <v>77</v>
      </c>
      <c r="G10" s="50" t="str">
        <f>VLOOKUP($D$4,'Caracteristicas TDC'!$A:$H,8,0)</f>
        <v>No Aplica</v>
      </c>
      <c r="H10" s="16"/>
    </row>
    <row r="11" spans="2:8" ht="22.5" customHeight="1">
      <c r="C11" s="67"/>
      <c r="F11" s="52" t="s">
        <v>136</v>
      </c>
      <c r="G11" s="49" t="str">
        <f>VLOOKUP($D$4,'Caracteristicas TDC'!$A:$I,9,0)</f>
        <v>Hasta el 100% del cupo disponible en la cuenta de ahorros o efectivo.</v>
      </c>
      <c r="H11" s="16"/>
    </row>
    <row r="12" spans="2:8" ht="64.5" customHeight="1">
      <c r="C12" s="67"/>
      <c r="D12" s="38">
        <f>SUM(D20:D25)</f>
        <v>301990</v>
      </c>
      <c r="F12" s="52" t="s">
        <v>260</v>
      </c>
      <c r="G12" s="50" t="str">
        <f>VLOOKUP($D$4,'Caracteristicas TDC'!$A:$K,11,0)</f>
        <v>$ 12.200 Corresponsal Bancario
$ 5.650 Cajero Electronico, 
$5.400 SVP y APP 
$ 13.290 (2) Sucursal Física.</v>
      </c>
      <c r="H12" s="16"/>
    </row>
    <row r="13" spans="2:8" ht="22.5" customHeight="1">
      <c r="C13" s="67"/>
      <c r="D13" s="38">
        <f>-D19</f>
        <v>-28590</v>
      </c>
      <c r="F13" s="52" t="s">
        <v>259</v>
      </c>
      <c r="G13" s="49" t="str">
        <f>VLOOKUP($D$4,'Caracteristicas TDC'!$A:$L,12,0)</f>
        <v xml:space="preserve">Segmento Personal, Plus, Plus alto </v>
      </c>
      <c r="H13" s="16"/>
    </row>
    <row r="14" spans="2:8" ht="22.5" customHeight="1">
      <c r="C14" s="67"/>
      <c r="D14" s="38"/>
      <c r="F14" s="52" t="s">
        <v>130</v>
      </c>
      <c r="G14" s="49" t="str">
        <f>VLOOKUP($D$4,'Caracteristicas TDC'!$A:$J,10,0)</f>
        <v>10% adicional al cupo</v>
      </c>
      <c r="H14" s="16"/>
    </row>
    <row r="15" spans="2:8" ht="22.5" customHeight="1">
      <c r="D15" s="39">
        <f>SUM(D20:D25)-D19</f>
        <v>273400</v>
      </c>
      <c r="F15" s="52" t="s">
        <v>319</v>
      </c>
      <c r="G15" s="49" t="str">
        <f>VLOOKUP($D$4,'Caracteristicas TDC'!$A:G,7,0)</f>
        <v>Pesos(COP) / Dólar (USD).</v>
      </c>
      <c r="H15" s="16"/>
    </row>
    <row r="16" spans="2:8" ht="30" customHeight="1">
      <c r="F16" s="52" t="s">
        <v>271</v>
      </c>
      <c r="G16" s="50" t="s">
        <v>272</v>
      </c>
      <c r="H16" s="16"/>
    </row>
    <row r="17" spans="2:8" ht="15.75" customHeight="1"/>
    <row r="18" spans="2:8" ht="38.25" customHeight="1">
      <c r="B18" s="41" t="s">
        <v>75</v>
      </c>
      <c r="C18" s="41" t="s">
        <v>2</v>
      </c>
      <c r="D18" s="41" t="s">
        <v>6</v>
      </c>
      <c r="E18" s="41"/>
      <c r="F18" s="42" t="s">
        <v>326</v>
      </c>
      <c r="G18" s="41" t="s">
        <v>74</v>
      </c>
      <c r="H18" s="16"/>
    </row>
    <row r="19" spans="2:8" ht="29.25" customHeight="1">
      <c r="C19" s="36" t="s">
        <v>1</v>
      </c>
      <c r="D19" s="37">
        <f>VLOOKUP($D$4,'Caracteristicas TDC'!$A:$F,6,0)</f>
        <v>28590</v>
      </c>
      <c r="E19" s="34"/>
      <c r="F19" s="34">
        <f>IFERROR(D19/30,"")</f>
        <v>953</v>
      </c>
      <c r="G19" s="35"/>
      <c r="H19" s="16"/>
    </row>
    <row r="20" spans="2:8" ht="61.5" customHeight="1">
      <c r="B20" s="70" t="s">
        <v>327</v>
      </c>
      <c r="C20" s="43" t="s">
        <v>47</v>
      </c>
      <c r="D20" s="34">
        <f>IFERROR(VLOOKUP(C20,'Seguros TDC'!$K:$M,3,0),"")</f>
        <v>45900</v>
      </c>
      <c r="E20" s="34"/>
      <c r="F20" s="34">
        <f t="shared" ref="F20:F24" si="0">IFERROR(D20/30,"")</f>
        <v>1530</v>
      </c>
      <c r="G20" s="56" t="str">
        <f>IFERROR(VLOOKUP(C20,'Seguros TDC'!$K:$M,2,0),"")</f>
        <v>Daños accidentales o robo durante  (45) días a partir de la fecha de compra. La cobertura alcanza los USD 200 por incidente y contempla un total de USD 400 anuales.</v>
      </c>
      <c r="H20" s="16"/>
    </row>
    <row r="21" spans="2:8" ht="39.75" customHeight="1">
      <c r="B21" s="71"/>
      <c r="C21" s="44" t="s">
        <v>108</v>
      </c>
      <c r="D21" s="34">
        <f>IFERROR(VLOOKUP(C21,'Seguros TDC'!$K:$M,3,0),"")</f>
        <v>29166.666666666668</v>
      </c>
      <c r="E21" s="34"/>
      <c r="F21" s="34">
        <f t="shared" si="0"/>
        <v>972.22222222222229</v>
      </c>
      <c r="G21" s="56" t="str">
        <f>IFERROR(VLOOKUP(C21,'Seguros TDC'!$K:$M,2,0),"")</f>
        <v>Paga el costo total del producto y si ves un precio menor por el mismo, en los 45 días siguientes a la compra, se te reembolsará la diferencia. El cubrimiento es USD 100 por incidente, hasta USD 200 al año</v>
      </c>
      <c r="H21" s="16"/>
    </row>
    <row r="22" spans="2:8" ht="81" customHeight="1">
      <c r="B22" s="40" t="s">
        <v>328</v>
      </c>
      <c r="C22" s="45" t="s">
        <v>147</v>
      </c>
      <c r="D22" s="34">
        <f>IFERROR(VLOOKUP(C22,Asistencias!$K:$M,3,0),"")</f>
        <v>102083.33333333334</v>
      </c>
      <c r="E22" s="34"/>
      <c r="F22" s="34">
        <f t="shared" si="0"/>
        <v>3402.7777777777783</v>
      </c>
      <c r="G22" s="56" t="str">
        <f>IFERROR(VLOOKUP(C22,Asistencias!$K:$M,2,0),"")</f>
        <v>Envío y pago de grúa para trasladar el vehículo al concesionario o taller más cercano. Hasta USD 350 ilimitado por eventos.</v>
      </c>
      <c r="H22" s="16"/>
    </row>
    <row r="23" spans="2:8" ht="59.25" customHeight="1">
      <c r="B23" s="33" t="s">
        <v>269</v>
      </c>
      <c r="C23" s="46" t="s">
        <v>149</v>
      </c>
      <c r="D23" s="34">
        <f>IFERROR(VLOOKUP(C23,Asistencias!$K:$M,3,0),"")</f>
        <v>87500</v>
      </c>
      <c r="E23" s="34"/>
      <c r="F23" s="34">
        <f t="shared" si="0"/>
        <v>2916.6666666666665</v>
      </c>
      <c r="G23" s="56" t="str">
        <f>IFERROR(VLOOKUP(C23,Asistencias!$K:$M,2,0),"")</f>
        <v>Gastos menores de reparación (Mano de obra y materiales) en emergencias por Plomería, Vidriería, Electricidad, Cerrajería con un cubrimiento hasta USD 300 por evento - ilimitado por eventos</v>
      </c>
      <c r="H23" s="16"/>
    </row>
    <row r="24" spans="2:8" ht="172.5" customHeight="1">
      <c r="B24" s="68" t="s">
        <v>69</v>
      </c>
      <c r="C24" s="47" t="s">
        <v>131</v>
      </c>
      <c r="D24" s="34">
        <f>IFERROR(VLOOKUP(C24,Beneficios!K:M,3,0),"")</f>
        <v>28590</v>
      </c>
      <c r="E24" s="34"/>
      <c r="F24" s="34">
        <f t="shared" si="0"/>
        <v>953</v>
      </c>
      <c r="G24" s="56" t="str">
        <f>IFERROR(VLOOKUP(C24,Beneficios!K:M,2,0),"")</f>
        <v>Exoneración de cuota de manejo durante 6 meses, aplica hasta el 31 de Mayo de 2022</v>
      </c>
      <c r="H24" s="16"/>
    </row>
    <row r="25" spans="2:8" ht="168.75" customHeight="1">
      <c r="B25" s="69"/>
      <c r="C25" s="48" t="s">
        <v>284</v>
      </c>
      <c r="D25" s="34">
        <f>IFERROR(VLOOKUP(C25,Beneficios!K:M,3,0),"")</f>
        <v>8750</v>
      </c>
      <c r="E25" s="34"/>
      <c r="F25" s="34">
        <f t="shared" ref="F25" si="1">IFERROR(D25/30,"")</f>
        <v>291.66666666666669</v>
      </c>
      <c r="G25" s="56" t="str">
        <f>IFERROR(VLOOKUP(C25,Beneficios!K:M,2,0),"")</f>
        <v xml:space="preserve">Acumula 6 puntos Colombia por cada $4.800, y con los puntos acumulados puedes redimir productos en las marcas aliadas o vuelos. En la parte superior de la herramienta puedes diligenciar un monto promedio de facturacion mensual y aquí se vera reflejado el beneficio en pesos de la acumulacion de los puntos. Algunas de las marcas aliadas son: Almacenes Exito y exito.com, Carulla, Surtimax, deli, frisby, Ifood, Dominos Pizza, Lifemiles,  distrihogar, Oster, Esso movil, Primax, Estacion Exito (gasolina), Pilatos, Replay, Tenis,  Smartfit, Sol verde, Medipiel, Kanu (tienda para animales), Dentisalud, Claro, Cine Colombia, entre otros que puedes consultar https://www.puntoscolombia.com/aliados </v>
      </c>
      <c r="H25" s="16"/>
    </row>
    <row r="26" spans="2:8" ht="15" customHeight="1"/>
    <row r="27" spans="2:8" ht="28.5" customHeight="1">
      <c r="B27" s="62" t="s">
        <v>273</v>
      </c>
      <c r="C27" s="63"/>
      <c r="D27" s="26" t="s">
        <v>258</v>
      </c>
    </row>
    <row r="28" spans="2:8" ht="36.75" customHeight="1">
      <c r="B28" s="64"/>
      <c r="C28" s="65"/>
    </row>
  </sheetData>
  <mergeCells count="7">
    <mergeCell ref="B27:C28"/>
    <mergeCell ref="B7:C7"/>
    <mergeCell ref="B6:C6"/>
    <mergeCell ref="C11:C14"/>
    <mergeCell ref="B24:B25"/>
    <mergeCell ref="B20:B21"/>
    <mergeCell ref="B10:C10"/>
  </mergeCells>
  <hyperlinks>
    <hyperlink ref="D27" r:id="rId1" xr:uid="{02F2401A-5340-4E68-B212-D237C6143757}"/>
    <hyperlink ref="B23" r:id="rId2" xr:uid="{8292C8AE-9CA6-4165-A8CC-FD890C867EF4}"/>
    <hyperlink ref="G16" r:id="rId3" xr:uid="{0D129D66-DD76-4ACD-BCE4-066AE2D072CE}"/>
  </hyperlinks>
  <pageMargins left="0.7" right="0.7" top="0.75" bottom="0.75" header="0.3" footer="0.3"/>
  <pageSetup orientation="portrait" r:id="rId4"/>
  <ignoredErrors>
    <ignoredError sqref="G12" formula="1"/>
  </ignoredErrors>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ABAFFCEF-4B6D-4215-978E-6E526DA5B138}">
          <x14:formula1>
            <xm:f>Parametros!$B$2:$B$1048576</xm:f>
          </x14:formula1>
          <xm:sqref>D6</xm:sqref>
        </x14:dataValidation>
        <x14:dataValidation type="list" allowBlank="1" showInputMessage="1" showErrorMessage="1" xr:uid="{7876B9D1-1C7B-43FE-A190-B5E95A0C1851}">
          <x14:formula1>
            <xm:f>'Seguros TDC'!$K:$K</xm:f>
          </x14:formula1>
          <xm:sqref>C20:C21</xm:sqref>
        </x14:dataValidation>
        <x14:dataValidation type="list" allowBlank="1" showInputMessage="1" showErrorMessage="1" xr:uid="{8F2CE7B0-6EF9-4D1B-B67C-A87960A0F8B1}">
          <x14:formula1>
            <xm:f>Asistencias!$K:$K</xm:f>
          </x14:formula1>
          <xm:sqref>C22:C23</xm:sqref>
        </x14:dataValidation>
        <x14:dataValidation type="list" allowBlank="1" showInputMessage="1" showErrorMessage="1" xr:uid="{EE043CC5-0D44-416D-A025-9DA252A66902}">
          <x14:formula1>
            <xm:f>Beneficios!$K:$K</xm:f>
          </x14:formula1>
          <xm:sqref>C24:C25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A2C6C-A305-409D-A503-A73C3C00A97A}">
  <sheetPr codeName="Hoja2"/>
  <dimension ref="A1:H29"/>
  <sheetViews>
    <sheetView workbookViewId="0">
      <selection activeCell="C5" sqref="C5"/>
    </sheetView>
  </sheetViews>
  <sheetFormatPr baseColWidth="10" defaultRowHeight="15"/>
  <cols>
    <col min="1" max="1" width="17.140625" bestFit="1" customWidth="1"/>
    <col min="2" max="2" width="32.140625" customWidth="1"/>
    <col min="6" max="6" width="22.85546875" bestFit="1" customWidth="1"/>
  </cols>
  <sheetData>
    <row r="1" spans="1:8">
      <c r="A1" s="12" t="s">
        <v>37</v>
      </c>
      <c r="B1" s="12" t="s">
        <v>27</v>
      </c>
      <c r="C1" s="12" t="s">
        <v>0</v>
      </c>
      <c r="F1" s="4"/>
      <c r="G1" s="4"/>
    </row>
    <row r="2" spans="1:8">
      <c r="A2" s="73" t="s">
        <v>28</v>
      </c>
      <c r="B2" s="4" t="s">
        <v>7</v>
      </c>
      <c r="C2" s="4">
        <v>517640</v>
      </c>
      <c r="F2" s="4"/>
      <c r="G2" s="3"/>
      <c r="H2" s="4"/>
    </row>
    <row r="3" spans="1:8">
      <c r="A3" s="73"/>
      <c r="B3" s="4" t="s">
        <v>26</v>
      </c>
      <c r="C3" s="3">
        <v>547062</v>
      </c>
      <c r="F3" s="4"/>
      <c r="G3" s="4"/>
      <c r="H3" s="4"/>
    </row>
    <row r="4" spans="1:8">
      <c r="A4" s="73"/>
      <c r="B4" s="4" t="s">
        <v>8</v>
      </c>
      <c r="C4" s="4">
        <v>540691</v>
      </c>
      <c r="F4" s="4"/>
      <c r="G4" s="4"/>
      <c r="H4" s="3"/>
    </row>
    <row r="5" spans="1:8">
      <c r="A5" s="73" t="s">
        <v>29</v>
      </c>
      <c r="B5" s="4" t="s">
        <v>11</v>
      </c>
      <c r="C5" s="4">
        <v>451307</v>
      </c>
      <c r="F5" s="4"/>
      <c r="G5" s="4"/>
      <c r="H5" s="4"/>
    </row>
    <row r="6" spans="1:8">
      <c r="A6" s="73"/>
      <c r="B6" s="4" t="s">
        <v>10</v>
      </c>
      <c r="C6" s="4">
        <v>409983</v>
      </c>
      <c r="F6" s="5"/>
      <c r="G6" s="5"/>
      <c r="H6" s="4"/>
    </row>
    <row r="7" spans="1:8">
      <c r="A7" s="73"/>
      <c r="B7" s="4" t="s">
        <v>12</v>
      </c>
      <c r="C7" s="4">
        <v>530371</v>
      </c>
      <c r="F7" s="5"/>
      <c r="G7" s="5"/>
      <c r="H7" s="4"/>
    </row>
    <row r="8" spans="1:8">
      <c r="A8" s="73"/>
      <c r="B8" s="4" t="s">
        <v>9</v>
      </c>
      <c r="C8" s="4">
        <v>377813</v>
      </c>
      <c r="F8" s="5"/>
      <c r="G8" s="5"/>
      <c r="H8" s="4"/>
    </row>
    <row r="9" spans="1:8">
      <c r="A9" s="73"/>
      <c r="B9" s="4" t="s">
        <v>17</v>
      </c>
      <c r="C9" s="4">
        <v>377844</v>
      </c>
      <c r="F9" s="5"/>
      <c r="G9" s="5"/>
      <c r="H9" s="4"/>
    </row>
    <row r="10" spans="1:8">
      <c r="A10" s="73" t="s">
        <v>30</v>
      </c>
      <c r="B10" s="4" t="s">
        <v>16</v>
      </c>
      <c r="C10" s="4">
        <v>530372</v>
      </c>
      <c r="F10" s="5"/>
      <c r="G10" s="5"/>
      <c r="H10" s="4"/>
    </row>
    <row r="11" spans="1:8">
      <c r="A11" s="73"/>
      <c r="B11" s="4" t="s">
        <v>285</v>
      </c>
      <c r="C11" s="4">
        <v>451308</v>
      </c>
      <c r="F11" s="5"/>
      <c r="G11" s="5"/>
      <c r="H11" s="4"/>
    </row>
    <row r="12" spans="1:8">
      <c r="A12" s="73"/>
      <c r="B12" s="4" t="s">
        <v>15</v>
      </c>
      <c r="C12" s="4">
        <v>377815</v>
      </c>
      <c r="F12" s="5"/>
      <c r="G12" s="5"/>
      <c r="H12" s="4"/>
    </row>
    <row r="13" spans="1:8">
      <c r="A13" s="73" t="s">
        <v>31</v>
      </c>
      <c r="B13" s="4" t="s">
        <v>19</v>
      </c>
      <c r="C13" s="4">
        <v>377816</v>
      </c>
      <c r="F13" s="5"/>
      <c r="G13" s="5"/>
      <c r="H13" s="4"/>
    </row>
    <row r="14" spans="1:8">
      <c r="A14" s="73"/>
      <c r="B14" s="4" t="s">
        <v>22</v>
      </c>
      <c r="C14" s="4">
        <v>549157</v>
      </c>
      <c r="F14" s="4"/>
      <c r="G14" s="4"/>
      <c r="H14" s="4"/>
    </row>
    <row r="15" spans="1:8">
      <c r="A15" s="73"/>
      <c r="B15" s="4" t="s">
        <v>20</v>
      </c>
      <c r="C15" s="4">
        <v>409984</v>
      </c>
      <c r="F15" s="4"/>
      <c r="G15" s="4"/>
      <c r="H15" s="4"/>
    </row>
    <row r="16" spans="1:8">
      <c r="A16" s="73" t="s">
        <v>32</v>
      </c>
      <c r="B16" s="4" t="s">
        <v>18</v>
      </c>
      <c r="C16" s="4">
        <v>377814</v>
      </c>
      <c r="F16" s="4"/>
      <c r="G16" s="4"/>
      <c r="H16" s="4"/>
    </row>
    <row r="17" spans="1:8">
      <c r="A17" s="73"/>
      <c r="B17" s="4" t="s">
        <v>21</v>
      </c>
      <c r="C17" s="4">
        <v>411054</v>
      </c>
      <c r="F17" s="4"/>
      <c r="G17" s="4"/>
      <c r="H17" s="4"/>
    </row>
    <row r="18" spans="1:8">
      <c r="A18" s="73"/>
      <c r="B18" s="10" t="s">
        <v>23</v>
      </c>
      <c r="C18" s="10">
        <v>549158</v>
      </c>
      <c r="F18" s="4"/>
      <c r="G18" s="4"/>
      <c r="H18" s="4"/>
    </row>
    <row r="19" spans="1:8">
      <c r="A19" s="73" t="s">
        <v>33</v>
      </c>
      <c r="B19" s="4" t="s">
        <v>14</v>
      </c>
      <c r="C19" s="4">
        <v>459425</v>
      </c>
      <c r="F19" s="4"/>
      <c r="G19" s="4"/>
      <c r="H19" s="4"/>
    </row>
    <row r="20" spans="1:8">
      <c r="A20" s="73"/>
      <c r="B20" s="4" t="s">
        <v>139</v>
      </c>
      <c r="C20" s="4">
        <v>530693</v>
      </c>
      <c r="F20" s="4"/>
      <c r="G20" s="4"/>
      <c r="H20" s="4"/>
    </row>
    <row r="21" spans="1:8">
      <c r="A21" s="73" t="s">
        <v>34</v>
      </c>
      <c r="B21" s="4" t="s">
        <v>24</v>
      </c>
      <c r="C21" s="4">
        <v>449188</v>
      </c>
      <c r="F21" s="4"/>
      <c r="G21" s="4"/>
      <c r="H21" s="4"/>
    </row>
    <row r="22" spans="1:8">
      <c r="A22" s="73"/>
      <c r="B22" s="4" t="s">
        <v>25</v>
      </c>
      <c r="C22" s="4">
        <v>459426</v>
      </c>
      <c r="F22" s="4"/>
      <c r="G22" s="4"/>
      <c r="H22" s="4"/>
    </row>
    <row r="23" spans="1:8">
      <c r="A23" s="73"/>
      <c r="B23" s="4" t="s">
        <v>238</v>
      </c>
      <c r="C23" s="6">
        <v>451309</v>
      </c>
      <c r="F23" s="4"/>
      <c r="G23" s="4"/>
      <c r="H23" s="4"/>
    </row>
    <row r="24" spans="1:8">
      <c r="A24" s="73"/>
      <c r="B24" s="4" t="s">
        <v>276</v>
      </c>
      <c r="C24" s="4">
        <v>553145</v>
      </c>
      <c r="F24" s="5"/>
      <c r="G24" s="5"/>
      <c r="H24" s="4"/>
    </row>
    <row r="25" spans="1:8">
      <c r="A25" s="73"/>
      <c r="B25" s="4" t="s">
        <v>239</v>
      </c>
      <c r="C25" s="4">
        <v>530373</v>
      </c>
      <c r="F25" s="4"/>
      <c r="G25" s="4"/>
      <c r="H25" s="4"/>
    </row>
    <row r="26" spans="1:8">
      <c r="A26" s="73" t="s">
        <v>35</v>
      </c>
      <c r="B26" s="5" t="s">
        <v>36</v>
      </c>
      <c r="C26" s="5">
        <v>552588</v>
      </c>
      <c r="F26" s="4"/>
      <c r="G26" s="4"/>
      <c r="H26" s="4"/>
    </row>
    <row r="27" spans="1:8">
      <c r="A27" s="73"/>
      <c r="B27" s="10" t="s">
        <v>13</v>
      </c>
      <c r="C27" s="7">
        <v>409985</v>
      </c>
      <c r="D27" s="9"/>
      <c r="F27" s="4"/>
      <c r="G27" s="4"/>
      <c r="H27" s="4"/>
    </row>
    <row r="28" spans="1:8">
      <c r="A28" s="73"/>
      <c r="B28" s="10" t="s">
        <v>237</v>
      </c>
      <c r="C28" s="8">
        <v>547480</v>
      </c>
      <c r="D28" s="9"/>
      <c r="F28" s="5"/>
      <c r="G28" s="5"/>
    </row>
    <row r="29" spans="1:8">
      <c r="B29" s="4"/>
      <c r="C29" s="4"/>
      <c r="G29" s="4"/>
      <c r="H29" s="4"/>
    </row>
  </sheetData>
  <mergeCells count="8">
    <mergeCell ref="A21:A25"/>
    <mergeCell ref="A26:A28"/>
    <mergeCell ref="A2:A4"/>
    <mergeCell ref="A5:A9"/>
    <mergeCell ref="A10:A12"/>
    <mergeCell ref="A13:A15"/>
    <mergeCell ref="A16:A18"/>
    <mergeCell ref="A19:A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AE9A-DAB9-443C-81D5-FCF6DEF78C9A}">
  <sheetPr codeName="Hoja3"/>
  <dimension ref="A1:N34"/>
  <sheetViews>
    <sheetView workbookViewId="0">
      <pane xSplit="1" topLeftCell="B1" activePane="topRight" state="frozen"/>
      <selection pane="topRight" activeCell="D12" sqref="D12"/>
    </sheetView>
  </sheetViews>
  <sheetFormatPr baseColWidth="10" defaultRowHeight="15"/>
  <cols>
    <col min="2" max="2" width="29.85546875" style="9" bestFit="1" customWidth="1"/>
    <col min="3" max="3" width="34.5703125" customWidth="1"/>
    <col min="4" max="4" width="73.42578125" customWidth="1"/>
    <col min="5" max="5" width="20.85546875" customWidth="1"/>
    <col min="6" max="6" width="25.5703125" style="1" customWidth="1"/>
    <col min="7" max="7" width="23.42578125" customWidth="1"/>
    <col min="8" max="8" width="17.42578125" customWidth="1"/>
    <col min="9" max="9" width="63" customWidth="1"/>
    <col min="10" max="10" width="19.85546875" customWidth="1"/>
    <col min="11" max="11" width="36.28515625" customWidth="1"/>
    <col min="12" max="12" width="56.28515625" customWidth="1"/>
    <col min="13" max="13" width="15.7109375" bestFit="1" customWidth="1"/>
  </cols>
  <sheetData>
    <row r="1" spans="1:14">
      <c r="A1" s="12" t="s">
        <v>0</v>
      </c>
      <c r="B1" s="12" t="s">
        <v>38</v>
      </c>
      <c r="C1" s="12" t="s">
        <v>39</v>
      </c>
      <c r="D1" s="12" t="s">
        <v>40</v>
      </c>
      <c r="E1" s="12" t="s">
        <v>41</v>
      </c>
      <c r="F1" s="14" t="s">
        <v>1</v>
      </c>
      <c r="G1" s="12" t="s">
        <v>42</v>
      </c>
      <c r="H1" s="12" t="s">
        <v>77</v>
      </c>
      <c r="I1" s="15" t="s">
        <v>136</v>
      </c>
      <c r="J1" s="15" t="s">
        <v>130</v>
      </c>
      <c r="K1" s="27" t="s">
        <v>260</v>
      </c>
      <c r="L1" s="27" t="s">
        <v>261</v>
      </c>
      <c r="M1" s="30" t="s">
        <v>280</v>
      </c>
      <c r="N1" s="30" t="s">
        <v>281</v>
      </c>
    </row>
    <row r="2" spans="1:14" ht="60">
      <c r="A2" s="10">
        <v>517640</v>
      </c>
      <c r="B2" s="10" t="s">
        <v>7</v>
      </c>
      <c r="C2" s="9" t="s">
        <v>43</v>
      </c>
      <c r="D2" s="9" t="s">
        <v>45</v>
      </c>
      <c r="E2" s="9" t="s">
        <v>46</v>
      </c>
      <c r="F2" s="21">
        <v>0</v>
      </c>
      <c r="G2" t="s">
        <v>44</v>
      </c>
      <c r="H2" t="s">
        <v>82</v>
      </c>
      <c r="I2" t="s">
        <v>226</v>
      </c>
      <c r="J2" t="s">
        <v>140</v>
      </c>
      <c r="K2" s="2" t="s">
        <v>352</v>
      </c>
      <c r="L2" t="s">
        <v>309</v>
      </c>
      <c r="M2">
        <v>6</v>
      </c>
      <c r="N2">
        <v>6600</v>
      </c>
    </row>
    <row r="3" spans="1:14" ht="60">
      <c r="A3" s="9">
        <v>547062</v>
      </c>
      <c r="B3" s="10" t="s">
        <v>26</v>
      </c>
      <c r="C3" s="9" t="s">
        <v>51</v>
      </c>
      <c r="D3" s="9" t="s">
        <v>52</v>
      </c>
      <c r="E3" s="9" t="s">
        <v>46</v>
      </c>
      <c r="F3" s="21">
        <v>15990</v>
      </c>
      <c r="G3" t="s">
        <v>53</v>
      </c>
      <c r="H3" s="9" t="s">
        <v>82</v>
      </c>
      <c r="I3" s="9" t="s">
        <v>226</v>
      </c>
      <c r="J3" s="9" t="s">
        <v>140</v>
      </c>
      <c r="K3" s="2" t="s">
        <v>352</v>
      </c>
      <c r="L3" s="9" t="s">
        <v>302</v>
      </c>
      <c r="M3">
        <v>0</v>
      </c>
      <c r="N3">
        <v>0</v>
      </c>
    </row>
    <row r="4" spans="1:14" ht="60">
      <c r="A4" s="10">
        <v>540691</v>
      </c>
      <c r="B4" s="10" t="s">
        <v>8</v>
      </c>
      <c r="C4" s="9" t="s">
        <v>55</v>
      </c>
      <c r="D4" s="9" t="s">
        <v>56</v>
      </c>
      <c r="E4" s="9" t="s">
        <v>46</v>
      </c>
      <c r="F4" s="21">
        <v>13690</v>
      </c>
      <c r="G4" t="s">
        <v>53</v>
      </c>
      <c r="H4" s="9" t="s">
        <v>82</v>
      </c>
      <c r="I4" s="9" t="s">
        <v>226</v>
      </c>
      <c r="J4" s="9" t="s">
        <v>140</v>
      </c>
      <c r="K4" s="2" t="s">
        <v>352</v>
      </c>
      <c r="L4" s="9" t="s">
        <v>303</v>
      </c>
      <c r="M4">
        <v>6</v>
      </c>
      <c r="N4">
        <v>6600</v>
      </c>
    </row>
    <row r="5" spans="1:14" ht="60">
      <c r="A5" s="10">
        <v>451307</v>
      </c>
      <c r="B5" s="10" t="s">
        <v>11</v>
      </c>
      <c r="C5" s="9" t="s">
        <v>58</v>
      </c>
      <c r="D5" s="9" t="s">
        <v>62</v>
      </c>
      <c r="E5" s="9" t="s">
        <v>63</v>
      </c>
      <c r="F5" s="21">
        <v>24590</v>
      </c>
      <c r="G5" t="s">
        <v>65</v>
      </c>
      <c r="H5" s="9" t="s">
        <v>82</v>
      </c>
      <c r="I5" s="9" t="s">
        <v>226</v>
      </c>
      <c r="J5" s="9" t="s">
        <v>140</v>
      </c>
      <c r="K5" s="2" t="s">
        <v>352</v>
      </c>
      <c r="L5" s="9" t="s">
        <v>304</v>
      </c>
      <c r="M5">
        <v>6</v>
      </c>
      <c r="N5">
        <v>6600</v>
      </c>
    </row>
    <row r="6" spans="1:14" ht="60">
      <c r="A6" s="10">
        <v>409983</v>
      </c>
      <c r="B6" s="10" t="s">
        <v>10</v>
      </c>
      <c r="C6" s="9" t="s">
        <v>59</v>
      </c>
      <c r="D6" s="9" t="s">
        <v>62</v>
      </c>
      <c r="E6" s="9" t="s">
        <v>63</v>
      </c>
      <c r="F6" s="21">
        <v>22290</v>
      </c>
      <c r="G6" s="9" t="s">
        <v>65</v>
      </c>
      <c r="H6" s="9" t="s">
        <v>82</v>
      </c>
      <c r="I6" s="9" t="s">
        <v>226</v>
      </c>
      <c r="J6" s="9" t="s">
        <v>140</v>
      </c>
      <c r="K6" s="2" t="s">
        <v>352</v>
      </c>
      <c r="L6" s="9" t="s">
        <v>277</v>
      </c>
      <c r="M6">
        <v>6</v>
      </c>
      <c r="N6">
        <v>6600</v>
      </c>
    </row>
    <row r="7" spans="1:14" ht="60">
      <c r="A7" s="10">
        <v>530371</v>
      </c>
      <c r="B7" s="10" t="s">
        <v>12</v>
      </c>
      <c r="C7" s="9" t="s">
        <v>60</v>
      </c>
      <c r="D7" s="9" t="s">
        <v>62</v>
      </c>
      <c r="E7" s="9" t="s">
        <v>46</v>
      </c>
      <c r="F7" s="21">
        <v>24590</v>
      </c>
      <c r="G7" t="s">
        <v>53</v>
      </c>
      <c r="H7" s="9" t="s">
        <v>82</v>
      </c>
      <c r="I7" s="9" t="s">
        <v>226</v>
      </c>
      <c r="J7" s="9" t="s">
        <v>140</v>
      </c>
      <c r="K7" s="2" t="s">
        <v>352</v>
      </c>
      <c r="L7" s="9" t="s">
        <v>304</v>
      </c>
      <c r="M7">
        <v>6</v>
      </c>
      <c r="N7">
        <v>6600</v>
      </c>
    </row>
    <row r="8" spans="1:14" ht="60">
      <c r="A8" s="10">
        <v>377813</v>
      </c>
      <c r="B8" s="10" t="s">
        <v>9</v>
      </c>
      <c r="C8" s="9" t="s">
        <v>61</v>
      </c>
      <c r="D8" s="9" t="s">
        <v>62</v>
      </c>
      <c r="E8" s="9" t="s">
        <v>64</v>
      </c>
      <c r="F8" s="21">
        <v>26090</v>
      </c>
      <c r="G8" t="s">
        <v>53</v>
      </c>
      <c r="H8" s="9" t="s">
        <v>82</v>
      </c>
      <c r="I8" s="9" t="s">
        <v>226</v>
      </c>
      <c r="J8" s="9" t="s">
        <v>140</v>
      </c>
      <c r="K8" s="2" t="s">
        <v>352</v>
      </c>
      <c r="L8" s="9" t="s">
        <v>304</v>
      </c>
      <c r="M8">
        <v>6</v>
      </c>
      <c r="N8">
        <v>6600</v>
      </c>
    </row>
    <row r="9" spans="1:14" ht="60">
      <c r="A9" s="10">
        <v>377844</v>
      </c>
      <c r="B9" s="10" t="s">
        <v>17</v>
      </c>
      <c r="C9" s="9" t="s">
        <v>59</v>
      </c>
      <c r="D9" s="9" t="s">
        <v>52</v>
      </c>
      <c r="E9" s="9" t="s">
        <v>64</v>
      </c>
      <c r="F9" s="21">
        <v>0</v>
      </c>
      <c r="G9" t="s">
        <v>53</v>
      </c>
      <c r="H9" s="9" t="s">
        <v>82</v>
      </c>
      <c r="I9" s="9" t="s">
        <v>226</v>
      </c>
      <c r="J9" s="9" t="s">
        <v>140</v>
      </c>
      <c r="K9" s="2" t="s">
        <v>352</v>
      </c>
      <c r="L9" s="9" t="s">
        <v>277</v>
      </c>
      <c r="M9">
        <v>0</v>
      </c>
      <c r="N9">
        <v>0</v>
      </c>
    </row>
    <row r="10" spans="1:14" ht="60">
      <c r="A10" s="10">
        <v>530372</v>
      </c>
      <c r="B10" s="10" t="s">
        <v>16</v>
      </c>
      <c r="C10" s="9" t="s">
        <v>87</v>
      </c>
      <c r="D10" s="9" t="s">
        <v>89</v>
      </c>
      <c r="E10" s="9" t="s">
        <v>46</v>
      </c>
      <c r="F10" s="21">
        <v>28590</v>
      </c>
      <c r="G10" t="s">
        <v>53</v>
      </c>
      <c r="H10" s="9" t="s">
        <v>82</v>
      </c>
      <c r="I10" s="9" t="s">
        <v>226</v>
      </c>
      <c r="J10" s="9" t="s">
        <v>140</v>
      </c>
      <c r="K10" s="2" t="s">
        <v>352</v>
      </c>
      <c r="L10" s="9" t="s">
        <v>307</v>
      </c>
      <c r="M10">
        <v>6</v>
      </c>
      <c r="N10">
        <v>4800</v>
      </c>
    </row>
    <row r="11" spans="1:14" ht="60">
      <c r="A11" s="10">
        <v>451308</v>
      </c>
      <c r="B11" s="10" t="s">
        <v>285</v>
      </c>
      <c r="C11" s="9" t="s">
        <v>87</v>
      </c>
      <c r="D11" s="9" t="s">
        <v>89</v>
      </c>
      <c r="E11" s="9" t="s">
        <v>63</v>
      </c>
      <c r="F11" s="21">
        <v>28590</v>
      </c>
      <c r="G11" t="s">
        <v>90</v>
      </c>
      <c r="H11" s="9" t="s">
        <v>82</v>
      </c>
      <c r="I11" s="9" t="s">
        <v>226</v>
      </c>
      <c r="J11" s="9" t="s">
        <v>140</v>
      </c>
      <c r="K11" s="2" t="s">
        <v>352</v>
      </c>
      <c r="L11" s="9" t="s">
        <v>307</v>
      </c>
      <c r="M11">
        <v>6</v>
      </c>
      <c r="N11">
        <v>4800</v>
      </c>
    </row>
    <row r="12" spans="1:14" ht="60">
      <c r="A12" s="10">
        <v>377815</v>
      </c>
      <c r="B12" s="10" t="s">
        <v>15</v>
      </c>
      <c r="C12" s="9" t="s">
        <v>88</v>
      </c>
      <c r="D12" s="9" t="s">
        <v>89</v>
      </c>
      <c r="E12" s="9" t="s">
        <v>64</v>
      </c>
      <c r="F12" s="21">
        <v>31990</v>
      </c>
      <c r="G12" t="s">
        <v>44</v>
      </c>
      <c r="H12" s="9" t="s">
        <v>82</v>
      </c>
      <c r="I12" s="9" t="s">
        <v>226</v>
      </c>
      <c r="J12" s="9" t="s">
        <v>140</v>
      </c>
      <c r="K12" s="2" t="s">
        <v>352</v>
      </c>
      <c r="L12" s="9" t="s">
        <v>277</v>
      </c>
      <c r="M12">
        <v>6</v>
      </c>
      <c r="N12">
        <v>4800</v>
      </c>
    </row>
    <row r="13" spans="1:14" ht="60">
      <c r="A13" s="10">
        <v>377816</v>
      </c>
      <c r="B13" s="10" t="s">
        <v>19</v>
      </c>
      <c r="C13" s="9" t="s">
        <v>87</v>
      </c>
      <c r="D13" s="9" t="s">
        <v>100</v>
      </c>
      <c r="E13" s="9" t="s">
        <v>64</v>
      </c>
      <c r="F13" s="21">
        <v>32590</v>
      </c>
      <c r="G13" s="9" t="s">
        <v>44</v>
      </c>
      <c r="H13" t="s">
        <v>99</v>
      </c>
      <c r="I13" s="9" t="s">
        <v>226</v>
      </c>
      <c r="J13" s="9" t="s">
        <v>140</v>
      </c>
      <c r="K13" s="2" t="s">
        <v>352</v>
      </c>
      <c r="L13" s="9" t="s">
        <v>277</v>
      </c>
      <c r="M13">
        <v>6</v>
      </c>
      <c r="N13">
        <v>3300</v>
      </c>
    </row>
    <row r="14" spans="1:14" ht="60">
      <c r="A14" s="10">
        <v>549157</v>
      </c>
      <c r="B14" s="10" t="s">
        <v>22</v>
      </c>
      <c r="C14" s="9" t="s">
        <v>101</v>
      </c>
      <c r="D14" s="9" t="s">
        <v>100</v>
      </c>
      <c r="E14" s="9" t="s">
        <v>46</v>
      </c>
      <c r="F14" s="21">
        <v>32590</v>
      </c>
      <c r="G14" s="9" t="s">
        <v>44</v>
      </c>
      <c r="H14" s="9" t="s">
        <v>322</v>
      </c>
      <c r="I14" s="9" t="s">
        <v>226</v>
      </c>
      <c r="J14" s="9" t="s">
        <v>140</v>
      </c>
      <c r="K14" s="2" t="s">
        <v>352</v>
      </c>
      <c r="L14" s="9" t="s">
        <v>277</v>
      </c>
      <c r="M14">
        <v>6</v>
      </c>
      <c r="N14">
        <v>3300</v>
      </c>
    </row>
    <row r="15" spans="1:14" ht="60">
      <c r="A15" s="10">
        <v>409984</v>
      </c>
      <c r="B15" s="10" t="s">
        <v>20</v>
      </c>
      <c r="C15" s="9" t="s">
        <v>101</v>
      </c>
      <c r="D15" s="9" t="s">
        <v>100</v>
      </c>
      <c r="E15" s="9" t="s">
        <v>63</v>
      </c>
      <c r="F15" s="21">
        <v>32590</v>
      </c>
      <c r="G15" s="9" t="s">
        <v>90</v>
      </c>
      <c r="H15" s="9" t="s">
        <v>82</v>
      </c>
      <c r="I15" s="9" t="s">
        <v>226</v>
      </c>
      <c r="J15" s="9" t="s">
        <v>140</v>
      </c>
      <c r="K15" s="2" t="s">
        <v>352</v>
      </c>
      <c r="L15" s="9" t="s">
        <v>277</v>
      </c>
      <c r="M15">
        <v>6</v>
      </c>
      <c r="N15">
        <v>3300</v>
      </c>
    </row>
    <row r="16" spans="1:14" ht="60">
      <c r="A16" s="10">
        <v>377814</v>
      </c>
      <c r="B16" s="10" t="s">
        <v>18</v>
      </c>
      <c r="C16" s="9" t="s">
        <v>110</v>
      </c>
      <c r="D16" s="9" t="s">
        <v>100</v>
      </c>
      <c r="E16" s="9" t="s">
        <v>64</v>
      </c>
      <c r="F16" s="21">
        <v>42900</v>
      </c>
      <c r="G16" s="9" t="s">
        <v>44</v>
      </c>
      <c r="H16" t="s">
        <v>274</v>
      </c>
      <c r="I16" s="9" t="s">
        <v>226</v>
      </c>
      <c r="J16" s="9" t="s">
        <v>140</v>
      </c>
      <c r="K16" s="2" t="s">
        <v>352</v>
      </c>
      <c r="L16" s="9" t="s">
        <v>268</v>
      </c>
      <c r="M16">
        <v>6</v>
      </c>
      <c r="N16">
        <v>3300</v>
      </c>
    </row>
    <row r="17" spans="1:14" ht="60">
      <c r="A17" s="10">
        <v>411054</v>
      </c>
      <c r="B17" s="10" t="s">
        <v>21</v>
      </c>
      <c r="C17" s="9" t="s">
        <v>111</v>
      </c>
      <c r="D17" s="2" t="s">
        <v>109</v>
      </c>
      <c r="E17" s="9" t="s">
        <v>63</v>
      </c>
      <c r="F17" s="21">
        <v>43690</v>
      </c>
      <c r="G17" s="9" t="s">
        <v>90</v>
      </c>
      <c r="H17" s="9" t="s">
        <v>274</v>
      </c>
      <c r="I17" s="9" t="s">
        <v>226</v>
      </c>
      <c r="J17" s="9" t="s">
        <v>140</v>
      </c>
      <c r="K17" s="2" t="s">
        <v>352</v>
      </c>
      <c r="L17" t="s">
        <v>268</v>
      </c>
      <c r="M17">
        <v>6</v>
      </c>
      <c r="N17">
        <v>3300</v>
      </c>
    </row>
    <row r="18" spans="1:14" ht="60">
      <c r="A18" s="10">
        <v>549158</v>
      </c>
      <c r="B18" s="10" t="s">
        <v>23</v>
      </c>
      <c r="C18" s="9" t="s">
        <v>110</v>
      </c>
      <c r="D18" s="9" t="s">
        <v>100</v>
      </c>
      <c r="E18" s="9" t="s">
        <v>46</v>
      </c>
      <c r="F18" s="21">
        <v>42190</v>
      </c>
      <c r="G18" s="9" t="s">
        <v>44</v>
      </c>
      <c r="H18" t="s">
        <v>275</v>
      </c>
      <c r="I18" s="9" t="s">
        <v>226</v>
      </c>
      <c r="J18" s="9" t="s">
        <v>140</v>
      </c>
      <c r="K18" s="2" t="s">
        <v>352</v>
      </c>
      <c r="L18" s="9" t="s">
        <v>320</v>
      </c>
      <c r="M18">
        <v>6</v>
      </c>
      <c r="N18">
        <v>3300</v>
      </c>
    </row>
    <row r="19" spans="1:14" ht="60">
      <c r="A19" s="10">
        <v>459425</v>
      </c>
      <c r="B19" s="10" t="s">
        <v>14</v>
      </c>
      <c r="C19" s="9" t="s">
        <v>87</v>
      </c>
      <c r="D19" s="9" t="s">
        <v>117</v>
      </c>
      <c r="E19" s="9" t="s">
        <v>63</v>
      </c>
      <c r="F19" s="21">
        <v>33690</v>
      </c>
      <c r="G19" s="9" t="s">
        <v>90</v>
      </c>
      <c r="H19" s="9" t="s">
        <v>82</v>
      </c>
      <c r="I19" s="9" t="s">
        <v>226</v>
      </c>
      <c r="J19" s="9" t="s">
        <v>140</v>
      </c>
      <c r="K19" s="2" t="s">
        <v>352</v>
      </c>
      <c r="L19" s="9" t="s">
        <v>353</v>
      </c>
      <c r="M19">
        <v>0</v>
      </c>
      <c r="N19">
        <v>0</v>
      </c>
    </row>
    <row r="20" spans="1:14" ht="60">
      <c r="A20" s="10">
        <v>530693</v>
      </c>
      <c r="B20" s="10" t="s">
        <v>139</v>
      </c>
      <c r="C20" t="s">
        <v>119</v>
      </c>
      <c r="D20" t="s">
        <v>118</v>
      </c>
      <c r="E20" t="s">
        <v>46</v>
      </c>
      <c r="F20" s="21">
        <v>28690</v>
      </c>
      <c r="G20" s="9" t="s">
        <v>44</v>
      </c>
      <c r="H20" s="9" t="s">
        <v>82</v>
      </c>
      <c r="I20" s="9" t="s">
        <v>226</v>
      </c>
      <c r="J20" s="9" t="s">
        <v>140</v>
      </c>
      <c r="K20" s="2" t="s">
        <v>352</v>
      </c>
      <c r="L20" s="9" t="s">
        <v>277</v>
      </c>
      <c r="M20">
        <v>6</v>
      </c>
      <c r="N20">
        <v>4800</v>
      </c>
    </row>
    <row r="21" spans="1:14" ht="60">
      <c r="A21" s="10">
        <v>449188</v>
      </c>
      <c r="B21" s="10" t="s">
        <v>24</v>
      </c>
      <c r="C21" t="s">
        <v>126</v>
      </c>
      <c r="D21" t="s">
        <v>123</v>
      </c>
      <c r="E21" t="s">
        <v>63</v>
      </c>
      <c r="F21" s="21">
        <v>22590</v>
      </c>
      <c r="G21" s="9" t="s">
        <v>90</v>
      </c>
      <c r="H21" s="9" t="s">
        <v>82</v>
      </c>
      <c r="I21" s="9" t="s">
        <v>226</v>
      </c>
      <c r="J21" s="9" t="s">
        <v>141</v>
      </c>
      <c r="K21" s="2" t="s">
        <v>352</v>
      </c>
      <c r="L21" t="s">
        <v>262</v>
      </c>
      <c r="M21">
        <v>0</v>
      </c>
      <c r="N21">
        <v>0</v>
      </c>
    </row>
    <row r="22" spans="1:14" ht="60">
      <c r="A22" s="10">
        <v>459426</v>
      </c>
      <c r="B22" s="10" t="s">
        <v>25</v>
      </c>
      <c r="C22" s="9" t="s">
        <v>126</v>
      </c>
      <c r="D22" t="s">
        <v>124</v>
      </c>
      <c r="E22" t="s">
        <v>63</v>
      </c>
      <c r="F22" s="21">
        <v>28090</v>
      </c>
      <c r="G22" s="9" t="s">
        <v>90</v>
      </c>
      <c r="H22" t="s">
        <v>122</v>
      </c>
      <c r="I22" s="9" t="s">
        <v>226</v>
      </c>
      <c r="J22" s="9" t="s">
        <v>141</v>
      </c>
      <c r="K22" s="2" t="s">
        <v>352</v>
      </c>
      <c r="L22" t="s">
        <v>263</v>
      </c>
      <c r="M22">
        <v>0</v>
      </c>
      <c r="N22">
        <v>0</v>
      </c>
    </row>
    <row r="23" spans="1:14" ht="60">
      <c r="A23" s="10">
        <v>451309</v>
      </c>
      <c r="B23" s="10" t="s">
        <v>238</v>
      </c>
      <c r="C23" s="9" t="s">
        <v>126</v>
      </c>
      <c r="D23" t="s">
        <v>125</v>
      </c>
      <c r="E23" t="s">
        <v>63</v>
      </c>
      <c r="F23" s="21">
        <v>25590</v>
      </c>
      <c r="G23" s="9" t="s">
        <v>90</v>
      </c>
      <c r="H23" s="9" t="s">
        <v>82</v>
      </c>
      <c r="I23" s="9" t="s">
        <v>226</v>
      </c>
      <c r="J23" s="9" t="s">
        <v>141</v>
      </c>
      <c r="K23" s="2" t="s">
        <v>352</v>
      </c>
      <c r="L23" t="s">
        <v>263</v>
      </c>
      <c r="M23">
        <v>6</v>
      </c>
      <c r="N23">
        <v>11400</v>
      </c>
    </row>
    <row r="24" spans="1:14" ht="60">
      <c r="A24" s="10">
        <v>553145</v>
      </c>
      <c r="B24" s="10" t="s">
        <v>276</v>
      </c>
      <c r="C24" s="9" t="s">
        <v>126</v>
      </c>
      <c r="D24" t="s">
        <v>125</v>
      </c>
      <c r="E24" t="s">
        <v>46</v>
      </c>
      <c r="F24" s="21">
        <v>15890</v>
      </c>
      <c r="G24" s="9" t="s">
        <v>44</v>
      </c>
      <c r="H24" s="9" t="s">
        <v>82</v>
      </c>
      <c r="I24" s="9" t="s">
        <v>226</v>
      </c>
      <c r="J24" s="9" t="s">
        <v>141</v>
      </c>
      <c r="K24" s="2" t="s">
        <v>352</v>
      </c>
      <c r="L24" t="s">
        <v>264</v>
      </c>
      <c r="M24">
        <v>6</v>
      </c>
      <c r="N24">
        <v>11400</v>
      </c>
    </row>
    <row r="25" spans="1:14" ht="60">
      <c r="A25" s="10">
        <v>530373</v>
      </c>
      <c r="B25" s="10" t="s">
        <v>236</v>
      </c>
      <c r="C25" s="9" t="s">
        <v>126</v>
      </c>
      <c r="D25" t="s">
        <v>125</v>
      </c>
      <c r="E25" t="s">
        <v>46</v>
      </c>
      <c r="F25" s="21">
        <v>25590</v>
      </c>
      <c r="G25" s="9" t="s">
        <v>44</v>
      </c>
      <c r="H25" s="9" t="s">
        <v>82</v>
      </c>
      <c r="I25" s="9" t="s">
        <v>226</v>
      </c>
      <c r="J25" s="9" t="s">
        <v>141</v>
      </c>
      <c r="K25" s="2" t="s">
        <v>352</v>
      </c>
      <c r="L25" t="s">
        <v>265</v>
      </c>
      <c r="M25">
        <v>6</v>
      </c>
      <c r="N25">
        <v>11400</v>
      </c>
    </row>
    <row r="26" spans="1:14" ht="60">
      <c r="A26" s="10">
        <v>552588</v>
      </c>
      <c r="B26" s="10" t="s">
        <v>36</v>
      </c>
      <c r="C26" t="s">
        <v>128</v>
      </c>
      <c r="D26" t="s">
        <v>127</v>
      </c>
      <c r="E26" t="s">
        <v>46</v>
      </c>
      <c r="F26" s="21">
        <v>25590</v>
      </c>
      <c r="G26" s="9" t="s">
        <v>44</v>
      </c>
      <c r="H26" s="9" t="s">
        <v>82</v>
      </c>
      <c r="I26" s="9" t="s">
        <v>226</v>
      </c>
      <c r="J26" s="9" t="s">
        <v>141</v>
      </c>
      <c r="K26" s="2" t="s">
        <v>352</v>
      </c>
      <c r="L26" t="s">
        <v>266</v>
      </c>
      <c r="M26">
        <v>6</v>
      </c>
      <c r="N26">
        <v>11400</v>
      </c>
    </row>
    <row r="27" spans="1:14" ht="60">
      <c r="A27" s="10">
        <v>409985</v>
      </c>
      <c r="B27" s="10" t="s">
        <v>13</v>
      </c>
      <c r="C27" t="s">
        <v>128</v>
      </c>
      <c r="D27" s="9" t="s">
        <v>127</v>
      </c>
      <c r="E27" t="s">
        <v>63</v>
      </c>
      <c r="F27" s="21">
        <v>25590</v>
      </c>
      <c r="G27" s="9" t="s">
        <v>90</v>
      </c>
      <c r="H27" s="9" t="s">
        <v>82</v>
      </c>
      <c r="I27" s="9" t="s">
        <v>226</v>
      </c>
      <c r="J27" s="9" t="s">
        <v>141</v>
      </c>
      <c r="K27" s="2" t="s">
        <v>352</v>
      </c>
      <c r="L27" t="s">
        <v>267</v>
      </c>
      <c r="M27">
        <v>6</v>
      </c>
      <c r="N27">
        <v>11400</v>
      </c>
    </row>
    <row r="28" spans="1:14" ht="60">
      <c r="A28" s="10">
        <v>547480</v>
      </c>
      <c r="B28" s="10" t="s">
        <v>237</v>
      </c>
      <c r="C28" t="s">
        <v>128</v>
      </c>
      <c r="D28" s="9" t="s">
        <v>127</v>
      </c>
      <c r="E28" t="s">
        <v>46</v>
      </c>
      <c r="F28" s="21">
        <v>25590</v>
      </c>
      <c r="G28" s="9" t="s">
        <v>44</v>
      </c>
      <c r="H28" s="9" t="s">
        <v>82</v>
      </c>
      <c r="I28" s="9" t="s">
        <v>226</v>
      </c>
      <c r="J28" s="9" t="s">
        <v>141</v>
      </c>
      <c r="K28" s="2" t="s">
        <v>352</v>
      </c>
      <c r="L28" t="s">
        <v>267</v>
      </c>
      <c r="M28">
        <v>6</v>
      </c>
      <c r="N28">
        <v>11400</v>
      </c>
    </row>
    <row r="29" spans="1:14">
      <c r="A29" s="4"/>
      <c r="B29" s="10"/>
    </row>
    <row r="30" spans="1:14">
      <c r="A30" s="4"/>
      <c r="B30" s="10"/>
    </row>
    <row r="31" spans="1:14">
      <c r="A31" s="4"/>
      <c r="B31" s="10"/>
    </row>
    <row r="32" spans="1:14">
      <c r="A32" s="4"/>
      <c r="B32" s="10"/>
    </row>
    <row r="33" spans="1:2">
      <c r="A33" s="4"/>
      <c r="B33" s="10"/>
    </row>
    <row r="34" spans="1:2">
      <c r="A34" s="4"/>
      <c r="B34" s="1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9E763-6A31-481C-94AA-C544F8B8F647}">
  <sheetPr codeName="Hoja4"/>
  <dimension ref="A1:M112"/>
  <sheetViews>
    <sheetView zoomScaleNormal="100" workbookViewId="0">
      <selection activeCell="E1" sqref="E1"/>
    </sheetView>
  </sheetViews>
  <sheetFormatPr baseColWidth="10" defaultRowHeight="15"/>
  <cols>
    <col min="1" max="1" width="11.42578125" style="9"/>
    <col min="2" max="2" width="29.85546875" style="9" bestFit="1" customWidth="1"/>
    <col min="3" max="4" width="11.42578125" style="9"/>
    <col min="5" max="5" width="46.140625" style="9" bestFit="1" customWidth="1"/>
    <col min="6" max="6" width="88.85546875" style="2" customWidth="1"/>
    <col min="7" max="7" width="15.5703125" style="1" bestFit="1" customWidth="1"/>
    <col min="8" max="8" width="11.42578125" style="9"/>
    <col min="9" max="9" width="11.85546875" style="9" bestFit="1" customWidth="1"/>
    <col min="10" max="10" width="15.28515625" style="9" bestFit="1" customWidth="1"/>
    <col min="11" max="11" width="25.42578125" style="9" bestFit="1" customWidth="1"/>
    <col min="12" max="12" width="79.5703125" style="9" customWidth="1"/>
    <col min="13" max="13" width="12.5703125" style="9" bestFit="1" customWidth="1"/>
    <col min="14" max="16384" width="11.42578125" style="9"/>
  </cols>
  <sheetData>
    <row r="1" spans="1:13">
      <c r="A1" s="11" t="s">
        <v>0</v>
      </c>
      <c r="B1" s="11" t="s">
        <v>38</v>
      </c>
      <c r="C1" s="11" t="s">
        <v>4</v>
      </c>
      <c r="D1" s="11" t="s">
        <v>5</v>
      </c>
      <c r="E1" s="11" t="s">
        <v>78</v>
      </c>
      <c r="F1" s="20" t="s">
        <v>72</v>
      </c>
      <c r="G1" s="13" t="s">
        <v>3</v>
      </c>
      <c r="I1" s="9">
        <f>MAX(C:C)</f>
        <v>9</v>
      </c>
      <c r="J1" s="9">
        <f>Calculadora!D4</f>
        <v>530372</v>
      </c>
      <c r="K1" s="9" t="s">
        <v>76</v>
      </c>
      <c r="M1" s="19"/>
    </row>
    <row r="2" spans="1:13" ht="45">
      <c r="A2" s="9">
        <v>517640</v>
      </c>
      <c r="B2" s="9" t="s">
        <v>7</v>
      </c>
      <c r="C2" s="9">
        <f>IF(A2=A1,C1+1,1)</f>
        <v>1</v>
      </c>
      <c r="D2" s="9" t="str">
        <f>CONCATENATE(A2,"-",C2)</f>
        <v>517640-1</v>
      </c>
      <c r="E2" s="9" t="s">
        <v>79</v>
      </c>
      <c r="F2" s="2" t="s">
        <v>316</v>
      </c>
      <c r="G2" s="1">
        <v>60000</v>
      </c>
      <c r="I2" s="9">
        <v>1</v>
      </c>
      <c r="J2" s="9" t="str">
        <f>CONCATENATE($J$1,"-",I2)</f>
        <v>530372-1</v>
      </c>
      <c r="K2" s="9" t="str">
        <f>IFERROR(VLOOKUP(J2,$D:$H,2,0),"")</f>
        <v>Descuento en Hoteles</v>
      </c>
      <c r="L2" s="2" t="str">
        <f>IFERROR(VLOOKUP(J2,$D:$H,3,0),"")</f>
        <v>Conoce el mundo rodeado de estilo y confort gracias a convenios con más de 3.000 hoteles. Ejemplo: En promerdio una noche por persona cuesta $100.000 si se hospeda con su pareja durante 3 noches y con un descuento hasta del 20%.</v>
      </c>
      <c r="M2" s="19">
        <f>IFERROR(VLOOKUP(J2,$D:$G,4,0),"")</f>
        <v>120000</v>
      </c>
    </row>
    <row r="3" spans="1:13" ht="45">
      <c r="A3" s="9">
        <v>517640</v>
      </c>
      <c r="B3" s="9" t="s">
        <v>7</v>
      </c>
      <c r="C3" s="9">
        <f t="shared" ref="C3:C99" si="0">IF(A3=A2,C2+1,1)</f>
        <v>2</v>
      </c>
      <c r="D3" s="9" t="str">
        <f t="shared" ref="D3:D99" si="1">CONCATENATE(A3,"-",C3)</f>
        <v>517640-2</v>
      </c>
      <c r="E3" s="9" t="s">
        <v>144</v>
      </c>
      <c r="F3" s="2" t="s">
        <v>160</v>
      </c>
      <c r="G3" s="1">
        <v>43000</v>
      </c>
      <c r="I3" s="9">
        <v>2</v>
      </c>
      <c r="J3" s="9" t="str">
        <f t="shared" ref="J3:J9" si="2">CONCATENATE($J$1,"-",I3)</f>
        <v>530372-2</v>
      </c>
      <c r="K3" s="9" t="str">
        <f>IFERROR(VLOOKUP(J3,$D:$H,2,0),"")</f>
        <v>Servicio Global Service</v>
      </c>
      <c r="L3" s="2" t="str">
        <f>IFERROR(VLOOKUP(J3,$D:$H,3,0),"")</f>
        <v>Global Service MasterCard Global Service™ brinda asistencia en todo el mundo, las 24 horas del día, con Informes deTarjetas Perdidas y Robadas, Reemplazo con Tarjeta de Emergencia y Anticipo de Efectivo deEmergencia.</v>
      </c>
      <c r="M3" s="19">
        <f>IFERROR(VLOOKUP(J3,D:G,4,0),"")</f>
        <v>43000</v>
      </c>
    </row>
    <row r="4" spans="1:13" ht="120">
      <c r="A4" s="9">
        <v>517640</v>
      </c>
      <c r="B4" s="9" t="s">
        <v>7</v>
      </c>
      <c r="C4" s="9">
        <f t="shared" si="0"/>
        <v>3</v>
      </c>
      <c r="D4" s="9" t="str">
        <f t="shared" si="1"/>
        <v>517640-3</v>
      </c>
      <c r="E4" s="9" t="s">
        <v>284</v>
      </c>
      <c r="F4" s="25" t="s">
        <v>343</v>
      </c>
      <c r="G4" s="1">
        <f>Calculadora!G9*7</f>
        <v>8750</v>
      </c>
      <c r="I4" s="9">
        <v>3</v>
      </c>
      <c r="J4" s="9" t="str">
        <f t="shared" si="2"/>
        <v>530372-3</v>
      </c>
      <c r="K4" s="9" t="str">
        <f>IFERROR(VLOOKUP(J4,$D:$H,2,0),"")</f>
        <v xml:space="preserve">Exoneracion Cuota Manejo </v>
      </c>
      <c r="L4" s="2" t="str">
        <f>IFERROR(VLOOKUP(J4,$D:$H,3,0),"")</f>
        <v>Exoneración de cuota de manejo durante 6 meses, aplica hasta el 31 de Mayo de 2022</v>
      </c>
      <c r="M4" s="9">
        <f>IFERROR(VLOOKUP(J4,$D:$H,4,0),"")</f>
        <v>28590</v>
      </c>
    </row>
    <row r="5" spans="1:13" ht="45">
      <c r="A5" s="9">
        <v>547062</v>
      </c>
      <c r="B5" s="9" t="s">
        <v>26</v>
      </c>
      <c r="C5" s="9">
        <f t="shared" si="0"/>
        <v>1</v>
      </c>
      <c r="D5" s="9" t="str">
        <f t="shared" si="1"/>
        <v>547062-1</v>
      </c>
      <c r="E5" s="9" t="s">
        <v>83</v>
      </c>
      <c r="F5" s="2" t="s">
        <v>70</v>
      </c>
      <c r="G5" s="1" t="s">
        <v>54</v>
      </c>
      <c r="I5" s="9">
        <v>4</v>
      </c>
      <c r="J5" s="9" t="str">
        <f t="shared" si="2"/>
        <v>530372-4</v>
      </c>
      <c r="K5" s="9" t="str">
        <f>IFERROR(VLOOKUP(J5,$D:$H,2,0),"")</f>
        <v>Alianza Aeropost</v>
      </c>
      <c r="L5" s="2" t="str">
        <f>IFERROR(VLOOKUP(J5,$D:$H,3,0),"")</f>
        <v>Alianza exclusiva con Aeropost incluye Registro gratis vitalicio, beneficios especiales para realizar compras en tiendas de Estados unidos en línea, seguro gratis hasta USD 100 y seguimiento a las compras via celular App y pagina web.</v>
      </c>
      <c r="M5" s="9">
        <f>IFERROR(VLOOKUP(J5,$D:$H,4,0),"")</f>
        <v>60000</v>
      </c>
    </row>
    <row r="6" spans="1:13" ht="135">
      <c r="A6" s="9">
        <v>547062</v>
      </c>
      <c r="B6" s="9" t="s">
        <v>26</v>
      </c>
      <c r="C6" s="9">
        <f t="shared" si="0"/>
        <v>2</v>
      </c>
      <c r="D6" s="9" t="str">
        <f t="shared" si="1"/>
        <v>547062-2</v>
      </c>
      <c r="E6" s="9" t="s">
        <v>84</v>
      </c>
      <c r="F6" s="2" t="s">
        <v>71</v>
      </c>
      <c r="G6" s="1" t="s">
        <v>54</v>
      </c>
      <c r="I6" s="9">
        <v>5</v>
      </c>
      <c r="J6" s="9" t="str">
        <f t="shared" si="2"/>
        <v>530372-5</v>
      </c>
      <c r="K6" s="9" t="str">
        <f>IFERROR(VLOOKUP(J6,$D:$H,2,0),"")</f>
        <v>Puntos Colombia</v>
      </c>
      <c r="L6" s="2" t="str">
        <f>IFERROR(VLOOKUP(J6,$D:$H,3,0),"")</f>
        <v xml:space="preserve">Acumula 6 puntos Colombia por cada $4.800, y con los puntos acumulados puedes redimir productos en las marcas aliadas o vuelos. En la parte superior de la herramienta puedes diligenciar un monto promedio de facturacion mensual y aquí se vera reflejado el beneficio en pesos de la acumulacion de los puntos. Algunas de las marcas aliadas son: Almacenes Exito y exito.com, Carulla, Surtimax, deli, frisby, Ifood, Dominos Pizza, Lifemiles,  distrihogar, Oster, Esso movil, Primax, Estacion Exito (gasolina), Pilatos, Replay, Tenis,  Smartfit, Sol verde, Medipiel, Kanu (tienda para animales), Dentisalud, Claro, Cine Colombia, entre otros que puedes consultar https://www.puntoscolombia.com/aliados </v>
      </c>
      <c r="M6" s="9">
        <f>IFERROR(VLOOKUP(J6,$D:$H,4,0),"")</f>
        <v>8750</v>
      </c>
    </row>
    <row r="7" spans="1:13" ht="30">
      <c r="A7" s="9">
        <v>540691</v>
      </c>
      <c r="B7" s="9" t="s">
        <v>8</v>
      </c>
      <c r="C7" s="9">
        <f t="shared" si="0"/>
        <v>1</v>
      </c>
      <c r="D7" s="9" t="str">
        <f t="shared" si="1"/>
        <v>540691-1</v>
      </c>
      <c r="E7" s="9" t="s">
        <v>85</v>
      </c>
      <c r="F7" s="2" t="s">
        <v>227</v>
      </c>
      <c r="G7" s="1">
        <v>15000</v>
      </c>
      <c r="I7" s="9">
        <v>6</v>
      </c>
      <c r="J7" s="9" t="str">
        <f t="shared" si="2"/>
        <v>530372-6</v>
      </c>
      <c r="K7" s="9" t="str">
        <f>IFERROR(VLOOKUP(J7,$D:$H,2,0),"")</f>
        <v/>
      </c>
      <c r="L7" s="2" t="str">
        <f>IFERROR(VLOOKUP(J7,$D:$H,3,0),"")</f>
        <v/>
      </c>
      <c r="M7" s="9" t="str">
        <f>IFERROR(VLOOKUP(J7,$D:$H,4,0),"")</f>
        <v/>
      </c>
    </row>
    <row r="8" spans="1:13" ht="45">
      <c r="A8" s="9">
        <v>540691</v>
      </c>
      <c r="B8" s="9" t="s">
        <v>8</v>
      </c>
      <c r="C8" s="9">
        <f t="shared" si="0"/>
        <v>2</v>
      </c>
      <c r="D8" s="9" t="str">
        <f t="shared" si="1"/>
        <v>540691-2</v>
      </c>
      <c r="E8" s="9" t="s">
        <v>144</v>
      </c>
      <c r="F8" s="2" t="s">
        <v>160</v>
      </c>
      <c r="G8" s="1">
        <v>43000</v>
      </c>
      <c r="I8" s="9">
        <v>7</v>
      </c>
      <c r="J8" s="9" t="str">
        <f t="shared" si="2"/>
        <v>530372-7</v>
      </c>
      <c r="K8" s="9" t="str">
        <f>IFERROR(VLOOKUP(J8,$D:$H,2,0),"")</f>
        <v/>
      </c>
      <c r="L8" s="2" t="str">
        <f>IFERROR(VLOOKUP(J8,$D:$H,3,0),"")</f>
        <v/>
      </c>
      <c r="M8" s="31" t="str">
        <f>IFERROR(VLOOKUP(J8,$D:$H,4,0),"")</f>
        <v/>
      </c>
    </row>
    <row r="9" spans="1:13" ht="45">
      <c r="A9" s="9">
        <v>540691</v>
      </c>
      <c r="B9" s="9" t="s">
        <v>8</v>
      </c>
      <c r="C9" s="9">
        <f t="shared" si="0"/>
        <v>3</v>
      </c>
      <c r="D9" s="9" t="str">
        <f t="shared" si="1"/>
        <v>540691-3</v>
      </c>
      <c r="E9" s="9" t="s">
        <v>79</v>
      </c>
      <c r="F9" s="2" t="s">
        <v>316</v>
      </c>
      <c r="G9" s="1">
        <v>60000</v>
      </c>
      <c r="I9" s="9">
        <v>8</v>
      </c>
      <c r="J9" s="9" t="str">
        <f t="shared" si="2"/>
        <v>530372-8</v>
      </c>
      <c r="K9" s="9" t="str">
        <f>IFERROR(VLOOKUP(J9,$D:$H,2,0),"")</f>
        <v/>
      </c>
      <c r="L9" s="2" t="str">
        <f>IFERROR(VLOOKUP(J9,$D:$H,3,0),"")</f>
        <v/>
      </c>
      <c r="M9" s="9" t="str">
        <f>IFERROR(VLOOKUP(J9,$D:$H,4,0),"")</f>
        <v/>
      </c>
    </row>
    <row r="10" spans="1:13" ht="120">
      <c r="A10" s="9">
        <v>540691</v>
      </c>
      <c r="B10" s="9" t="s">
        <v>8</v>
      </c>
      <c r="C10" s="9">
        <f t="shared" si="0"/>
        <v>4</v>
      </c>
      <c r="D10" s="9" t="str">
        <f t="shared" si="1"/>
        <v>540691-4</v>
      </c>
      <c r="E10" s="9" t="s">
        <v>284</v>
      </c>
      <c r="F10" s="25" t="s">
        <v>343</v>
      </c>
      <c r="G10" s="1">
        <f>Calculadora!G9*7</f>
        <v>8750</v>
      </c>
    </row>
    <row r="11" spans="1:13" ht="30">
      <c r="A11" s="9">
        <v>451307</v>
      </c>
      <c r="B11" s="9" t="s">
        <v>11</v>
      </c>
      <c r="C11" s="9">
        <f t="shared" si="0"/>
        <v>1</v>
      </c>
      <c r="D11" s="9" t="str">
        <f t="shared" si="1"/>
        <v>451307-1</v>
      </c>
      <c r="E11" s="9" t="s">
        <v>80</v>
      </c>
      <c r="F11" s="2" t="s">
        <v>137</v>
      </c>
      <c r="G11" s="1">
        <v>36000</v>
      </c>
    </row>
    <row r="12" spans="1:13" ht="45">
      <c r="A12" s="9">
        <v>451307</v>
      </c>
      <c r="B12" s="9" t="s">
        <v>11</v>
      </c>
      <c r="C12" s="9">
        <f t="shared" si="0"/>
        <v>2</v>
      </c>
      <c r="D12" s="9" t="str">
        <f t="shared" si="1"/>
        <v>451307-2</v>
      </c>
      <c r="E12" s="9" t="s">
        <v>79</v>
      </c>
      <c r="F12" s="2" t="s">
        <v>316</v>
      </c>
      <c r="G12" s="1">
        <v>60000</v>
      </c>
    </row>
    <row r="13" spans="1:13" ht="120">
      <c r="A13" s="9">
        <v>451307</v>
      </c>
      <c r="B13" s="9" t="s">
        <v>11</v>
      </c>
      <c r="C13" s="9">
        <f t="shared" si="0"/>
        <v>3</v>
      </c>
      <c r="D13" s="9" t="str">
        <f t="shared" si="1"/>
        <v>451307-3</v>
      </c>
      <c r="E13" s="9" t="s">
        <v>284</v>
      </c>
      <c r="F13" s="25" t="s">
        <v>343</v>
      </c>
      <c r="G13" s="1">
        <f>Calculadora!G9*7</f>
        <v>8750</v>
      </c>
    </row>
    <row r="14" spans="1:13">
      <c r="A14" s="9">
        <v>451307</v>
      </c>
      <c r="B14" s="9" t="s">
        <v>11</v>
      </c>
      <c r="C14" s="9">
        <f t="shared" si="0"/>
        <v>4</v>
      </c>
      <c r="D14" s="9" t="str">
        <f t="shared" si="1"/>
        <v>451307-4</v>
      </c>
      <c r="E14" s="9" t="s">
        <v>131</v>
      </c>
      <c r="F14" s="2" t="s">
        <v>356</v>
      </c>
      <c r="G14" s="1">
        <f>'Caracteristicas TDC'!F5</f>
        <v>24590</v>
      </c>
    </row>
    <row r="15" spans="1:13" ht="30">
      <c r="A15" s="9">
        <v>409983</v>
      </c>
      <c r="B15" s="9" t="s">
        <v>10</v>
      </c>
      <c r="C15" s="9">
        <f t="shared" si="0"/>
        <v>1</v>
      </c>
      <c r="D15" s="9" t="str">
        <f t="shared" si="1"/>
        <v>409983-1</v>
      </c>
      <c r="E15" s="9" t="s">
        <v>81</v>
      </c>
      <c r="F15" s="2" t="s">
        <v>255</v>
      </c>
      <c r="G15" s="21">
        <f>250000*10%</f>
        <v>25000</v>
      </c>
    </row>
    <row r="16" spans="1:13" ht="120">
      <c r="A16" s="9">
        <v>409983</v>
      </c>
      <c r="B16" s="9" t="s">
        <v>10</v>
      </c>
      <c r="C16" s="9">
        <f t="shared" si="0"/>
        <v>2</v>
      </c>
      <c r="D16" s="9" t="str">
        <f t="shared" si="1"/>
        <v>409983-2</v>
      </c>
      <c r="E16" s="9" t="s">
        <v>284</v>
      </c>
      <c r="F16" s="25" t="s">
        <v>343</v>
      </c>
      <c r="G16" s="1">
        <f>Calculadora!G9*7</f>
        <v>8750</v>
      </c>
    </row>
    <row r="17" spans="1:7" ht="45">
      <c r="A17" s="9">
        <v>530371</v>
      </c>
      <c r="B17" s="9" t="s">
        <v>12</v>
      </c>
      <c r="C17" s="9">
        <f t="shared" si="0"/>
        <v>1</v>
      </c>
      <c r="D17" s="9" t="str">
        <f t="shared" si="1"/>
        <v>530371-1</v>
      </c>
      <c r="E17" s="9" t="s">
        <v>79</v>
      </c>
      <c r="F17" s="2" t="s">
        <v>316</v>
      </c>
      <c r="G17" s="1">
        <v>60000</v>
      </c>
    </row>
    <row r="18" spans="1:7" ht="45">
      <c r="A18" s="9">
        <v>530371</v>
      </c>
      <c r="B18" s="9" t="s">
        <v>12</v>
      </c>
      <c r="C18" s="9">
        <f t="shared" si="0"/>
        <v>2</v>
      </c>
      <c r="D18" s="9" t="str">
        <f t="shared" si="1"/>
        <v>530371-2</v>
      </c>
      <c r="E18" s="9" t="s">
        <v>144</v>
      </c>
      <c r="F18" s="2" t="s">
        <v>160</v>
      </c>
      <c r="G18" s="1">
        <v>43000</v>
      </c>
    </row>
    <row r="19" spans="1:7" ht="120">
      <c r="A19" s="9">
        <v>530371</v>
      </c>
      <c r="B19" s="9" t="s">
        <v>12</v>
      </c>
      <c r="C19" s="9">
        <f t="shared" si="0"/>
        <v>3</v>
      </c>
      <c r="D19" s="9" t="str">
        <f t="shared" si="1"/>
        <v>530371-3</v>
      </c>
      <c r="E19" s="9" t="s">
        <v>284</v>
      </c>
      <c r="F19" s="25" t="s">
        <v>343</v>
      </c>
      <c r="G19" s="1">
        <f>Calculadora!G9*7</f>
        <v>8750</v>
      </c>
    </row>
    <row r="20" spans="1:7" ht="30">
      <c r="A20" s="9">
        <v>377813</v>
      </c>
      <c r="B20" s="9" t="s">
        <v>9</v>
      </c>
      <c r="C20" s="9">
        <f t="shared" si="0"/>
        <v>1</v>
      </c>
      <c r="D20" s="9" t="str">
        <f t="shared" si="1"/>
        <v>377813-1</v>
      </c>
      <c r="E20" s="9" t="s">
        <v>86</v>
      </c>
      <c r="F20" s="2" t="s">
        <v>228</v>
      </c>
      <c r="G20" s="1">
        <v>15000</v>
      </c>
    </row>
    <row r="21" spans="1:7" ht="45">
      <c r="A21" s="9">
        <v>377813</v>
      </c>
      <c r="B21" s="9" t="s">
        <v>9</v>
      </c>
      <c r="C21" s="9">
        <f t="shared" si="0"/>
        <v>2</v>
      </c>
      <c r="D21" s="9" t="str">
        <f t="shared" si="1"/>
        <v>377813-2</v>
      </c>
      <c r="E21" s="9" t="s">
        <v>79</v>
      </c>
      <c r="F21" s="2" t="s">
        <v>316</v>
      </c>
      <c r="G21" s="1">
        <v>60000</v>
      </c>
    </row>
    <row r="22" spans="1:7" ht="30">
      <c r="A22" s="9">
        <v>377813</v>
      </c>
      <c r="B22" s="9" t="s">
        <v>9</v>
      </c>
      <c r="C22" s="9">
        <f t="shared" si="0"/>
        <v>3</v>
      </c>
      <c r="D22" s="9" t="str">
        <f t="shared" si="1"/>
        <v>377813-3</v>
      </c>
      <c r="E22" s="9" t="s">
        <v>105</v>
      </c>
      <c r="F22" s="2" t="s">
        <v>103</v>
      </c>
      <c r="G22" s="1">
        <v>28000</v>
      </c>
    </row>
    <row r="23" spans="1:7" ht="120">
      <c r="A23" s="9">
        <v>377813</v>
      </c>
      <c r="B23" s="9" t="s">
        <v>9</v>
      </c>
      <c r="C23" s="9">
        <f t="shared" si="0"/>
        <v>4</v>
      </c>
      <c r="D23" s="9" t="str">
        <f t="shared" si="1"/>
        <v>377813-4</v>
      </c>
      <c r="E23" s="9" t="s">
        <v>284</v>
      </c>
      <c r="F23" s="25" t="s">
        <v>343</v>
      </c>
      <c r="G23" s="1">
        <f>Calculadora!G9*7</f>
        <v>8750</v>
      </c>
    </row>
    <row r="24" spans="1:7" ht="180">
      <c r="A24" s="9">
        <v>377813</v>
      </c>
      <c r="B24" s="9" t="s">
        <v>9</v>
      </c>
      <c r="C24" s="9">
        <f t="shared" si="0"/>
        <v>5</v>
      </c>
      <c r="D24" s="9" t="str">
        <f t="shared" si="1"/>
        <v>377813-5</v>
      </c>
      <c r="E24" s="9" t="s">
        <v>317</v>
      </c>
      <c r="F24" s="25" t="s">
        <v>355</v>
      </c>
      <c r="G24" s="1">
        <f>40000+50000</f>
        <v>90000</v>
      </c>
    </row>
    <row r="25" spans="1:7" ht="45">
      <c r="A25" s="9">
        <v>377844</v>
      </c>
      <c r="B25" s="9" t="s">
        <v>17</v>
      </c>
      <c r="C25" s="9">
        <f t="shared" si="0"/>
        <v>1</v>
      </c>
      <c r="D25" s="9" t="str">
        <f t="shared" si="1"/>
        <v>377844-1</v>
      </c>
      <c r="E25" s="9" t="s">
        <v>79</v>
      </c>
      <c r="F25" s="2" t="s">
        <v>316</v>
      </c>
      <c r="G25" s="1">
        <v>60000</v>
      </c>
    </row>
    <row r="26" spans="1:7" ht="45">
      <c r="A26" s="9">
        <v>530372</v>
      </c>
      <c r="B26" s="9" t="s">
        <v>16</v>
      </c>
      <c r="C26" s="9">
        <f t="shared" si="0"/>
        <v>1</v>
      </c>
      <c r="D26" s="9" t="str">
        <f t="shared" si="1"/>
        <v>530372-1</v>
      </c>
      <c r="E26" s="9" t="s">
        <v>93</v>
      </c>
      <c r="F26" s="2" t="s">
        <v>154</v>
      </c>
      <c r="G26" s="1">
        <f>(100000*3*2)*20%</f>
        <v>120000</v>
      </c>
    </row>
    <row r="27" spans="1:7" ht="45">
      <c r="A27" s="9">
        <v>530372</v>
      </c>
      <c r="B27" s="9" t="s">
        <v>16</v>
      </c>
      <c r="C27" s="9">
        <f t="shared" si="0"/>
        <v>2</v>
      </c>
      <c r="D27" s="9" t="str">
        <f t="shared" si="1"/>
        <v>530372-2</v>
      </c>
      <c r="E27" s="9" t="s">
        <v>144</v>
      </c>
      <c r="F27" s="2" t="s">
        <v>160</v>
      </c>
      <c r="G27" s="21">
        <v>43000</v>
      </c>
    </row>
    <row r="28" spans="1:7">
      <c r="A28" s="9">
        <v>530372</v>
      </c>
      <c r="B28" s="9" t="s">
        <v>16</v>
      </c>
      <c r="C28" s="9">
        <f t="shared" si="0"/>
        <v>3</v>
      </c>
      <c r="D28" s="9" t="str">
        <f t="shared" si="1"/>
        <v>530372-3</v>
      </c>
      <c r="E28" s="9" t="s">
        <v>131</v>
      </c>
      <c r="F28" s="2" t="s">
        <v>356</v>
      </c>
      <c r="G28" s="21">
        <f>'Caracteristicas TDC'!F10</f>
        <v>28590</v>
      </c>
    </row>
    <row r="29" spans="1:7" ht="45">
      <c r="A29" s="9">
        <v>530372</v>
      </c>
      <c r="B29" s="9" t="s">
        <v>16</v>
      </c>
      <c r="C29" s="9">
        <f t="shared" si="0"/>
        <v>4</v>
      </c>
      <c r="D29" s="9" t="str">
        <f t="shared" si="1"/>
        <v>530372-4</v>
      </c>
      <c r="E29" s="9" t="s">
        <v>79</v>
      </c>
      <c r="F29" s="2" t="s">
        <v>316</v>
      </c>
      <c r="G29" s="1">
        <v>60000</v>
      </c>
    </row>
    <row r="30" spans="1:7" ht="120">
      <c r="A30" s="9">
        <v>530372</v>
      </c>
      <c r="B30" s="9" t="s">
        <v>16</v>
      </c>
      <c r="C30" s="9">
        <f t="shared" si="0"/>
        <v>5</v>
      </c>
      <c r="D30" s="9" t="str">
        <f t="shared" si="1"/>
        <v>530372-5</v>
      </c>
      <c r="E30" s="9" t="s">
        <v>284</v>
      </c>
      <c r="F30" s="25" t="s">
        <v>344</v>
      </c>
      <c r="G30" s="1">
        <f>Calculadora!G9*7</f>
        <v>8750</v>
      </c>
    </row>
    <row r="31" spans="1:7" ht="30">
      <c r="A31" s="9">
        <v>451308</v>
      </c>
      <c r="B31" s="9" t="s">
        <v>285</v>
      </c>
      <c r="C31" s="9">
        <f t="shared" si="0"/>
        <v>1</v>
      </c>
      <c r="D31" s="9" t="str">
        <f t="shared" si="1"/>
        <v>451308-1</v>
      </c>
      <c r="E31" s="9" t="s">
        <v>80</v>
      </c>
      <c r="F31" s="2" t="s">
        <v>137</v>
      </c>
      <c r="G31" s="1">
        <v>36000</v>
      </c>
    </row>
    <row r="32" spans="1:7" ht="45">
      <c r="A32" s="9">
        <v>451308</v>
      </c>
      <c r="B32" s="9" t="s">
        <v>285</v>
      </c>
      <c r="C32" s="9">
        <f t="shared" si="0"/>
        <v>2</v>
      </c>
      <c r="D32" s="9" t="str">
        <f t="shared" si="1"/>
        <v>451308-2</v>
      </c>
      <c r="E32" s="9" t="s">
        <v>94</v>
      </c>
      <c r="F32" s="2" t="s">
        <v>278</v>
      </c>
      <c r="G32" s="21">
        <f>200000*30%</f>
        <v>60000</v>
      </c>
    </row>
    <row r="33" spans="1:8" ht="45">
      <c r="A33" s="9">
        <v>451308</v>
      </c>
      <c r="B33" s="9" t="s">
        <v>285</v>
      </c>
      <c r="C33" s="9">
        <f t="shared" si="0"/>
        <v>3</v>
      </c>
      <c r="D33" s="9" t="str">
        <f t="shared" si="1"/>
        <v>451308-3</v>
      </c>
      <c r="E33" s="9" t="s">
        <v>79</v>
      </c>
      <c r="F33" s="2" t="s">
        <v>316</v>
      </c>
      <c r="G33" s="1">
        <v>60000</v>
      </c>
    </row>
    <row r="34" spans="1:8" ht="120">
      <c r="A34" s="9">
        <v>451308</v>
      </c>
      <c r="B34" s="9" t="s">
        <v>285</v>
      </c>
      <c r="C34" s="9">
        <f t="shared" si="0"/>
        <v>4</v>
      </c>
      <c r="D34" s="9" t="str">
        <f t="shared" si="1"/>
        <v>451308-4</v>
      </c>
      <c r="E34" s="9" t="s">
        <v>284</v>
      </c>
      <c r="F34" s="25" t="s">
        <v>344</v>
      </c>
      <c r="G34" s="1">
        <f>Calculadora!G9*7</f>
        <v>8750</v>
      </c>
    </row>
    <row r="35" spans="1:8" ht="30">
      <c r="A35" s="9">
        <v>377815</v>
      </c>
      <c r="B35" s="9" t="s">
        <v>15</v>
      </c>
      <c r="C35" s="9">
        <f t="shared" si="0"/>
        <v>1</v>
      </c>
      <c r="D35" s="9" t="str">
        <f t="shared" si="1"/>
        <v>377815-1</v>
      </c>
      <c r="E35" s="9" t="s">
        <v>95</v>
      </c>
      <c r="F35" s="2" t="s">
        <v>91</v>
      </c>
      <c r="G35" s="1">
        <f>10720*7</f>
        <v>75040</v>
      </c>
    </row>
    <row r="36" spans="1:8" ht="75">
      <c r="A36" s="9">
        <v>377815</v>
      </c>
      <c r="B36" s="9" t="s">
        <v>15</v>
      </c>
      <c r="C36" s="9">
        <f t="shared" si="0"/>
        <v>2</v>
      </c>
      <c r="D36" s="9" t="str">
        <f t="shared" si="1"/>
        <v>377815-2</v>
      </c>
      <c r="E36" s="9" t="s">
        <v>358</v>
      </c>
      <c r="F36" s="2" t="s">
        <v>362</v>
      </c>
      <c r="G36" s="21">
        <f>((1600000/4800*2)+(140000/4800))</f>
        <v>695.83333333333326</v>
      </c>
    </row>
    <row r="37" spans="1:8">
      <c r="A37" s="9">
        <v>377815</v>
      </c>
      <c r="B37" s="9" t="s">
        <v>15</v>
      </c>
      <c r="C37" s="9">
        <f t="shared" si="0"/>
        <v>3</v>
      </c>
      <c r="D37" s="9" t="str">
        <f t="shared" si="1"/>
        <v>377815-3</v>
      </c>
      <c r="E37" s="9" t="s">
        <v>96</v>
      </c>
      <c r="F37" s="2" t="s">
        <v>92</v>
      </c>
      <c r="G37" s="1">
        <f>30200/2</f>
        <v>15100</v>
      </c>
    </row>
    <row r="38" spans="1:8" ht="30">
      <c r="A38" s="9">
        <v>377815</v>
      </c>
      <c r="B38" s="9" t="s">
        <v>15</v>
      </c>
      <c r="C38" s="9">
        <f t="shared" si="0"/>
        <v>4</v>
      </c>
      <c r="D38" s="9" t="str">
        <f t="shared" si="1"/>
        <v>377815-4</v>
      </c>
      <c r="E38" s="9" t="s">
        <v>86</v>
      </c>
      <c r="F38" s="2" t="s">
        <v>229</v>
      </c>
      <c r="G38" s="1">
        <v>15000</v>
      </c>
    </row>
    <row r="39" spans="1:8" ht="30">
      <c r="A39" s="9">
        <v>377815</v>
      </c>
      <c r="B39" s="9" t="s">
        <v>15</v>
      </c>
      <c r="C39" s="9">
        <f t="shared" si="0"/>
        <v>5</v>
      </c>
      <c r="D39" s="9" t="str">
        <f t="shared" si="1"/>
        <v>377815-5</v>
      </c>
      <c r="E39" s="10" t="s">
        <v>105</v>
      </c>
      <c r="F39" s="2" t="s">
        <v>103</v>
      </c>
      <c r="G39" s="1">
        <v>28000</v>
      </c>
      <c r="H39" s="24"/>
    </row>
    <row r="40" spans="1:8" ht="180">
      <c r="A40" s="9">
        <v>377815</v>
      </c>
      <c r="B40" s="9" t="s">
        <v>15</v>
      </c>
      <c r="C40" s="9">
        <f t="shared" si="0"/>
        <v>6</v>
      </c>
      <c r="D40" s="9" t="str">
        <f t="shared" si="1"/>
        <v>377815-6</v>
      </c>
      <c r="E40" s="10" t="s">
        <v>317</v>
      </c>
      <c r="F40" s="25" t="s">
        <v>355</v>
      </c>
      <c r="G40" s="1">
        <f>40000+50000</f>
        <v>90000</v>
      </c>
    </row>
    <row r="41" spans="1:8" ht="120">
      <c r="A41" s="9">
        <v>377815</v>
      </c>
      <c r="B41" s="9" t="s">
        <v>15</v>
      </c>
      <c r="C41" s="9">
        <f t="shared" si="0"/>
        <v>7</v>
      </c>
      <c r="D41" s="9" t="str">
        <f t="shared" si="1"/>
        <v>377815-7</v>
      </c>
      <c r="E41" s="10" t="s">
        <v>284</v>
      </c>
      <c r="F41" s="25" t="s">
        <v>344</v>
      </c>
      <c r="G41" s="1">
        <f>Calculadora!G9*7</f>
        <v>8750</v>
      </c>
    </row>
    <row r="42" spans="1:8" ht="45">
      <c r="A42" s="9">
        <v>377815</v>
      </c>
      <c r="B42" s="9" t="s">
        <v>15</v>
      </c>
      <c r="C42" s="9">
        <f t="shared" si="0"/>
        <v>8</v>
      </c>
      <c r="D42" s="9" t="str">
        <f t="shared" si="1"/>
        <v>377815-8</v>
      </c>
      <c r="E42" s="10" t="s">
        <v>79</v>
      </c>
      <c r="F42" s="2" t="s">
        <v>316</v>
      </c>
      <c r="G42" s="1">
        <v>60000</v>
      </c>
    </row>
    <row r="43" spans="1:8" ht="45">
      <c r="A43" s="9">
        <v>377815</v>
      </c>
      <c r="B43" s="9" t="s">
        <v>15</v>
      </c>
      <c r="C43" s="9">
        <f t="shared" si="0"/>
        <v>9</v>
      </c>
      <c r="D43" s="9" t="str">
        <f t="shared" si="1"/>
        <v>377815-9</v>
      </c>
      <c r="E43" s="10" t="s">
        <v>363</v>
      </c>
      <c r="F43" s="2" t="s">
        <v>364</v>
      </c>
      <c r="G43" s="1">
        <f>(300000*15%)</f>
        <v>45000</v>
      </c>
    </row>
    <row r="44" spans="1:8" ht="30">
      <c r="A44" s="9">
        <v>377816</v>
      </c>
      <c r="B44" s="9" t="s">
        <v>19</v>
      </c>
      <c r="C44" s="9">
        <f t="shared" si="0"/>
        <v>1</v>
      </c>
      <c r="D44" s="9" t="str">
        <f t="shared" si="1"/>
        <v>377816-1</v>
      </c>
      <c r="E44" s="9" t="s">
        <v>104</v>
      </c>
      <c r="F44" s="2" t="s">
        <v>102</v>
      </c>
      <c r="G44" s="1">
        <v>75000</v>
      </c>
    </row>
    <row r="45" spans="1:8" ht="30">
      <c r="A45" s="9">
        <v>377816</v>
      </c>
      <c r="B45" s="9" t="s">
        <v>19</v>
      </c>
      <c r="C45" s="9">
        <f t="shared" si="0"/>
        <v>2</v>
      </c>
      <c r="D45" s="9" t="str">
        <f t="shared" si="1"/>
        <v>377816-2</v>
      </c>
      <c r="E45" s="9" t="s">
        <v>105</v>
      </c>
      <c r="F45" s="2" t="s">
        <v>103</v>
      </c>
      <c r="G45" s="1">
        <v>45000</v>
      </c>
    </row>
    <row r="46" spans="1:8" ht="45">
      <c r="A46" s="9">
        <v>377816</v>
      </c>
      <c r="B46" s="9" t="s">
        <v>19</v>
      </c>
      <c r="C46" s="9">
        <f t="shared" si="0"/>
        <v>3</v>
      </c>
      <c r="D46" s="9" t="str">
        <f t="shared" si="1"/>
        <v>377816-3</v>
      </c>
      <c r="E46" s="9" t="s">
        <v>79</v>
      </c>
      <c r="F46" s="2" t="s">
        <v>316</v>
      </c>
      <c r="G46" s="1">
        <v>60000</v>
      </c>
    </row>
    <row r="47" spans="1:8">
      <c r="A47" s="9">
        <v>377816</v>
      </c>
      <c r="B47" s="9" t="s">
        <v>19</v>
      </c>
      <c r="C47" s="9">
        <f t="shared" si="0"/>
        <v>4</v>
      </c>
      <c r="D47" s="9" t="str">
        <f t="shared" si="1"/>
        <v>377816-4</v>
      </c>
      <c r="E47" s="9" t="s">
        <v>86</v>
      </c>
      <c r="F47" s="2" t="s">
        <v>230</v>
      </c>
      <c r="G47" s="1">
        <v>15000</v>
      </c>
    </row>
    <row r="48" spans="1:8">
      <c r="A48" s="9">
        <v>377816</v>
      </c>
      <c r="B48" s="9" t="s">
        <v>19</v>
      </c>
      <c r="C48" s="9">
        <f t="shared" si="0"/>
        <v>5</v>
      </c>
      <c r="D48" s="9" t="str">
        <f t="shared" si="1"/>
        <v>377816-5</v>
      </c>
      <c r="E48" s="9" t="s">
        <v>131</v>
      </c>
      <c r="F48" s="2" t="s">
        <v>356</v>
      </c>
      <c r="G48" s="1">
        <f>'Caracteristicas TDC'!F13</f>
        <v>32590</v>
      </c>
    </row>
    <row r="49" spans="1:7" ht="180">
      <c r="A49" s="9">
        <v>377816</v>
      </c>
      <c r="B49" s="9" t="s">
        <v>19</v>
      </c>
      <c r="C49" s="9">
        <f t="shared" si="0"/>
        <v>6</v>
      </c>
      <c r="D49" s="9" t="str">
        <f t="shared" si="1"/>
        <v>377816-6</v>
      </c>
      <c r="E49" s="9" t="s">
        <v>317</v>
      </c>
      <c r="F49" s="25" t="s">
        <v>355</v>
      </c>
      <c r="G49" s="1">
        <f>40000+50000</f>
        <v>90000</v>
      </c>
    </row>
    <row r="50" spans="1:7" ht="120">
      <c r="A50" s="9">
        <v>377816</v>
      </c>
      <c r="B50" s="9" t="s">
        <v>19</v>
      </c>
      <c r="C50" s="9">
        <f t="shared" si="0"/>
        <v>7</v>
      </c>
      <c r="D50" s="9" t="str">
        <f t="shared" si="1"/>
        <v>377816-7</v>
      </c>
      <c r="E50" s="9" t="s">
        <v>284</v>
      </c>
      <c r="F50" s="25" t="s">
        <v>345</v>
      </c>
      <c r="G50" s="1">
        <f>Calculadora!G9*7</f>
        <v>8750</v>
      </c>
    </row>
    <row r="51" spans="1:7" ht="45">
      <c r="A51" s="9">
        <v>549157</v>
      </c>
      <c r="B51" s="9" t="s">
        <v>22</v>
      </c>
      <c r="C51" s="9">
        <f t="shared" si="0"/>
        <v>1</v>
      </c>
      <c r="D51" s="9" t="str">
        <f t="shared" si="1"/>
        <v>549157-1</v>
      </c>
      <c r="E51" s="9" t="s">
        <v>79</v>
      </c>
      <c r="F51" s="2" t="s">
        <v>316</v>
      </c>
      <c r="G51" s="1">
        <v>60000</v>
      </c>
    </row>
    <row r="52" spans="1:7" ht="45">
      <c r="A52" s="9">
        <v>549157</v>
      </c>
      <c r="B52" s="9" t="s">
        <v>22</v>
      </c>
      <c r="C52" s="9">
        <f t="shared" si="0"/>
        <v>2</v>
      </c>
      <c r="D52" s="9" t="str">
        <f t="shared" si="1"/>
        <v>549157-2</v>
      </c>
      <c r="E52" s="9" t="s">
        <v>144</v>
      </c>
      <c r="F52" s="2" t="s">
        <v>160</v>
      </c>
      <c r="G52" s="21">
        <v>43000</v>
      </c>
    </row>
    <row r="53" spans="1:7" ht="30">
      <c r="A53" s="9">
        <v>549157</v>
      </c>
      <c r="B53" s="9" t="s">
        <v>22</v>
      </c>
      <c r="C53" s="9">
        <f t="shared" si="0"/>
        <v>3</v>
      </c>
      <c r="D53" s="9" t="str">
        <f t="shared" si="1"/>
        <v>549157-3</v>
      </c>
      <c r="E53" s="9" t="s">
        <v>115</v>
      </c>
      <c r="F53" s="2" t="s">
        <v>138</v>
      </c>
      <c r="G53" s="1">
        <v>46000</v>
      </c>
    </row>
    <row r="54" spans="1:7" ht="60">
      <c r="A54" s="10">
        <v>549157</v>
      </c>
      <c r="B54" s="10" t="s">
        <v>22</v>
      </c>
      <c r="C54" s="9">
        <f t="shared" si="0"/>
        <v>4</v>
      </c>
      <c r="D54" s="9" t="str">
        <f t="shared" si="1"/>
        <v>549157-4</v>
      </c>
      <c r="E54" s="10" t="s">
        <v>311</v>
      </c>
      <c r="F54" s="2" t="s">
        <v>321</v>
      </c>
      <c r="G54" s="1">
        <v>75000</v>
      </c>
    </row>
    <row r="55" spans="1:7">
      <c r="A55" s="9">
        <v>549157</v>
      </c>
      <c r="B55" s="9" t="s">
        <v>22</v>
      </c>
      <c r="C55" s="9">
        <f t="shared" si="0"/>
        <v>5</v>
      </c>
      <c r="D55" s="9" t="str">
        <f t="shared" si="1"/>
        <v>549157-5</v>
      </c>
      <c r="E55" s="9" t="s">
        <v>107</v>
      </c>
      <c r="F55" s="2" t="s">
        <v>231</v>
      </c>
      <c r="G55" s="21">
        <v>25000</v>
      </c>
    </row>
    <row r="56" spans="1:7" ht="120">
      <c r="A56" s="9">
        <v>549157</v>
      </c>
      <c r="B56" s="9" t="s">
        <v>22</v>
      </c>
      <c r="C56" s="9">
        <f t="shared" si="0"/>
        <v>6</v>
      </c>
      <c r="D56" s="9" t="str">
        <f t="shared" si="1"/>
        <v>549157-6</v>
      </c>
      <c r="E56" s="9" t="s">
        <v>284</v>
      </c>
      <c r="F56" s="25" t="s">
        <v>345</v>
      </c>
      <c r="G56" s="21">
        <f>Calculadora!G9*7</f>
        <v>8750</v>
      </c>
    </row>
    <row r="57" spans="1:7">
      <c r="A57" s="9">
        <v>409984</v>
      </c>
      <c r="B57" s="9" t="s">
        <v>20</v>
      </c>
      <c r="C57" s="9">
        <f t="shared" si="0"/>
        <v>1</v>
      </c>
      <c r="D57" s="9" t="str">
        <f t="shared" si="1"/>
        <v>409984-1</v>
      </c>
      <c r="E57" s="9" t="s">
        <v>107</v>
      </c>
      <c r="F57" s="2" t="s">
        <v>231</v>
      </c>
      <c r="G57" s="1">
        <v>25000</v>
      </c>
    </row>
    <row r="58" spans="1:7" ht="45">
      <c r="A58" s="9">
        <v>409984</v>
      </c>
      <c r="B58" s="9" t="s">
        <v>20</v>
      </c>
      <c r="C58" s="9">
        <f t="shared" si="0"/>
        <v>2</v>
      </c>
      <c r="D58" s="9" t="str">
        <f t="shared" si="1"/>
        <v>409984-2</v>
      </c>
      <c r="E58" s="9" t="s">
        <v>324</v>
      </c>
      <c r="F58" s="2" t="s">
        <v>142</v>
      </c>
      <c r="G58" s="1">
        <f>20*Calculadora!D7</f>
        <v>70000</v>
      </c>
    </row>
    <row r="59" spans="1:7" ht="45">
      <c r="A59" s="9">
        <v>409984</v>
      </c>
      <c r="B59" s="9" t="s">
        <v>20</v>
      </c>
      <c r="C59" s="9">
        <f t="shared" si="0"/>
        <v>3</v>
      </c>
      <c r="D59" s="9" t="str">
        <f t="shared" si="1"/>
        <v>409984-3</v>
      </c>
      <c r="E59" s="9" t="s">
        <v>79</v>
      </c>
      <c r="F59" s="2" t="s">
        <v>316</v>
      </c>
      <c r="G59" s="1">
        <v>60000</v>
      </c>
    </row>
    <row r="60" spans="1:7" ht="120">
      <c r="A60" s="9">
        <v>409984</v>
      </c>
      <c r="B60" s="9" t="s">
        <v>20</v>
      </c>
      <c r="C60" s="9">
        <f t="shared" si="0"/>
        <v>4</v>
      </c>
      <c r="D60" s="9" t="str">
        <f t="shared" si="1"/>
        <v>409984-4</v>
      </c>
      <c r="E60" s="9" t="s">
        <v>284</v>
      </c>
      <c r="F60" s="25" t="s">
        <v>345</v>
      </c>
      <c r="G60" s="1">
        <f>Calculadora!G9*7</f>
        <v>8750</v>
      </c>
    </row>
    <row r="61" spans="1:7" ht="135">
      <c r="A61" s="9">
        <v>377814</v>
      </c>
      <c r="B61" s="9" t="s">
        <v>18</v>
      </c>
      <c r="C61" s="9">
        <f t="shared" si="0"/>
        <v>1</v>
      </c>
      <c r="D61" s="9" t="str">
        <f t="shared" si="1"/>
        <v>377814-1</v>
      </c>
      <c r="E61" s="9" t="s">
        <v>357</v>
      </c>
      <c r="F61" s="2" t="s">
        <v>359</v>
      </c>
      <c r="G61" s="1">
        <v>75000</v>
      </c>
    </row>
    <row r="62" spans="1:7" ht="180">
      <c r="A62" s="9">
        <v>377814</v>
      </c>
      <c r="B62" s="9" t="s">
        <v>18</v>
      </c>
      <c r="C62" s="9">
        <f t="shared" si="0"/>
        <v>2</v>
      </c>
      <c r="D62" s="9" t="str">
        <f t="shared" si="1"/>
        <v>377814-2</v>
      </c>
      <c r="E62" s="9" t="s">
        <v>279</v>
      </c>
      <c r="F62" s="2" t="s">
        <v>361</v>
      </c>
      <c r="G62" s="1">
        <f>429/12*Calculadora!D7</f>
        <v>125125</v>
      </c>
    </row>
    <row r="63" spans="1:7" ht="30">
      <c r="A63" s="9">
        <v>377814</v>
      </c>
      <c r="B63" s="9" t="s">
        <v>18</v>
      </c>
      <c r="C63" s="9">
        <f>IF(A63=A62,C62+1,1)</f>
        <v>3</v>
      </c>
      <c r="D63" s="9" t="str">
        <f t="shared" si="1"/>
        <v>377814-3</v>
      </c>
      <c r="E63" s="9" t="s">
        <v>114</v>
      </c>
      <c r="F63" s="2" t="s">
        <v>112</v>
      </c>
      <c r="G63" s="1">
        <v>73000</v>
      </c>
    </row>
    <row r="64" spans="1:7">
      <c r="A64" s="9">
        <v>377814</v>
      </c>
      <c r="B64" s="9" t="s">
        <v>18</v>
      </c>
      <c r="C64" s="9">
        <f t="shared" si="0"/>
        <v>4</v>
      </c>
      <c r="D64" s="9" t="str">
        <f t="shared" si="1"/>
        <v>377814-4</v>
      </c>
      <c r="E64" s="9" t="s">
        <v>86</v>
      </c>
      <c r="F64" s="2" t="s">
        <v>232</v>
      </c>
      <c r="G64" s="1">
        <v>15000</v>
      </c>
    </row>
    <row r="65" spans="1:7" ht="45">
      <c r="A65" s="9">
        <v>377814</v>
      </c>
      <c r="B65" s="9" t="s">
        <v>18</v>
      </c>
      <c r="C65" s="9">
        <f t="shared" si="0"/>
        <v>5</v>
      </c>
      <c r="D65" s="9" t="str">
        <f t="shared" si="1"/>
        <v>377814-5</v>
      </c>
      <c r="E65" s="2" t="s">
        <v>106</v>
      </c>
      <c r="F65" s="2" t="s">
        <v>163</v>
      </c>
      <c r="G65" s="21">
        <v>750000</v>
      </c>
    </row>
    <row r="66" spans="1:7" ht="180">
      <c r="A66" s="9">
        <v>377814</v>
      </c>
      <c r="B66" s="9" t="s">
        <v>18</v>
      </c>
      <c r="C66" s="9">
        <f t="shared" si="0"/>
        <v>6</v>
      </c>
      <c r="D66" s="9" t="str">
        <f t="shared" si="1"/>
        <v>377814-6</v>
      </c>
      <c r="E66" s="9" t="s">
        <v>317</v>
      </c>
      <c r="F66" s="25" t="s">
        <v>355</v>
      </c>
      <c r="G66" s="1">
        <f>40000+50000</f>
        <v>90000</v>
      </c>
    </row>
    <row r="67" spans="1:7" ht="120">
      <c r="A67" s="9">
        <v>377814</v>
      </c>
      <c r="B67" s="9" t="s">
        <v>18</v>
      </c>
      <c r="C67" s="9">
        <f t="shared" si="0"/>
        <v>7</v>
      </c>
      <c r="D67" s="9" t="str">
        <f t="shared" si="1"/>
        <v>377814-7</v>
      </c>
      <c r="E67" s="9" t="s">
        <v>284</v>
      </c>
      <c r="F67" s="25" t="s">
        <v>345</v>
      </c>
      <c r="G67" s="21">
        <f>Calculadora!G9*7</f>
        <v>8750</v>
      </c>
    </row>
    <row r="68" spans="1:7" ht="30">
      <c r="A68" s="9">
        <v>411054</v>
      </c>
      <c r="B68" s="9" t="s">
        <v>21</v>
      </c>
      <c r="C68" s="9">
        <f t="shared" si="0"/>
        <v>1</v>
      </c>
      <c r="D68" s="9" t="str">
        <f t="shared" si="1"/>
        <v>411054-1</v>
      </c>
      <c r="E68" s="9" t="s">
        <v>95</v>
      </c>
      <c r="F68" s="2" t="s">
        <v>301</v>
      </c>
      <c r="G68" s="1">
        <f>53600*7</f>
        <v>375200</v>
      </c>
    </row>
    <row r="69" spans="1:7" ht="180">
      <c r="A69" s="9">
        <v>411054</v>
      </c>
      <c r="B69" s="9" t="s">
        <v>21</v>
      </c>
      <c r="C69" s="9">
        <f t="shared" si="0"/>
        <v>2</v>
      </c>
      <c r="D69" s="9" t="str">
        <f t="shared" si="1"/>
        <v>411054-2</v>
      </c>
      <c r="E69" s="9" t="s">
        <v>279</v>
      </c>
      <c r="F69" s="2" t="s">
        <v>361</v>
      </c>
      <c r="G69" s="1">
        <f>429/12*Calculadora!D7</f>
        <v>125125</v>
      </c>
    </row>
    <row r="70" spans="1:7" ht="135">
      <c r="A70" s="9">
        <v>411054</v>
      </c>
      <c r="B70" s="9" t="s">
        <v>21</v>
      </c>
      <c r="C70" s="9">
        <f t="shared" si="0"/>
        <v>3</v>
      </c>
      <c r="D70" s="9" t="str">
        <f t="shared" si="1"/>
        <v>411054-3</v>
      </c>
      <c r="E70" s="9" t="s">
        <v>357</v>
      </c>
      <c r="F70" s="2" t="s">
        <v>359</v>
      </c>
      <c r="G70" s="1">
        <v>330000</v>
      </c>
    </row>
    <row r="71" spans="1:7">
      <c r="A71" s="9">
        <v>411054</v>
      </c>
      <c r="B71" s="9" t="s">
        <v>21</v>
      </c>
      <c r="C71" s="9">
        <f t="shared" si="0"/>
        <v>4</v>
      </c>
      <c r="D71" s="9" t="str">
        <f t="shared" si="1"/>
        <v>411054-4</v>
      </c>
      <c r="E71" s="9" t="s">
        <v>107</v>
      </c>
      <c r="F71" s="2" t="s">
        <v>231</v>
      </c>
      <c r="G71" s="1">
        <v>25000</v>
      </c>
    </row>
    <row r="72" spans="1:7" ht="45">
      <c r="A72" s="9">
        <v>411054</v>
      </c>
      <c r="B72" s="9" t="s">
        <v>21</v>
      </c>
      <c r="C72" s="9">
        <f t="shared" si="0"/>
        <v>5</v>
      </c>
      <c r="D72" s="9" t="str">
        <f t="shared" si="1"/>
        <v>411054-5</v>
      </c>
      <c r="E72" s="9" t="s">
        <v>165</v>
      </c>
      <c r="F72" s="2" t="s">
        <v>143</v>
      </c>
      <c r="G72" s="1">
        <f>20*Calculadora!D7</f>
        <v>70000</v>
      </c>
    </row>
    <row r="73" spans="1:7" ht="45">
      <c r="A73" s="9">
        <v>411054</v>
      </c>
      <c r="B73" s="9" t="s">
        <v>21</v>
      </c>
      <c r="C73" s="9">
        <f t="shared" si="0"/>
        <v>6</v>
      </c>
      <c r="D73" s="9" t="str">
        <f t="shared" si="1"/>
        <v>411054-6</v>
      </c>
      <c r="E73" s="9" t="s">
        <v>79</v>
      </c>
      <c r="F73" s="2" t="s">
        <v>316</v>
      </c>
      <c r="G73" s="1">
        <v>60000</v>
      </c>
    </row>
    <row r="74" spans="1:7" ht="120">
      <c r="A74" s="9">
        <v>411054</v>
      </c>
      <c r="B74" s="9" t="s">
        <v>21</v>
      </c>
      <c r="C74" s="9">
        <f t="shared" si="0"/>
        <v>7</v>
      </c>
      <c r="D74" s="9" t="str">
        <f t="shared" si="1"/>
        <v>411054-7</v>
      </c>
      <c r="E74" s="9" t="s">
        <v>284</v>
      </c>
      <c r="F74" s="25" t="s">
        <v>345</v>
      </c>
      <c r="G74" s="1">
        <f>Calculadora!G9*7</f>
        <v>8750</v>
      </c>
    </row>
    <row r="75" spans="1:7" ht="135">
      <c r="A75" s="9">
        <v>549158</v>
      </c>
      <c r="B75" s="9" t="s">
        <v>23</v>
      </c>
      <c r="C75" s="9">
        <f t="shared" si="0"/>
        <v>1</v>
      </c>
      <c r="D75" s="9" t="str">
        <f t="shared" si="1"/>
        <v>549158-1</v>
      </c>
      <c r="E75" s="9" t="s">
        <v>357</v>
      </c>
      <c r="F75" s="2" t="s">
        <v>359</v>
      </c>
      <c r="G75" s="1">
        <v>105600</v>
      </c>
    </row>
    <row r="76" spans="1:7" ht="30">
      <c r="A76" s="9">
        <v>549158</v>
      </c>
      <c r="B76" s="9" t="s">
        <v>23</v>
      </c>
      <c r="C76" s="9">
        <f t="shared" si="0"/>
        <v>2</v>
      </c>
      <c r="D76" s="9" t="str">
        <f t="shared" si="1"/>
        <v>549158-2</v>
      </c>
      <c r="E76" s="9" t="s">
        <v>115</v>
      </c>
      <c r="F76" s="2" t="s">
        <v>138</v>
      </c>
      <c r="G76" s="1">
        <v>46000</v>
      </c>
    </row>
    <row r="77" spans="1:7" ht="150">
      <c r="A77" s="9">
        <v>549158</v>
      </c>
      <c r="B77" s="9" t="s">
        <v>23</v>
      </c>
      <c r="C77" s="9">
        <f t="shared" si="0"/>
        <v>3</v>
      </c>
      <c r="D77" s="9" t="str">
        <f t="shared" si="1"/>
        <v>549158-3</v>
      </c>
      <c r="E77" s="9" t="s">
        <v>310</v>
      </c>
      <c r="F77" s="2" t="s">
        <v>360</v>
      </c>
      <c r="G77" s="1">
        <f>429/12*Calculadora!D7</f>
        <v>125125</v>
      </c>
    </row>
    <row r="78" spans="1:7" ht="45">
      <c r="A78" s="9">
        <v>549158</v>
      </c>
      <c r="B78" s="9" t="s">
        <v>23</v>
      </c>
      <c r="C78" s="9">
        <f t="shared" si="0"/>
        <v>4</v>
      </c>
      <c r="D78" s="9" t="str">
        <f t="shared" si="1"/>
        <v>549158-4</v>
      </c>
      <c r="E78" s="9" t="s">
        <v>144</v>
      </c>
      <c r="F78" s="2" t="s">
        <v>160</v>
      </c>
      <c r="G78" s="21">
        <v>43000</v>
      </c>
    </row>
    <row r="79" spans="1:7" ht="45">
      <c r="A79" s="9">
        <v>549158</v>
      </c>
      <c r="B79" s="9" t="s">
        <v>23</v>
      </c>
      <c r="C79" s="9">
        <f t="shared" si="0"/>
        <v>5</v>
      </c>
      <c r="D79" s="9" t="str">
        <f t="shared" si="1"/>
        <v>549158-5</v>
      </c>
      <c r="E79" s="9" t="s">
        <v>79</v>
      </c>
      <c r="F79" s="2" t="s">
        <v>316</v>
      </c>
      <c r="G79" s="1">
        <v>60000</v>
      </c>
    </row>
    <row r="80" spans="1:7">
      <c r="A80" s="9">
        <v>549158</v>
      </c>
      <c r="B80" s="9" t="s">
        <v>23</v>
      </c>
      <c r="C80" s="9">
        <f t="shared" si="0"/>
        <v>6</v>
      </c>
      <c r="D80" s="9" t="str">
        <f t="shared" si="1"/>
        <v>549158-6</v>
      </c>
      <c r="E80" s="9" t="s">
        <v>107</v>
      </c>
      <c r="F80" s="2" t="s">
        <v>231</v>
      </c>
      <c r="G80" s="1">
        <v>25000</v>
      </c>
    </row>
    <row r="81" spans="1:7" ht="120">
      <c r="A81" s="9">
        <v>549158</v>
      </c>
      <c r="B81" s="9" t="s">
        <v>23</v>
      </c>
      <c r="C81" s="9">
        <f t="shared" si="0"/>
        <v>7</v>
      </c>
      <c r="D81" s="9" t="str">
        <f t="shared" si="1"/>
        <v>549158-7</v>
      </c>
      <c r="E81" s="9" t="s">
        <v>284</v>
      </c>
      <c r="F81" s="25" t="s">
        <v>345</v>
      </c>
      <c r="G81" s="1">
        <f>Calculadora!G9*7</f>
        <v>8750</v>
      </c>
    </row>
    <row r="82" spans="1:7" ht="30">
      <c r="A82" s="9">
        <v>459425</v>
      </c>
      <c r="B82" s="9" t="s">
        <v>14</v>
      </c>
      <c r="C82" s="9">
        <f t="shared" si="0"/>
        <v>1</v>
      </c>
      <c r="D82" s="9" t="str">
        <f t="shared" si="1"/>
        <v>459425-1</v>
      </c>
      <c r="E82" s="9" t="s">
        <v>120</v>
      </c>
      <c r="F82" s="2" t="s">
        <v>293</v>
      </c>
      <c r="G82" s="21">
        <v>430556</v>
      </c>
    </row>
    <row r="83" spans="1:7" ht="30">
      <c r="A83" s="9">
        <v>459425</v>
      </c>
      <c r="B83" s="9" t="s">
        <v>14</v>
      </c>
      <c r="C83" s="9">
        <f t="shared" si="0"/>
        <v>2</v>
      </c>
      <c r="D83" s="9" t="str">
        <f t="shared" si="1"/>
        <v>459425-2</v>
      </c>
      <c r="E83" s="9" t="s">
        <v>294</v>
      </c>
      <c r="F83" s="2" t="s">
        <v>354</v>
      </c>
      <c r="G83" s="21">
        <v>344449</v>
      </c>
    </row>
    <row r="84" spans="1:7" ht="45">
      <c r="A84" s="9">
        <v>459425</v>
      </c>
      <c r="B84" s="9" t="s">
        <v>14</v>
      </c>
      <c r="C84" s="9">
        <f t="shared" si="0"/>
        <v>3</v>
      </c>
      <c r="D84" s="9" t="str">
        <f t="shared" si="1"/>
        <v>459425-3</v>
      </c>
      <c r="E84" s="9" t="s">
        <v>79</v>
      </c>
      <c r="F84" s="2" t="s">
        <v>316</v>
      </c>
      <c r="G84" s="1">
        <v>60000</v>
      </c>
    </row>
    <row r="85" spans="1:7" ht="75">
      <c r="A85" s="9">
        <v>459425</v>
      </c>
      <c r="B85" s="9" t="s">
        <v>14</v>
      </c>
      <c r="C85" s="9">
        <f t="shared" si="0"/>
        <v>4</v>
      </c>
      <c r="D85" s="9" t="str">
        <f t="shared" si="1"/>
        <v>459425-4</v>
      </c>
      <c r="E85" s="9" t="s">
        <v>121</v>
      </c>
      <c r="F85" s="2" t="s">
        <v>295</v>
      </c>
      <c r="G85" s="21">
        <v>50000</v>
      </c>
    </row>
    <row r="86" spans="1:7" ht="45">
      <c r="A86" s="9">
        <v>530693</v>
      </c>
      <c r="B86" s="9" t="s">
        <v>139</v>
      </c>
      <c r="C86" s="9">
        <f t="shared" si="0"/>
        <v>1</v>
      </c>
      <c r="D86" s="9" t="str">
        <f t="shared" si="1"/>
        <v>530693-1</v>
      </c>
      <c r="E86" s="2" t="s">
        <v>221</v>
      </c>
      <c r="F86" s="2" t="s">
        <v>220</v>
      </c>
      <c r="G86" s="1">
        <f>27600/2</f>
        <v>13800</v>
      </c>
    </row>
    <row r="87" spans="1:7" ht="45">
      <c r="A87" s="9">
        <v>530693</v>
      </c>
      <c r="B87" s="9" t="s">
        <v>139</v>
      </c>
      <c r="C87" s="9">
        <f t="shared" si="0"/>
        <v>2</v>
      </c>
      <c r="D87" s="9" t="str">
        <f t="shared" si="1"/>
        <v>530693-2</v>
      </c>
      <c r="E87" s="9" t="s">
        <v>144</v>
      </c>
      <c r="F87" s="2" t="s">
        <v>160</v>
      </c>
      <c r="G87" s="21">
        <v>43000</v>
      </c>
    </row>
    <row r="88" spans="1:7" ht="45">
      <c r="A88" s="9">
        <v>530693</v>
      </c>
      <c r="B88" s="9" t="s">
        <v>139</v>
      </c>
      <c r="C88" s="9">
        <f t="shared" si="0"/>
        <v>3</v>
      </c>
      <c r="D88" s="9" t="str">
        <f t="shared" si="1"/>
        <v>530693-3</v>
      </c>
      <c r="E88" s="9" t="s">
        <v>79</v>
      </c>
      <c r="F88" s="2" t="s">
        <v>316</v>
      </c>
      <c r="G88" s="1">
        <v>60000</v>
      </c>
    </row>
    <row r="89" spans="1:7" ht="120">
      <c r="A89" s="9">
        <v>530693</v>
      </c>
      <c r="B89" s="9" t="s">
        <v>139</v>
      </c>
      <c r="C89" s="9">
        <f t="shared" si="0"/>
        <v>4</v>
      </c>
      <c r="D89" s="9" t="str">
        <f t="shared" si="1"/>
        <v>530693-4</v>
      </c>
      <c r="E89" s="9" t="s">
        <v>284</v>
      </c>
      <c r="F89" s="25" t="s">
        <v>344</v>
      </c>
      <c r="G89" s="1">
        <f>Calculadora!G9*7</f>
        <v>8750</v>
      </c>
    </row>
    <row r="90" spans="1:7">
      <c r="A90" s="9">
        <v>449188</v>
      </c>
      <c r="B90" s="9" t="s">
        <v>24</v>
      </c>
      <c r="C90" s="9">
        <f t="shared" si="0"/>
        <v>1</v>
      </c>
      <c r="D90" s="9" t="str">
        <f t="shared" si="1"/>
        <v>449188-1</v>
      </c>
      <c r="E90" s="9" t="s">
        <v>120</v>
      </c>
      <c r="F90" s="2" t="s">
        <v>291</v>
      </c>
      <c r="G90" s="21">
        <v>287042</v>
      </c>
    </row>
    <row r="91" spans="1:7" ht="45">
      <c r="A91" s="9">
        <v>449188</v>
      </c>
      <c r="B91" s="9" t="s">
        <v>24</v>
      </c>
      <c r="C91" s="9">
        <f t="shared" si="0"/>
        <v>2</v>
      </c>
      <c r="D91" s="9" t="str">
        <f t="shared" si="1"/>
        <v>449188-2</v>
      </c>
      <c r="E91" s="9" t="s">
        <v>79</v>
      </c>
      <c r="F91" s="2" t="s">
        <v>316</v>
      </c>
      <c r="G91" s="1">
        <v>60000</v>
      </c>
    </row>
    <row r="92" spans="1:7">
      <c r="A92" s="9">
        <v>459426</v>
      </c>
      <c r="B92" s="9" t="s">
        <v>25</v>
      </c>
      <c r="C92" s="9">
        <f t="shared" si="0"/>
        <v>1</v>
      </c>
      <c r="D92" s="9" t="str">
        <f t="shared" si="1"/>
        <v>459426-1</v>
      </c>
      <c r="E92" s="9" t="s">
        <v>120</v>
      </c>
      <c r="F92" s="2" t="s">
        <v>292</v>
      </c>
      <c r="G92" s="21">
        <v>287042</v>
      </c>
    </row>
    <row r="93" spans="1:7" ht="45">
      <c r="A93" s="9">
        <v>459426</v>
      </c>
      <c r="B93" s="9" t="s">
        <v>25</v>
      </c>
      <c r="C93" s="9">
        <f t="shared" si="0"/>
        <v>2</v>
      </c>
      <c r="D93" s="9" t="str">
        <f t="shared" si="1"/>
        <v>459426-2</v>
      </c>
      <c r="E93" s="9" t="s">
        <v>113</v>
      </c>
      <c r="F93" s="2" t="s">
        <v>233</v>
      </c>
      <c r="G93" s="1">
        <v>105000</v>
      </c>
    </row>
    <row r="94" spans="1:7" ht="45">
      <c r="A94" s="9">
        <v>459426</v>
      </c>
      <c r="B94" s="9" t="s">
        <v>25</v>
      </c>
      <c r="C94" s="9">
        <f t="shared" si="0"/>
        <v>3</v>
      </c>
      <c r="D94" s="9" t="str">
        <f t="shared" si="1"/>
        <v>459426-3</v>
      </c>
      <c r="E94" s="9" t="s">
        <v>79</v>
      </c>
      <c r="F94" s="2" t="s">
        <v>316</v>
      </c>
      <c r="G94" s="1">
        <v>60000</v>
      </c>
    </row>
    <row r="95" spans="1:7" ht="45">
      <c r="A95" s="9">
        <v>451309</v>
      </c>
      <c r="B95" s="9" t="s">
        <v>234</v>
      </c>
      <c r="C95" s="9">
        <f t="shared" si="0"/>
        <v>1</v>
      </c>
      <c r="D95" s="9" t="str">
        <f t="shared" si="1"/>
        <v>451309-1</v>
      </c>
      <c r="E95" s="9" t="s">
        <v>235</v>
      </c>
      <c r="F95" s="2" t="s">
        <v>316</v>
      </c>
      <c r="G95" s="1">
        <v>60000</v>
      </c>
    </row>
    <row r="96" spans="1:7" ht="120">
      <c r="A96" s="9">
        <v>451309</v>
      </c>
      <c r="B96" s="9" t="s">
        <v>234</v>
      </c>
      <c r="C96" s="9">
        <f t="shared" si="0"/>
        <v>2</v>
      </c>
      <c r="D96" s="9" t="str">
        <f t="shared" si="1"/>
        <v>451309-2</v>
      </c>
      <c r="E96" s="9" t="s">
        <v>284</v>
      </c>
      <c r="F96" s="25" t="s">
        <v>346</v>
      </c>
      <c r="G96" s="1">
        <f>Calculadora!G9*7</f>
        <v>8750</v>
      </c>
    </row>
    <row r="97" spans="1:7">
      <c r="A97" s="9">
        <v>553145</v>
      </c>
      <c r="B97" s="10" t="s">
        <v>276</v>
      </c>
      <c r="C97" s="9">
        <f t="shared" si="0"/>
        <v>1</v>
      </c>
      <c r="D97" s="9" t="str">
        <f t="shared" si="1"/>
        <v>553145-1</v>
      </c>
      <c r="E97" s="9" t="s">
        <v>131</v>
      </c>
      <c r="F97" s="2" t="s">
        <v>129</v>
      </c>
      <c r="G97" s="1">
        <f>'Caracteristicas TDC'!F24</f>
        <v>15890</v>
      </c>
    </row>
    <row r="98" spans="1:7" ht="45">
      <c r="A98" s="9">
        <v>553145</v>
      </c>
      <c r="B98" s="10" t="s">
        <v>276</v>
      </c>
      <c r="C98" s="9">
        <f t="shared" si="0"/>
        <v>2</v>
      </c>
      <c r="D98" s="9" t="str">
        <f t="shared" si="1"/>
        <v>553145-2</v>
      </c>
      <c r="E98" s="9" t="s">
        <v>79</v>
      </c>
      <c r="F98" s="2" t="s">
        <v>316</v>
      </c>
      <c r="G98" s="1">
        <v>60000</v>
      </c>
    </row>
    <row r="99" spans="1:7" ht="120">
      <c r="A99" s="9">
        <v>553145</v>
      </c>
      <c r="B99" s="10" t="s">
        <v>276</v>
      </c>
      <c r="C99" s="9">
        <f t="shared" si="0"/>
        <v>3</v>
      </c>
      <c r="D99" s="9" t="str">
        <f t="shared" si="1"/>
        <v>553145-3</v>
      </c>
      <c r="E99" s="9" t="s">
        <v>284</v>
      </c>
      <c r="F99" s="25" t="s">
        <v>346</v>
      </c>
      <c r="G99" s="1">
        <f>Calculadora!G9*7</f>
        <v>8750</v>
      </c>
    </row>
    <row r="100" spans="1:7">
      <c r="A100" s="9">
        <v>530373</v>
      </c>
      <c r="B100" s="9" t="s">
        <v>236</v>
      </c>
      <c r="C100" s="9">
        <f t="shared" ref="C100:C102" si="3">IF(A100=A99,C99+1,1)</f>
        <v>1</v>
      </c>
      <c r="D100" s="9" t="str">
        <f t="shared" ref="D100:D108" si="4">CONCATENATE(A100,"-",C100)</f>
        <v>530373-1</v>
      </c>
      <c r="E100" s="9" t="s">
        <v>131</v>
      </c>
      <c r="F100" s="2" t="s">
        <v>129</v>
      </c>
      <c r="G100" s="1">
        <f>'Caracteristicas TDC'!F25</f>
        <v>25590</v>
      </c>
    </row>
    <row r="101" spans="1:7" ht="45">
      <c r="A101" s="9">
        <v>530373</v>
      </c>
      <c r="B101" s="9" t="s">
        <v>236</v>
      </c>
      <c r="C101" s="9">
        <f t="shared" si="3"/>
        <v>2</v>
      </c>
      <c r="D101" s="9" t="str">
        <f t="shared" si="4"/>
        <v>530373-2</v>
      </c>
      <c r="E101" s="9" t="s">
        <v>79</v>
      </c>
      <c r="F101" s="2" t="s">
        <v>316</v>
      </c>
      <c r="G101" s="1">
        <v>60000</v>
      </c>
    </row>
    <row r="102" spans="1:7" ht="120">
      <c r="A102" s="9">
        <v>530373</v>
      </c>
      <c r="B102" s="9" t="s">
        <v>236</v>
      </c>
      <c r="C102" s="9">
        <f t="shared" si="3"/>
        <v>3</v>
      </c>
      <c r="D102" s="9" t="str">
        <f t="shared" si="4"/>
        <v>530373-3</v>
      </c>
      <c r="E102" s="9" t="s">
        <v>284</v>
      </c>
      <c r="F102" s="25" t="s">
        <v>346</v>
      </c>
      <c r="G102" s="1">
        <f>Calculadora!G9*7</f>
        <v>8750</v>
      </c>
    </row>
    <row r="103" spans="1:7" ht="120">
      <c r="A103" s="9">
        <v>552588</v>
      </c>
      <c r="B103" s="10" t="s">
        <v>36</v>
      </c>
      <c r="C103" s="9">
        <f t="shared" ref="C103:C108" si="5">IF(A103=A102,C102+1,1)</f>
        <v>1</v>
      </c>
      <c r="D103" s="9" t="str">
        <f t="shared" si="4"/>
        <v>552588-1</v>
      </c>
      <c r="E103" s="9" t="s">
        <v>253</v>
      </c>
      <c r="F103" s="25" t="s">
        <v>346</v>
      </c>
      <c r="G103" s="1">
        <f>Calculadora!G9*7</f>
        <v>8750</v>
      </c>
    </row>
    <row r="104" spans="1:7">
      <c r="A104" s="9">
        <v>552588</v>
      </c>
      <c r="B104" s="10" t="s">
        <v>36</v>
      </c>
      <c r="C104" s="9">
        <f t="shared" si="5"/>
        <v>2</v>
      </c>
      <c r="D104" s="9" t="str">
        <f t="shared" si="4"/>
        <v>552588-2</v>
      </c>
      <c r="E104" s="9" t="s">
        <v>131</v>
      </c>
      <c r="F104" s="2" t="s">
        <v>323</v>
      </c>
      <c r="G104" s="1">
        <f>'Caracteristicas TDC'!F26</f>
        <v>25590</v>
      </c>
    </row>
    <row r="105" spans="1:7" ht="120">
      <c r="A105" s="9">
        <v>409985</v>
      </c>
      <c r="B105" s="10" t="s">
        <v>13</v>
      </c>
      <c r="C105" s="9">
        <f t="shared" si="5"/>
        <v>1</v>
      </c>
      <c r="D105" s="9" t="str">
        <f t="shared" si="4"/>
        <v>409985-1</v>
      </c>
      <c r="E105" s="9" t="s">
        <v>253</v>
      </c>
      <c r="F105" s="25" t="s">
        <v>346</v>
      </c>
      <c r="G105" s="1">
        <f>Calculadora!G9*7</f>
        <v>8750</v>
      </c>
    </row>
    <row r="106" spans="1:7">
      <c r="A106" s="9">
        <v>409985</v>
      </c>
      <c r="B106" s="10" t="s">
        <v>13</v>
      </c>
      <c r="C106" s="9">
        <f t="shared" si="5"/>
        <v>2</v>
      </c>
      <c r="D106" s="9" t="str">
        <f t="shared" si="4"/>
        <v>409985-2</v>
      </c>
      <c r="E106" s="9" t="s">
        <v>131</v>
      </c>
      <c r="F106" s="2" t="s">
        <v>323</v>
      </c>
      <c r="G106" s="1">
        <f>'Caracteristicas TDC'!F27</f>
        <v>25590</v>
      </c>
    </row>
    <row r="107" spans="1:7" ht="120">
      <c r="A107" s="9">
        <v>547480</v>
      </c>
      <c r="B107" s="10" t="s">
        <v>237</v>
      </c>
      <c r="C107" s="9">
        <f t="shared" si="5"/>
        <v>1</v>
      </c>
      <c r="D107" s="9" t="str">
        <f t="shared" si="4"/>
        <v>547480-1</v>
      </c>
      <c r="E107" s="9" t="s">
        <v>253</v>
      </c>
      <c r="F107" s="25" t="s">
        <v>346</v>
      </c>
      <c r="G107" s="1">
        <f>Calculadora!G9*7</f>
        <v>8750</v>
      </c>
    </row>
    <row r="108" spans="1:7">
      <c r="A108" s="9">
        <v>547480</v>
      </c>
      <c r="B108" s="10" t="s">
        <v>237</v>
      </c>
      <c r="C108" s="9">
        <f t="shared" si="5"/>
        <v>2</v>
      </c>
      <c r="D108" s="9" t="str">
        <f t="shared" si="4"/>
        <v>547480-2</v>
      </c>
      <c r="E108" s="9" t="s">
        <v>131</v>
      </c>
      <c r="F108" s="2" t="s">
        <v>323</v>
      </c>
      <c r="G108" s="1">
        <f>'Caracteristicas TDC'!F28</f>
        <v>25590</v>
      </c>
    </row>
    <row r="109" spans="1:7">
      <c r="B109" s="10"/>
    </row>
    <row r="112" spans="1:7">
      <c r="A112" s="10"/>
      <c r="B112" s="10"/>
    </row>
  </sheetData>
  <pageMargins left="0.7" right="0.7" top="0.75" bottom="0.75" header="0.3" footer="0.3"/>
  <pageSetup orientation="portrait" r:id="rId1"/>
  <ignoredErrors>
    <ignoredError sqref="G104:G10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8455-1237-4215-B988-BDF4E227CD4E}">
  <sheetPr codeName="Hoja5"/>
  <dimension ref="A1:N72"/>
  <sheetViews>
    <sheetView workbookViewId="0">
      <selection activeCell="A3" sqref="A3"/>
    </sheetView>
  </sheetViews>
  <sheetFormatPr baseColWidth="10" defaultRowHeight="15"/>
  <cols>
    <col min="2" max="2" width="21" style="9" customWidth="1"/>
    <col min="5" max="5" width="28.28515625" style="9" bestFit="1" customWidth="1"/>
    <col min="6" max="6" width="55.5703125" customWidth="1"/>
    <col min="7" max="7" width="14" style="1" bestFit="1" customWidth="1"/>
    <col min="9" max="9" width="11.85546875" bestFit="1" customWidth="1"/>
    <col min="10" max="10" width="15.28515625" bestFit="1" customWidth="1"/>
    <col min="11" max="11" width="28.28515625" bestFit="1" customWidth="1"/>
    <col min="12" max="12" width="74" customWidth="1"/>
    <col min="13" max="13" width="9.5703125" customWidth="1"/>
  </cols>
  <sheetData>
    <row r="1" spans="1:14">
      <c r="A1" s="11" t="s">
        <v>0</v>
      </c>
      <c r="B1" s="11" t="s">
        <v>38</v>
      </c>
      <c r="C1" s="11" t="s">
        <v>4</v>
      </c>
      <c r="D1" s="11" t="s">
        <v>5</v>
      </c>
      <c r="E1" s="11" t="s">
        <v>49</v>
      </c>
      <c r="F1" s="11" t="s">
        <v>2</v>
      </c>
      <c r="G1" s="13" t="s">
        <v>3</v>
      </c>
      <c r="I1">
        <f>MAX(C:C)</f>
        <v>6</v>
      </c>
      <c r="J1">
        <f>Calculadora!D4</f>
        <v>530372</v>
      </c>
      <c r="K1" t="s">
        <v>76</v>
      </c>
      <c r="M1" s="19"/>
    </row>
    <row r="2" spans="1:14" ht="60">
      <c r="A2" s="9">
        <v>517640</v>
      </c>
      <c r="B2" s="9" t="s">
        <v>7</v>
      </c>
      <c r="C2" s="9">
        <f>IF(A2=A1,C1+1,1)</f>
        <v>1</v>
      </c>
      <c r="D2" s="9" t="str">
        <f>CONCATENATE(A2,"-",C2)</f>
        <v>517640-1</v>
      </c>
      <c r="E2" s="9" t="s">
        <v>47</v>
      </c>
      <c r="F2" s="2" t="s">
        <v>174</v>
      </c>
      <c r="G2" s="21">
        <v>45900</v>
      </c>
      <c r="I2">
        <v>1</v>
      </c>
      <c r="J2" t="str">
        <f>CONCATENATE($J$1,"-",I2)</f>
        <v>530372-1</v>
      </c>
      <c r="K2" t="str">
        <f t="shared" ref="K2:K10" si="0">IFERROR(VLOOKUP(J2,$D:$G,2,0),"")</f>
        <v>Seguro Proteccion de Precios</v>
      </c>
      <c r="L2" s="2" t="str">
        <f t="shared" ref="L2:L10" si="1">IFERROR(VLOOKUP(J2,$D:$G,3,0),"")</f>
        <v>Paga el costo total del producto y si ves un precio menor por el mismo, en los 45 días siguientes a la compra, se te reembolsará la diferencia. El cubrimiento es USD 100 por incidente, hasta USD 200 al año</v>
      </c>
      <c r="M2">
        <f t="shared" ref="M2:M10" si="2">IFERROR(VLOOKUP(J2,$D:$G,4,0),"")</f>
        <v>29166.666666666668</v>
      </c>
    </row>
    <row r="3" spans="1:14" ht="60">
      <c r="A3" s="9">
        <v>547062</v>
      </c>
      <c r="B3" s="9" t="s">
        <v>26</v>
      </c>
      <c r="C3" s="9">
        <f>IF(A3=A2,C2+1,1)</f>
        <v>1</v>
      </c>
      <c r="D3" s="9" t="str">
        <f>CONCATENATE(A3,"-",C3)</f>
        <v>547062-1</v>
      </c>
      <c r="E3" s="9" t="s">
        <v>47</v>
      </c>
      <c r="F3" s="2" t="s">
        <v>175</v>
      </c>
      <c r="G3" s="21">
        <v>45900</v>
      </c>
      <c r="I3" s="3">
        <v>2</v>
      </c>
      <c r="J3" s="9" t="str">
        <f t="shared" ref="J3:J10" si="3">CONCATENATE($J$1,"-",I3)</f>
        <v>530372-2</v>
      </c>
      <c r="K3" s="9" t="str">
        <f t="shared" si="0"/>
        <v>Seguro Proteccion de Compras</v>
      </c>
      <c r="L3" s="2" t="str">
        <f t="shared" si="1"/>
        <v>Daños accidentales o robo durante  (45) días a partir de la fecha de compra. La cobertura alcanza los USD 200 por incidente y contempla un total de USD 400 anuales.</v>
      </c>
      <c r="M3" s="9">
        <f t="shared" si="2"/>
        <v>45900</v>
      </c>
      <c r="N3" s="9"/>
    </row>
    <row r="4" spans="1:14" ht="60">
      <c r="A4" s="9">
        <v>540691</v>
      </c>
      <c r="B4" s="9" t="s">
        <v>8</v>
      </c>
      <c r="C4" s="9">
        <f>IF(A4=A3,C3+1,1)</f>
        <v>1</v>
      </c>
      <c r="D4" s="9" t="str">
        <f>CONCATENATE(A4,"-",C4)</f>
        <v>540691-1</v>
      </c>
      <c r="E4" s="9" t="s">
        <v>47</v>
      </c>
      <c r="F4" s="2" t="s">
        <v>175</v>
      </c>
      <c r="G4" s="21">
        <v>45900</v>
      </c>
      <c r="I4" s="3">
        <v>3</v>
      </c>
      <c r="J4" s="9" t="str">
        <f t="shared" si="3"/>
        <v>530372-3</v>
      </c>
      <c r="K4" s="9" t="str">
        <f t="shared" si="0"/>
        <v>Seguro Garantia Extendida</v>
      </c>
      <c r="L4" s="2" t="str">
        <f t="shared" si="1"/>
        <v>Extiende hasta por un año el periodo de reparación gratuita otorgado por la tienda o por el fabricante original de un producto, con una cobertura de USD 200 por incidente y hasta USD 400 por año</v>
      </c>
      <c r="M4" s="9">
        <f t="shared" si="2"/>
        <v>75000</v>
      </c>
      <c r="N4" s="9"/>
    </row>
    <row r="5" spans="1:14" ht="60">
      <c r="A5" s="9">
        <v>451307</v>
      </c>
      <c r="B5" s="9" t="s">
        <v>11</v>
      </c>
      <c r="C5" s="9">
        <f t="shared" ref="C5" si="4">IF(A5=A4,C4+1,1)</f>
        <v>1</v>
      </c>
      <c r="D5" s="9" t="str">
        <f t="shared" ref="D5" si="5">CONCATENATE(A5,"-",C5)</f>
        <v>451307-1</v>
      </c>
      <c r="E5" s="9" t="s">
        <v>108</v>
      </c>
      <c r="F5" s="2" t="s">
        <v>305</v>
      </c>
      <c r="G5" s="21">
        <f>200/12*Calculadora!D7</f>
        <v>58333.333333333336</v>
      </c>
      <c r="H5" s="3"/>
      <c r="I5" s="9">
        <v>4</v>
      </c>
      <c r="J5" s="9" t="str">
        <f t="shared" si="3"/>
        <v>530372-4</v>
      </c>
      <c r="K5" s="9" t="str">
        <f t="shared" si="0"/>
        <v/>
      </c>
      <c r="L5" s="2" t="str">
        <f t="shared" si="1"/>
        <v/>
      </c>
      <c r="M5" s="9" t="str">
        <f t="shared" si="2"/>
        <v/>
      </c>
      <c r="N5" s="9"/>
    </row>
    <row r="6" spans="1:14" s="9" customFormat="1" ht="45">
      <c r="A6" s="9">
        <v>409983</v>
      </c>
      <c r="B6" s="9" t="s">
        <v>10</v>
      </c>
      <c r="C6" s="9">
        <f>IF(A6=A5,C5+1,1)</f>
        <v>1</v>
      </c>
      <c r="D6" s="9" t="str">
        <f t="shared" ref="D6:D11" si="6">CONCATENATE(A6,"-",C6)</f>
        <v>409983-1</v>
      </c>
      <c r="E6" s="9" t="s">
        <v>66</v>
      </c>
      <c r="F6" s="2" t="s">
        <v>176</v>
      </c>
      <c r="G6" s="21">
        <v>95000</v>
      </c>
      <c r="I6" s="9">
        <v>5</v>
      </c>
      <c r="J6" s="9" t="str">
        <f t="shared" si="3"/>
        <v>530372-5</v>
      </c>
      <c r="K6" s="9" t="str">
        <f t="shared" si="0"/>
        <v/>
      </c>
      <c r="L6" s="2" t="str">
        <f t="shared" si="1"/>
        <v/>
      </c>
      <c r="M6" s="9" t="str">
        <f t="shared" si="2"/>
        <v/>
      </c>
    </row>
    <row r="7" spans="1:14" s="9" customFormat="1" ht="60">
      <c r="A7" s="9">
        <v>409983</v>
      </c>
      <c r="B7" s="9" t="s">
        <v>10</v>
      </c>
      <c r="C7" s="9">
        <f t="shared" ref="C7:C11" si="7">IF(A7=A6,C6+1,1)</f>
        <v>2</v>
      </c>
      <c r="D7" s="9" t="str">
        <f t="shared" si="6"/>
        <v>409983-2</v>
      </c>
      <c r="E7" s="9" t="s">
        <v>108</v>
      </c>
      <c r="F7" s="2" t="s">
        <v>177</v>
      </c>
      <c r="G7" s="21">
        <f>200/12*Calculadora!D7</f>
        <v>58333.333333333336</v>
      </c>
      <c r="I7" s="9">
        <v>6</v>
      </c>
      <c r="J7" s="9" t="str">
        <f t="shared" si="3"/>
        <v>530372-6</v>
      </c>
      <c r="K7" s="9" t="str">
        <f t="shared" si="0"/>
        <v/>
      </c>
      <c r="L7" s="2" t="str">
        <f t="shared" si="1"/>
        <v/>
      </c>
      <c r="M7" s="9" t="str">
        <f t="shared" si="2"/>
        <v/>
      </c>
    </row>
    <row r="8" spans="1:14" ht="45">
      <c r="A8" s="9">
        <v>530371</v>
      </c>
      <c r="B8" s="9" t="s">
        <v>12</v>
      </c>
      <c r="C8" s="9">
        <f t="shared" si="7"/>
        <v>1</v>
      </c>
      <c r="D8" s="9" t="str">
        <f t="shared" si="6"/>
        <v>530371-1</v>
      </c>
      <c r="E8" s="9" t="s">
        <v>47</v>
      </c>
      <c r="F8" s="2" t="s">
        <v>178</v>
      </c>
      <c r="G8" s="21">
        <v>45900</v>
      </c>
      <c r="H8" s="3"/>
      <c r="I8" s="9">
        <v>7</v>
      </c>
      <c r="J8" s="9" t="str">
        <f t="shared" si="3"/>
        <v>530372-7</v>
      </c>
      <c r="K8" s="9" t="str">
        <f t="shared" si="0"/>
        <v/>
      </c>
      <c r="L8" s="2" t="str">
        <f t="shared" si="1"/>
        <v/>
      </c>
      <c r="M8" s="9" t="str">
        <f t="shared" si="2"/>
        <v/>
      </c>
      <c r="N8" s="9"/>
    </row>
    <row r="9" spans="1:14" ht="45">
      <c r="A9" s="9">
        <v>377813</v>
      </c>
      <c r="B9" s="9" t="s">
        <v>9</v>
      </c>
      <c r="C9" s="9">
        <f t="shared" si="7"/>
        <v>1</v>
      </c>
      <c r="D9" s="9" t="str">
        <f t="shared" si="6"/>
        <v>377813-1</v>
      </c>
      <c r="E9" s="9" t="s">
        <v>47</v>
      </c>
      <c r="F9" s="2" t="s">
        <v>306</v>
      </c>
      <c r="G9" s="21">
        <v>17900</v>
      </c>
      <c r="H9" s="3"/>
      <c r="I9" s="9">
        <v>8</v>
      </c>
      <c r="J9" s="9" t="str">
        <f t="shared" si="3"/>
        <v>530372-8</v>
      </c>
      <c r="K9" s="9" t="str">
        <f t="shared" si="0"/>
        <v/>
      </c>
      <c r="L9" s="2" t="str">
        <f t="shared" si="1"/>
        <v/>
      </c>
      <c r="M9" s="9" t="str">
        <f t="shared" si="2"/>
        <v/>
      </c>
    </row>
    <row r="10" spans="1:14">
      <c r="A10" s="9">
        <v>377844</v>
      </c>
      <c r="B10" s="9" t="s">
        <v>17</v>
      </c>
      <c r="C10" s="9">
        <f t="shared" si="7"/>
        <v>1</v>
      </c>
      <c r="D10" s="9" t="str">
        <f t="shared" si="6"/>
        <v>377844-1</v>
      </c>
      <c r="E10" s="9" t="s">
        <v>48</v>
      </c>
      <c r="F10" s="2" t="s">
        <v>54</v>
      </c>
      <c r="G10" s="1" t="s">
        <v>54</v>
      </c>
      <c r="H10" s="3"/>
      <c r="I10" s="9">
        <v>9</v>
      </c>
      <c r="J10" s="9" t="str">
        <f t="shared" si="3"/>
        <v>530372-9</v>
      </c>
      <c r="K10" s="9" t="str">
        <f t="shared" si="0"/>
        <v/>
      </c>
      <c r="L10" s="2" t="str">
        <f t="shared" si="1"/>
        <v/>
      </c>
      <c r="M10" s="9" t="str">
        <f t="shared" si="2"/>
        <v/>
      </c>
    </row>
    <row r="11" spans="1:14" ht="60">
      <c r="A11" s="9">
        <v>530372</v>
      </c>
      <c r="B11" s="9" t="s">
        <v>16</v>
      </c>
      <c r="C11" s="9">
        <f t="shared" si="7"/>
        <v>1</v>
      </c>
      <c r="D11" s="9" t="str">
        <f t="shared" si="6"/>
        <v>530372-1</v>
      </c>
      <c r="E11" s="9" t="s">
        <v>108</v>
      </c>
      <c r="F11" s="2" t="s">
        <v>155</v>
      </c>
      <c r="G11" s="24">
        <f>100/12*Calculadora!D7</f>
        <v>29166.666666666668</v>
      </c>
      <c r="H11" s="3"/>
      <c r="I11" s="3"/>
    </row>
    <row r="12" spans="1:14" ht="45">
      <c r="A12" s="9">
        <v>530372</v>
      </c>
      <c r="B12" s="9" t="s">
        <v>16</v>
      </c>
      <c r="C12" s="9">
        <f t="shared" ref="C12:C16" si="8">IF(A12=A11,C11+1,1)</f>
        <v>2</v>
      </c>
      <c r="D12" s="9" t="str">
        <f t="shared" ref="D12:D18" si="9">CONCATENATE(A12,"-",C12)</f>
        <v>530372-2</v>
      </c>
      <c r="E12" s="9" t="s">
        <v>47</v>
      </c>
      <c r="F12" s="2" t="s">
        <v>179</v>
      </c>
      <c r="G12" s="1">
        <v>45900</v>
      </c>
      <c r="H12" s="3"/>
      <c r="I12" s="3"/>
    </row>
    <row r="13" spans="1:14" ht="60">
      <c r="A13" s="9">
        <v>530372</v>
      </c>
      <c r="B13" s="9" t="s">
        <v>16</v>
      </c>
      <c r="C13" s="9">
        <f t="shared" si="8"/>
        <v>3</v>
      </c>
      <c r="D13" s="9" t="str">
        <f t="shared" si="9"/>
        <v>530372-3</v>
      </c>
      <c r="E13" s="9" t="s">
        <v>97</v>
      </c>
      <c r="F13" s="2" t="s">
        <v>180</v>
      </c>
      <c r="G13" s="1">
        <v>75000</v>
      </c>
      <c r="I13" s="3"/>
    </row>
    <row r="14" spans="1:14" ht="60">
      <c r="A14" s="9">
        <v>451308</v>
      </c>
      <c r="B14" s="9" t="s">
        <v>285</v>
      </c>
      <c r="C14" s="9">
        <f t="shared" si="8"/>
        <v>1</v>
      </c>
      <c r="D14" s="9" t="str">
        <f t="shared" si="9"/>
        <v>451308-1</v>
      </c>
      <c r="E14" s="9" t="s">
        <v>108</v>
      </c>
      <c r="F14" s="2" t="s">
        <v>181</v>
      </c>
      <c r="G14" s="1">
        <f>400/12*Calculadora!D7</f>
        <v>116666.66666666667</v>
      </c>
      <c r="H14" s="3"/>
      <c r="I14" s="3"/>
    </row>
    <row r="15" spans="1:14" ht="60">
      <c r="A15" s="9">
        <v>451308</v>
      </c>
      <c r="B15" s="9" t="s">
        <v>285</v>
      </c>
      <c r="C15" s="9">
        <f t="shared" si="8"/>
        <v>2</v>
      </c>
      <c r="D15" s="9" t="str">
        <f t="shared" si="9"/>
        <v>451308-2</v>
      </c>
      <c r="E15" s="9" t="s">
        <v>47</v>
      </c>
      <c r="F15" s="2" t="s">
        <v>339</v>
      </c>
      <c r="G15" s="1">
        <v>45900</v>
      </c>
      <c r="H15" s="3"/>
      <c r="I15" s="3"/>
    </row>
    <row r="16" spans="1:14" ht="90">
      <c r="A16" s="9">
        <v>451308</v>
      </c>
      <c r="B16" s="9" t="s">
        <v>285</v>
      </c>
      <c r="C16" s="9">
        <f t="shared" si="8"/>
        <v>3</v>
      </c>
      <c r="D16" s="9" t="str">
        <f t="shared" si="9"/>
        <v>451308-3</v>
      </c>
      <c r="E16" s="9" t="s">
        <v>97</v>
      </c>
      <c r="F16" s="2" t="s">
        <v>338</v>
      </c>
      <c r="G16" s="1">
        <v>75000</v>
      </c>
    </row>
    <row r="17" spans="1:7" s="9" customFormat="1" ht="60">
      <c r="A17" s="9">
        <v>377815</v>
      </c>
      <c r="B17" s="9" t="s">
        <v>15</v>
      </c>
      <c r="C17" s="9">
        <f t="shared" ref="C17:C68" si="10">IF(A17=A16,C16+1,1)</f>
        <v>1</v>
      </c>
      <c r="D17" s="9" t="str">
        <f t="shared" si="9"/>
        <v>377815-1</v>
      </c>
      <c r="E17" s="9" t="s">
        <v>108</v>
      </c>
      <c r="F17" s="2" t="s">
        <v>329</v>
      </c>
      <c r="G17" s="1">
        <f>250/12*Calculadora!D7</f>
        <v>72916.666666666657</v>
      </c>
    </row>
    <row r="18" spans="1:7" ht="45">
      <c r="A18" s="9">
        <v>377815</v>
      </c>
      <c r="B18" s="9" t="s">
        <v>15</v>
      </c>
      <c r="C18" s="9">
        <f t="shared" si="10"/>
        <v>2</v>
      </c>
      <c r="D18" s="9" t="str">
        <f t="shared" si="9"/>
        <v>377815-2</v>
      </c>
      <c r="E18" s="9" t="s">
        <v>47</v>
      </c>
      <c r="F18" s="2" t="s">
        <v>182</v>
      </c>
      <c r="G18" s="1">
        <v>17900</v>
      </c>
    </row>
    <row r="19" spans="1:7" ht="60">
      <c r="A19" s="9">
        <v>377816</v>
      </c>
      <c r="B19" s="9" t="s">
        <v>19</v>
      </c>
      <c r="C19" s="9">
        <f t="shared" si="10"/>
        <v>1</v>
      </c>
      <c r="D19" s="9" t="str">
        <f t="shared" ref="D19:D68" si="11">CONCATENATE(A19,"-",C19)</f>
        <v>377816-1</v>
      </c>
      <c r="E19" s="9" t="s">
        <v>108</v>
      </c>
      <c r="F19" s="2" t="s">
        <v>329</v>
      </c>
      <c r="G19" s="1">
        <f>250/12*Calculadora!D7</f>
        <v>72916.666666666657</v>
      </c>
    </row>
    <row r="20" spans="1:7" s="9" customFormat="1" ht="60">
      <c r="A20" s="9">
        <v>377816</v>
      </c>
      <c r="B20" s="9" t="s">
        <v>19</v>
      </c>
      <c r="C20" s="9">
        <f t="shared" si="10"/>
        <v>2</v>
      </c>
      <c r="D20" s="9" t="str">
        <f t="shared" si="11"/>
        <v>377816-2</v>
      </c>
      <c r="E20" s="9" t="s">
        <v>97</v>
      </c>
      <c r="F20" s="2" t="s">
        <v>330</v>
      </c>
      <c r="G20" s="1">
        <v>75000</v>
      </c>
    </row>
    <row r="21" spans="1:7" ht="75">
      <c r="A21" s="9">
        <v>377816</v>
      </c>
      <c r="B21" s="9" t="s">
        <v>19</v>
      </c>
      <c r="C21" s="9">
        <f t="shared" si="10"/>
        <v>3</v>
      </c>
      <c r="D21" s="9" t="str">
        <f>CONCATENATE(A21,"-",C21)</f>
        <v>377816-3</v>
      </c>
      <c r="E21" s="9" t="s">
        <v>47</v>
      </c>
      <c r="F21" s="2" t="s">
        <v>183</v>
      </c>
      <c r="G21" s="1">
        <v>17900</v>
      </c>
    </row>
    <row r="22" spans="1:7" ht="30">
      <c r="A22" s="9">
        <v>549157</v>
      </c>
      <c r="B22" s="9" t="s">
        <v>22</v>
      </c>
      <c r="C22" s="9">
        <f t="shared" si="10"/>
        <v>1</v>
      </c>
      <c r="D22" s="9" t="str">
        <f t="shared" si="11"/>
        <v>549157-1</v>
      </c>
      <c r="E22" s="9" t="s">
        <v>98</v>
      </c>
      <c r="F22" s="2" t="s">
        <v>184</v>
      </c>
      <c r="G22" s="1">
        <v>99000</v>
      </c>
    </row>
    <row r="23" spans="1:7" ht="75">
      <c r="A23" s="9">
        <v>549157</v>
      </c>
      <c r="B23" s="9" t="s">
        <v>22</v>
      </c>
      <c r="C23" s="9">
        <f t="shared" si="10"/>
        <v>2</v>
      </c>
      <c r="D23" s="9" t="str">
        <f t="shared" si="11"/>
        <v>549157-2</v>
      </c>
      <c r="E23" s="9" t="s">
        <v>47</v>
      </c>
      <c r="F23" s="2" t="s">
        <v>185</v>
      </c>
      <c r="G23" s="1">
        <v>45900</v>
      </c>
    </row>
    <row r="24" spans="1:7" s="9" customFormat="1" ht="60">
      <c r="A24" s="9">
        <v>409984</v>
      </c>
      <c r="B24" s="9" t="s">
        <v>20</v>
      </c>
      <c r="C24" s="9">
        <f t="shared" si="10"/>
        <v>1</v>
      </c>
      <c r="D24" s="9" t="str">
        <f t="shared" si="11"/>
        <v>409984-1</v>
      </c>
      <c r="E24" s="9" t="s">
        <v>108</v>
      </c>
      <c r="F24" s="2" t="s">
        <v>186</v>
      </c>
      <c r="G24" s="1">
        <f>500/12*Calculadora!D7</f>
        <v>145833.33333333331</v>
      </c>
    </row>
    <row r="25" spans="1:7" s="9" customFormat="1" ht="60">
      <c r="A25" s="9">
        <v>409984</v>
      </c>
      <c r="B25" s="9" t="s">
        <v>20</v>
      </c>
      <c r="C25" s="9">
        <f t="shared" si="10"/>
        <v>2</v>
      </c>
      <c r="D25" s="9" t="str">
        <f t="shared" si="11"/>
        <v>409984-2</v>
      </c>
      <c r="E25" s="9" t="s">
        <v>47</v>
      </c>
      <c r="F25" s="2" t="s">
        <v>341</v>
      </c>
      <c r="G25" s="1">
        <v>45900</v>
      </c>
    </row>
    <row r="26" spans="1:7" s="9" customFormat="1" ht="90">
      <c r="A26" s="9">
        <v>409984</v>
      </c>
      <c r="B26" s="9" t="s">
        <v>20</v>
      </c>
      <c r="C26" s="9">
        <f t="shared" si="10"/>
        <v>3</v>
      </c>
      <c r="D26" s="9" t="str">
        <f>CONCATENATE(A26,"-",C26)</f>
        <v>409984-3</v>
      </c>
      <c r="E26" s="9" t="s">
        <v>97</v>
      </c>
      <c r="F26" s="2" t="s">
        <v>338</v>
      </c>
      <c r="G26" s="1">
        <v>75000</v>
      </c>
    </row>
    <row r="27" spans="1:7" s="9" customFormat="1" ht="30">
      <c r="A27" s="9">
        <v>377814</v>
      </c>
      <c r="B27" s="9" t="s">
        <v>18</v>
      </c>
      <c r="C27" s="9">
        <f t="shared" si="10"/>
        <v>1</v>
      </c>
      <c r="D27" s="9" t="str">
        <f t="shared" ref="D27:D30" si="12">CONCATENATE(A27,"-",C27)</f>
        <v>377814-1</v>
      </c>
      <c r="E27" s="10" t="s">
        <v>331</v>
      </c>
      <c r="F27" s="2" t="s">
        <v>332</v>
      </c>
      <c r="G27" s="1">
        <f>400/12*Calculadora!D7</f>
        <v>116666.66666666667</v>
      </c>
    </row>
    <row r="28" spans="1:7" ht="30">
      <c r="A28" s="9">
        <v>377814</v>
      </c>
      <c r="B28" s="9" t="s">
        <v>18</v>
      </c>
      <c r="C28" s="9">
        <f t="shared" si="10"/>
        <v>2</v>
      </c>
      <c r="D28" s="9" t="str">
        <f t="shared" si="12"/>
        <v>377814-2</v>
      </c>
      <c r="E28" s="10" t="s">
        <v>98</v>
      </c>
      <c r="F28" s="2" t="s">
        <v>334</v>
      </c>
      <c r="G28" s="1">
        <v>68000</v>
      </c>
    </row>
    <row r="29" spans="1:7" s="9" customFormat="1" ht="60">
      <c r="A29" s="9">
        <v>377814</v>
      </c>
      <c r="B29" s="9" t="s">
        <v>18</v>
      </c>
      <c r="C29" s="9">
        <f t="shared" si="10"/>
        <v>3</v>
      </c>
      <c r="D29" s="9" t="str">
        <f>CONCATENATE(A29,"-",C29)</f>
        <v>377814-3</v>
      </c>
      <c r="E29" s="10" t="s">
        <v>97</v>
      </c>
      <c r="F29" s="2" t="s">
        <v>335</v>
      </c>
      <c r="G29" s="1">
        <v>75000</v>
      </c>
    </row>
    <row r="30" spans="1:7" s="9" customFormat="1">
      <c r="A30" s="9">
        <v>377814</v>
      </c>
      <c r="B30" s="9" t="s">
        <v>18</v>
      </c>
      <c r="C30" s="9">
        <f t="shared" si="10"/>
        <v>4</v>
      </c>
      <c r="D30" s="9" t="str">
        <f t="shared" si="12"/>
        <v>377814-4</v>
      </c>
      <c r="E30" s="10" t="s">
        <v>336</v>
      </c>
      <c r="F30" s="2" t="s">
        <v>337</v>
      </c>
      <c r="G30" s="1">
        <f>3000/12*Calculadora!D7</f>
        <v>875000</v>
      </c>
    </row>
    <row r="31" spans="1:7" s="9" customFormat="1" ht="60">
      <c r="A31" s="9">
        <v>377814</v>
      </c>
      <c r="B31" s="9" t="s">
        <v>18</v>
      </c>
      <c r="C31" s="9">
        <f t="shared" si="10"/>
        <v>5</v>
      </c>
      <c r="D31" s="9" t="str">
        <f>CONCATENATE(A31,"-",C31)</f>
        <v>377814-5</v>
      </c>
      <c r="E31" s="9" t="s">
        <v>108</v>
      </c>
      <c r="F31" s="2" t="s">
        <v>329</v>
      </c>
      <c r="G31" s="1">
        <f>250/12*Calculadora!D7</f>
        <v>72916.666666666657</v>
      </c>
    </row>
    <row r="32" spans="1:7" ht="75">
      <c r="A32" s="9">
        <v>377814</v>
      </c>
      <c r="B32" s="9" t="s">
        <v>18</v>
      </c>
      <c r="C32" s="9">
        <f t="shared" si="10"/>
        <v>6</v>
      </c>
      <c r="D32" s="9" t="str">
        <f>CONCATENATE(A32,"-",C32)</f>
        <v>377814-6</v>
      </c>
      <c r="E32" s="10" t="s">
        <v>47</v>
      </c>
      <c r="F32" s="2" t="s">
        <v>333</v>
      </c>
      <c r="G32" s="1">
        <v>17900</v>
      </c>
    </row>
    <row r="33" spans="1:7" ht="60">
      <c r="A33" s="9">
        <v>411054</v>
      </c>
      <c r="B33" s="9" t="s">
        <v>21</v>
      </c>
      <c r="C33" s="9">
        <f t="shared" si="10"/>
        <v>1</v>
      </c>
      <c r="D33" s="9" t="str">
        <f t="shared" si="11"/>
        <v>411054-1</v>
      </c>
      <c r="E33" s="9" t="s">
        <v>108</v>
      </c>
      <c r="F33" s="2" t="s">
        <v>187</v>
      </c>
      <c r="G33" s="1">
        <v>330000</v>
      </c>
    </row>
    <row r="34" spans="1:7" s="9" customFormat="1" ht="60">
      <c r="A34" s="9">
        <v>411054</v>
      </c>
      <c r="B34" s="9" t="s">
        <v>21</v>
      </c>
      <c r="C34" s="9">
        <f t="shared" si="10"/>
        <v>2</v>
      </c>
      <c r="D34" s="9" t="str">
        <f t="shared" si="11"/>
        <v>411054-2</v>
      </c>
      <c r="E34" s="9" t="s">
        <v>47</v>
      </c>
      <c r="F34" s="2" t="s">
        <v>342</v>
      </c>
      <c r="G34" s="1">
        <v>45900</v>
      </c>
    </row>
    <row r="35" spans="1:7" s="9" customFormat="1" ht="90">
      <c r="A35" s="9">
        <v>411054</v>
      </c>
      <c r="B35" s="9" t="s">
        <v>21</v>
      </c>
      <c r="C35" s="9">
        <f t="shared" si="10"/>
        <v>3</v>
      </c>
      <c r="D35" s="9" t="str">
        <f t="shared" si="11"/>
        <v>411054-3</v>
      </c>
      <c r="E35" s="9" t="s">
        <v>97</v>
      </c>
      <c r="F35" s="2" t="s">
        <v>338</v>
      </c>
      <c r="G35" s="1">
        <v>75000</v>
      </c>
    </row>
    <row r="36" spans="1:7" ht="45">
      <c r="A36" s="9">
        <v>411054</v>
      </c>
      <c r="B36" s="9" t="s">
        <v>21</v>
      </c>
      <c r="C36" s="9">
        <f t="shared" si="10"/>
        <v>4</v>
      </c>
      <c r="D36" s="9" t="str">
        <f t="shared" si="11"/>
        <v>411054-4</v>
      </c>
      <c r="E36" s="2" t="s">
        <v>166</v>
      </c>
      <c r="F36" s="2" t="s">
        <v>188</v>
      </c>
      <c r="G36" s="1">
        <f>300/12*Calculadora!D7</f>
        <v>87500</v>
      </c>
    </row>
    <row r="37" spans="1:7" s="9" customFormat="1" ht="60">
      <c r="A37" s="9">
        <v>411054</v>
      </c>
      <c r="B37" s="9" t="s">
        <v>21</v>
      </c>
      <c r="C37" s="9">
        <f t="shared" si="10"/>
        <v>5</v>
      </c>
      <c r="D37" s="9" t="str">
        <f t="shared" si="11"/>
        <v>411054-5</v>
      </c>
      <c r="E37" s="9" t="s">
        <v>167</v>
      </c>
      <c r="F37" s="2" t="s">
        <v>189</v>
      </c>
      <c r="G37" s="1">
        <f>600/12*Calculadora!D7</f>
        <v>175000</v>
      </c>
    </row>
    <row r="38" spans="1:7" s="9" customFormat="1" ht="30">
      <c r="A38" s="9">
        <v>549158</v>
      </c>
      <c r="B38" s="9" t="s">
        <v>23</v>
      </c>
      <c r="C38" s="9">
        <f t="shared" si="10"/>
        <v>1</v>
      </c>
      <c r="D38" s="9" t="str">
        <f t="shared" si="11"/>
        <v>549158-1</v>
      </c>
      <c r="E38" s="9" t="s">
        <v>98</v>
      </c>
      <c r="F38" s="2" t="s">
        <v>169</v>
      </c>
      <c r="G38" s="1">
        <v>99000</v>
      </c>
    </row>
    <row r="39" spans="1:7" s="9" customFormat="1" ht="75">
      <c r="A39" s="9">
        <v>549158</v>
      </c>
      <c r="B39" s="9" t="s">
        <v>23</v>
      </c>
      <c r="C39" s="9">
        <f>IF(A39=A38,C38+1,1)</f>
        <v>2</v>
      </c>
      <c r="D39" s="9" t="str">
        <f t="shared" si="11"/>
        <v>549158-2</v>
      </c>
      <c r="E39" s="9" t="s">
        <v>47</v>
      </c>
      <c r="F39" s="2" t="s">
        <v>190</v>
      </c>
      <c r="G39" s="1">
        <v>45900</v>
      </c>
    </row>
    <row r="40" spans="1:7" s="9" customFormat="1" ht="60">
      <c r="A40" s="9">
        <v>549158</v>
      </c>
      <c r="B40" s="9" t="s">
        <v>23</v>
      </c>
      <c r="C40" s="9">
        <f t="shared" si="10"/>
        <v>3</v>
      </c>
      <c r="D40" s="9" t="str">
        <f t="shared" si="11"/>
        <v>549158-3</v>
      </c>
      <c r="E40" s="9" t="s">
        <v>97</v>
      </c>
      <c r="F40" s="2" t="s">
        <v>191</v>
      </c>
      <c r="G40" s="1">
        <v>75000</v>
      </c>
    </row>
    <row r="41" spans="1:7" s="9" customFormat="1" ht="45">
      <c r="A41" s="9">
        <v>549158</v>
      </c>
      <c r="B41" s="9" t="s">
        <v>23</v>
      </c>
      <c r="C41" s="9">
        <f t="shared" si="10"/>
        <v>4</v>
      </c>
      <c r="D41" s="9" t="str">
        <f t="shared" si="11"/>
        <v>549158-4</v>
      </c>
      <c r="E41" s="9" t="s">
        <v>116</v>
      </c>
      <c r="F41" s="2" t="s">
        <v>168</v>
      </c>
      <c r="G41" s="1">
        <f>1000/12*Calculadora!D7</f>
        <v>291666.66666666663</v>
      </c>
    </row>
    <row r="42" spans="1:7" ht="60">
      <c r="A42" s="9">
        <v>459425</v>
      </c>
      <c r="B42" s="9" t="s">
        <v>14</v>
      </c>
      <c r="C42" s="9">
        <f t="shared" si="10"/>
        <v>1</v>
      </c>
      <c r="D42" s="9" t="str">
        <f t="shared" si="11"/>
        <v>459425-1</v>
      </c>
      <c r="E42" s="9" t="s">
        <v>108</v>
      </c>
      <c r="F42" s="2" t="s">
        <v>215</v>
      </c>
      <c r="G42" s="1">
        <f>400/12*Calculadora!D7</f>
        <v>116666.66666666667</v>
      </c>
    </row>
    <row r="43" spans="1:7" ht="60">
      <c r="A43" s="9">
        <v>459425</v>
      </c>
      <c r="B43" s="9" t="s">
        <v>14</v>
      </c>
      <c r="C43" s="9">
        <f t="shared" si="10"/>
        <v>2</v>
      </c>
      <c r="D43" s="9" t="str">
        <f t="shared" si="11"/>
        <v>459425-2</v>
      </c>
      <c r="E43" s="9" t="s">
        <v>47</v>
      </c>
      <c r="F43" s="2" t="s">
        <v>340</v>
      </c>
      <c r="G43" s="1">
        <v>45900</v>
      </c>
    </row>
    <row r="44" spans="1:7" ht="90">
      <c r="A44" s="9">
        <v>459425</v>
      </c>
      <c r="B44" s="9" t="s">
        <v>14</v>
      </c>
      <c r="C44" s="9">
        <f t="shared" si="10"/>
        <v>3</v>
      </c>
      <c r="D44" s="9" t="str">
        <f t="shared" si="11"/>
        <v>459425-3</v>
      </c>
      <c r="E44" s="9" t="s">
        <v>97</v>
      </c>
      <c r="F44" s="2" t="s">
        <v>338</v>
      </c>
      <c r="G44" s="1">
        <v>75000</v>
      </c>
    </row>
    <row r="45" spans="1:7" ht="60">
      <c r="A45" s="9">
        <v>530693</v>
      </c>
      <c r="B45" s="9" t="s">
        <v>139</v>
      </c>
      <c r="C45" s="9">
        <f t="shared" si="10"/>
        <v>1</v>
      </c>
      <c r="D45" s="9" t="str">
        <f t="shared" si="11"/>
        <v>530693-1</v>
      </c>
      <c r="E45" s="9" t="s">
        <v>108</v>
      </c>
      <c r="F45" s="2" t="s">
        <v>222</v>
      </c>
      <c r="G45" s="1">
        <f>100/12*Calculadora!D7</f>
        <v>29166.666666666668</v>
      </c>
    </row>
    <row r="46" spans="1:7" s="9" customFormat="1" ht="75">
      <c r="A46" s="9">
        <v>530693</v>
      </c>
      <c r="B46" s="9" t="s">
        <v>139</v>
      </c>
      <c r="C46" s="9">
        <f t="shared" si="10"/>
        <v>2</v>
      </c>
      <c r="D46" s="9" t="str">
        <f t="shared" si="11"/>
        <v>530693-2</v>
      </c>
      <c r="E46" s="9" t="s">
        <v>47</v>
      </c>
      <c r="F46" s="2" t="s">
        <v>223</v>
      </c>
      <c r="G46" s="1">
        <v>45900</v>
      </c>
    </row>
    <row r="47" spans="1:7" s="9" customFormat="1" ht="60">
      <c r="A47" s="9">
        <v>530693</v>
      </c>
      <c r="B47" s="9" t="s">
        <v>139</v>
      </c>
      <c r="C47" s="9">
        <f t="shared" si="10"/>
        <v>3</v>
      </c>
      <c r="D47" s="9" t="str">
        <f t="shared" si="11"/>
        <v>530693-3</v>
      </c>
      <c r="E47" s="9" t="s">
        <v>97</v>
      </c>
      <c r="F47" s="2" t="s">
        <v>224</v>
      </c>
      <c r="G47" s="1">
        <f>200/12*Calculadora!D7</f>
        <v>58333.333333333336</v>
      </c>
    </row>
    <row r="48" spans="1:7" s="9" customFormat="1" ht="45">
      <c r="A48" s="9">
        <v>449188</v>
      </c>
      <c r="B48" s="10" t="s">
        <v>24</v>
      </c>
      <c r="C48" s="9">
        <f t="shared" si="10"/>
        <v>1</v>
      </c>
      <c r="D48" s="9" t="str">
        <f t="shared" si="11"/>
        <v>449188-1</v>
      </c>
      <c r="E48" s="25" t="s">
        <v>240</v>
      </c>
      <c r="F48" s="2" t="s">
        <v>241</v>
      </c>
      <c r="G48" s="1">
        <v>160000</v>
      </c>
    </row>
    <row r="49" spans="1:7" ht="30">
      <c r="A49" s="9">
        <v>449188</v>
      </c>
      <c r="B49" s="58" t="s">
        <v>24</v>
      </c>
      <c r="C49" s="9">
        <f t="shared" si="10"/>
        <v>2</v>
      </c>
      <c r="D49" s="9" t="str">
        <f t="shared" si="11"/>
        <v>449188-2</v>
      </c>
      <c r="E49" s="25" t="s">
        <v>98</v>
      </c>
      <c r="F49" s="2" t="s">
        <v>254</v>
      </c>
      <c r="G49" s="1">
        <v>99000</v>
      </c>
    </row>
    <row r="50" spans="1:7" ht="45">
      <c r="A50" s="9">
        <v>459426</v>
      </c>
      <c r="B50" s="9" t="s">
        <v>25</v>
      </c>
      <c r="C50" s="9">
        <f t="shared" si="10"/>
        <v>1</v>
      </c>
      <c r="D50" s="9" t="str">
        <f t="shared" si="11"/>
        <v>459426-1</v>
      </c>
      <c r="E50" s="2" t="s">
        <v>240</v>
      </c>
      <c r="F50" s="2" t="s">
        <v>241</v>
      </c>
      <c r="G50" s="1">
        <v>160000</v>
      </c>
    </row>
    <row r="51" spans="1:7" ht="30">
      <c r="A51" s="9">
        <v>459426</v>
      </c>
      <c r="B51" s="58" t="s">
        <v>25</v>
      </c>
      <c r="C51" s="9">
        <f t="shared" si="10"/>
        <v>2</v>
      </c>
      <c r="D51" s="9" t="str">
        <f>CONCATENATE(A51,"-",C51)</f>
        <v>459426-2</v>
      </c>
      <c r="E51" s="2" t="s">
        <v>98</v>
      </c>
      <c r="F51" s="2" t="s">
        <v>254</v>
      </c>
      <c r="G51" s="1">
        <v>99000</v>
      </c>
    </row>
    <row r="52" spans="1:7" ht="45">
      <c r="A52" s="9">
        <v>451309</v>
      </c>
      <c r="B52" s="9" t="s">
        <v>238</v>
      </c>
      <c r="C52" s="9">
        <f t="shared" si="10"/>
        <v>1</v>
      </c>
      <c r="D52" s="9" t="str">
        <f t="shared" si="11"/>
        <v>451309-1</v>
      </c>
      <c r="E52" s="25" t="s">
        <v>240</v>
      </c>
      <c r="F52" s="2" t="s">
        <v>241</v>
      </c>
      <c r="G52" s="1">
        <v>160000</v>
      </c>
    </row>
    <row r="53" spans="1:7" s="9" customFormat="1" ht="30">
      <c r="A53" s="9">
        <v>451309</v>
      </c>
      <c r="B53" s="58" t="s">
        <v>238</v>
      </c>
      <c r="C53" s="9">
        <f t="shared" si="10"/>
        <v>2</v>
      </c>
      <c r="D53" s="9" t="str">
        <f t="shared" si="11"/>
        <v>451309-2</v>
      </c>
      <c r="E53" s="2" t="s">
        <v>98</v>
      </c>
      <c r="F53" s="2" t="s">
        <v>254</v>
      </c>
      <c r="G53" s="1">
        <v>99000</v>
      </c>
    </row>
    <row r="54" spans="1:7" ht="30">
      <c r="A54" s="9">
        <v>553145</v>
      </c>
      <c r="B54" s="10" t="s">
        <v>276</v>
      </c>
      <c r="C54" s="9">
        <f t="shared" si="10"/>
        <v>1</v>
      </c>
      <c r="D54" s="9" t="str">
        <f t="shared" si="11"/>
        <v>553145-1</v>
      </c>
      <c r="E54" s="9" t="s">
        <v>135</v>
      </c>
      <c r="F54" s="2" t="s">
        <v>286</v>
      </c>
      <c r="G54" s="1">
        <v>49000</v>
      </c>
    </row>
    <row r="55" spans="1:7" s="9" customFormat="1" ht="30">
      <c r="A55" s="9">
        <v>553145</v>
      </c>
      <c r="B55" s="10" t="s">
        <v>276</v>
      </c>
      <c r="C55" s="9">
        <f t="shared" si="10"/>
        <v>2</v>
      </c>
      <c r="D55" s="9" t="str">
        <f t="shared" si="11"/>
        <v>553145-2</v>
      </c>
      <c r="E55" s="2" t="s">
        <v>98</v>
      </c>
      <c r="F55" s="2" t="s">
        <v>254</v>
      </c>
      <c r="G55" s="1">
        <v>99000</v>
      </c>
    </row>
    <row r="56" spans="1:7" ht="45">
      <c r="A56" s="9">
        <v>553145</v>
      </c>
      <c r="B56" s="10" t="s">
        <v>276</v>
      </c>
      <c r="C56" s="9">
        <f t="shared" si="10"/>
        <v>3</v>
      </c>
      <c r="D56" s="9" t="str">
        <f t="shared" si="11"/>
        <v>553145-3</v>
      </c>
      <c r="E56" s="25" t="s">
        <v>240</v>
      </c>
      <c r="F56" s="2" t="s">
        <v>241</v>
      </c>
      <c r="G56" s="1">
        <v>160000</v>
      </c>
    </row>
    <row r="57" spans="1:7" s="9" customFormat="1" ht="30">
      <c r="A57" s="9">
        <v>530373</v>
      </c>
      <c r="B57" s="2" t="s">
        <v>236</v>
      </c>
      <c r="C57" s="9">
        <f t="shared" si="10"/>
        <v>1</v>
      </c>
      <c r="D57" s="9" t="str">
        <f t="shared" si="11"/>
        <v>530373-1</v>
      </c>
      <c r="E57" s="2" t="s">
        <v>98</v>
      </c>
      <c r="F57" s="2" t="s">
        <v>254</v>
      </c>
      <c r="G57" s="1">
        <v>99000</v>
      </c>
    </row>
    <row r="58" spans="1:7" ht="30">
      <c r="A58" s="9">
        <v>530373</v>
      </c>
      <c r="B58" s="2" t="s">
        <v>236</v>
      </c>
      <c r="C58" s="9">
        <f t="shared" si="10"/>
        <v>2</v>
      </c>
      <c r="D58" s="9" t="str">
        <f t="shared" si="11"/>
        <v>530373-2</v>
      </c>
      <c r="E58" s="9" t="s">
        <v>242</v>
      </c>
      <c r="F58" s="2" t="s">
        <v>243</v>
      </c>
      <c r="G58" s="1">
        <f>3600/12*Calculadora!D7</f>
        <v>1050000</v>
      </c>
    </row>
    <row r="59" spans="1:7" s="9" customFormat="1" ht="60">
      <c r="A59" s="9">
        <v>530373</v>
      </c>
      <c r="B59" s="2" t="s">
        <v>236</v>
      </c>
      <c r="C59" s="9">
        <f t="shared" si="10"/>
        <v>3</v>
      </c>
      <c r="D59" s="9" t="str">
        <f t="shared" si="11"/>
        <v>530373-3</v>
      </c>
      <c r="E59" s="25" t="s">
        <v>240</v>
      </c>
      <c r="F59" s="2" t="s">
        <v>244</v>
      </c>
      <c r="G59" s="1">
        <v>191000</v>
      </c>
    </row>
    <row r="60" spans="1:7" s="9" customFormat="1" ht="45">
      <c r="A60" s="9">
        <v>530373</v>
      </c>
      <c r="B60" s="2" t="s">
        <v>236</v>
      </c>
      <c r="C60" s="9">
        <f t="shared" si="10"/>
        <v>4</v>
      </c>
      <c r="D60" s="9" t="str">
        <f t="shared" si="11"/>
        <v>530373-4</v>
      </c>
      <c r="E60" s="25" t="s">
        <v>240</v>
      </c>
      <c r="F60" s="2" t="s">
        <v>300</v>
      </c>
      <c r="G60" s="1">
        <v>191000</v>
      </c>
    </row>
    <row r="61" spans="1:7" s="9" customFormat="1" ht="45">
      <c r="A61" s="9">
        <v>530373</v>
      </c>
      <c r="B61" s="2" t="s">
        <v>236</v>
      </c>
      <c r="C61" s="9">
        <f t="shared" si="10"/>
        <v>5</v>
      </c>
      <c r="D61" s="9" t="str">
        <f t="shared" si="11"/>
        <v>530373-5</v>
      </c>
      <c r="E61" s="9" t="s">
        <v>134</v>
      </c>
      <c r="F61" s="2" t="s">
        <v>245</v>
      </c>
      <c r="G61" s="1">
        <f>5000/12*Calculadora!D7</f>
        <v>1458333.3333333335</v>
      </c>
    </row>
    <row r="62" spans="1:7" s="9" customFormat="1" ht="30">
      <c r="A62" s="10">
        <v>552588</v>
      </c>
      <c r="B62" s="25" t="s">
        <v>36</v>
      </c>
      <c r="C62" s="9">
        <f t="shared" si="10"/>
        <v>1</v>
      </c>
      <c r="D62" s="9" t="str">
        <f t="shared" si="11"/>
        <v>552588-1</v>
      </c>
      <c r="E62" s="9" t="s">
        <v>287</v>
      </c>
      <c r="F62" s="25" t="s">
        <v>288</v>
      </c>
      <c r="G62" s="1">
        <v>191000</v>
      </c>
    </row>
    <row r="63" spans="1:7" ht="30">
      <c r="A63" s="9">
        <v>409985</v>
      </c>
      <c r="B63" s="57" t="s">
        <v>13</v>
      </c>
      <c r="C63" s="9">
        <f t="shared" si="10"/>
        <v>1</v>
      </c>
      <c r="D63" s="9" t="str">
        <f t="shared" si="11"/>
        <v>409985-1</v>
      </c>
      <c r="E63" s="2" t="s">
        <v>98</v>
      </c>
      <c r="F63" s="2" t="s">
        <v>254</v>
      </c>
      <c r="G63" s="1">
        <v>99000</v>
      </c>
    </row>
    <row r="64" spans="1:7" s="9" customFormat="1" ht="30">
      <c r="A64" s="9">
        <v>409985</v>
      </c>
      <c r="B64" s="25" t="s">
        <v>13</v>
      </c>
      <c r="C64" s="9">
        <f t="shared" si="10"/>
        <v>2</v>
      </c>
      <c r="D64" s="9" t="str">
        <f t="shared" si="11"/>
        <v>409985-2</v>
      </c>
      <c r="E64" s="9" t="s">
        <v>287</v>
      </c>
      <c r="F64" s="25" t="s">
        <v>288</v>
      </c>
      <c r="G64" s="1">
        <v>191000</v>
      </c>
    </row>
    <row r="65" spans="1:7" s="9" customFormat="1" ht="30">
      <c r="A65" s="9">
        <v>547480</v>
      </c>
      <c r="B65" s="25" t="s">
        <v>237</v>
      </c>
      <c r="C65" s="9">
        <f t="shared" si="10"/>
        <v>1</v>
      </c>
      <c r="D65" s="9" t="str">
        <f t="shared" si="11"/>
        <v>547480-1</v>
      </c>
      <c r="E65" s="2" t="s">
        <v>98</v>
      </c>
      <c r="F65" s="2" t="s">
        <v>254</v>
      </c>
      <c r="G65" s="1">
        <v>99000</v>
      </c>
    </row>
    <row r="66" spans="1:7" s="9" customFormat="1" ht="30">
      <c r="A66" s="9">
        <v>547480</v>
      </c>
      <c r="B66" s="25" t="s">
        <v>237</v>
      </c>
      <c r="C66" s="9">
        <f t="shared" si="10"/>
        <v>2</v>
      </c>
      <c r="D66" s="9" t="str">
        <f>CONCATENATE(A66,"-",C66)</f>
        <v>547480-2</v>
      </c>
      <c r="E66" s="9" t="s">
        <v>287</v>
      </c>
      <c r="F66" s="25" t="s">
        <v>288</v>
      </c>
      <c r="G66" s="1">
        <v>191000</v>
      </c>
    </row>
    <row r="67" spans="1:7" ht="30">
      <c r="A67" s="9">
        <v>547480</v>
      </c>
      <c r="B67" s="25" t="s">
        <v>237</v>
      </c>
      <c r="C67" s="9">
        <f t="shared" si="10"/>
        <v>3</v>
      </c>
      <c r="D67" s="9" t="str">
        <f t="shared" si="11"/>
        <v>547480-3</v>
      </c>
      <c r="E67" s="9" t="s">
        <v>242</v>
      </c>
      <c r="F67" s="2" t="s">
        <v>243</v>
      </c>
      <c r="G67" s="1">
        <f>3600/12*Calculadora!D7</f>
        <v>1050000</v>
      </c>
    </row>
    <row r="68" spans="1:7" s="9" customFormat="1" ht="45">
      <c r="A68" s="9">
        <v>547480</v>
      </c>
      <c r="B68" s="25" t="s">
        <v>237</v>
      </c>
      <c r="C68" s="9">
        <f t="shared" si="10"/>
        <v>4</v>
      </c>
      <c r="D68" s="9" t="str">
        <f t="shared" si="11"/>
        <v>547480-4</v>
      </c>
      <c r="E68" s="9" t="s">
        <v>134</v>
      </c>
      <c r="F68" s="2" t="s">
        <v>289</v>
      </c>
      <c r="G68" s="1">
        <f>15000/12*Calculadora!D7</f>
        <v>4375000</v>
      </c>
    </row>
    <row r="70" spans="1:7">
      <c r="A70" s="9"/>
    </row>
    <row r="72" spans="1:7">
      <c r="A72" s="9"/>
      <c r="B72" s="25"/>
      <c r="C72" s="9"/>
      <c r="D72" s="9"/>
      <c r="F72"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2703-889C-4321-A015-715C637B6CD6}">
  <sheetPr codeName="Hoja6"/>
  <dimension ref="A1:M153"/>
  <sheetViews>
    <sheetView topLeftCell="A46" zoomScale="106" zoomScaleNormal="106" workbookViewId="0">
      <selection activeCell="E47" sqref="E47"/>
    </sheetView>
  </sheetViews>
  <sheetFormatPr baseColWidth="10" defaultRowHeight="15"/>
  <cols>
    <col min="1" max="1" width="11.42578125" style="9"/>
    <col min="2" max="2" width="30.42578125" style="9" bestFit="1" customWidth="1"/>
    <col min="3" max="4" width="11.42578125" style="9"/>
    <col min="5" max="5" width="33.140625" style="9" customWidth="1"/>
    <col min="6" max="6" width="65" style="9" customWidth="1"/>
    <col min="7" max="7" width="12" style="1" bestFit="1" customWidth="1"/>
    <col min="8" max="8" width="11.42578125" style="9"/>
    <col min="9" max="9" width="11.85546875" style="9" bestFit="1" customWidth="1"/>
    <col min="10" max="10" width="15.28515625" style="9" bestFit="1" customWidth="1"/>
    <col min="11" max="11" width="24.42578125" style="9" customWidth="1"/>
    <col min="12" max="12" width="64.28515625" style="9" customWidth="1"/>
    <col min="13" max="13" width="14.140625" style="32" bestFit="1" customWidth="1"/>
    <col min="14" max="16384" width="11.42578125" style="9"/>
  </cols>
  <sheetData>
    <row r="1" spans="1:13" s="11" customFormat="1">
      <c r="A1" s="11" t="s">
        <v>0</v>
      </c>
      <c r="B1" s="11" t="s">
        <v>38</v>
      </c>
      <c r="C1" s="11" t="s">
        <v>4</v>
      </c>
      <c r="D1" s="11" t="s">
        <v>5</v>
      </c>
      <c r="E1" s="11" t="s">
        <v>50</v>
      </c>
      <c r="F1" s="11" t="s">
        <v>2</v>
      </c>
      <c r="G1" s="13" t="s">
        <v>3</v>
      </c>
      <c r="I1" s="9">
        <f>MAX(C:C)</f>
        <v>9</v>
      </c>
      <c r="J1" s="9">
        <f>Calculadora!D4</f>
        <v>530372</v>
      </c>
      <c r="K1" s="9" t="s">
        <v>76</v>
      </c>
      <c r="L1" s="19"/>
      <c r="M1" s="32"/>
    </row>
    <row r="2" spans="1:13" ht="45">
      <c r="A2" s="9">
        <v>517640</v>
      </c>
      <c r="B2" s="9" t="s">
        <v>7</v>
      </c>
      <c r="C2" s="9">
        <f>IF(A2=A1,C1+1,1)</f>
        <v>1</v>
      </c>
      <c r="D2" s="9" t="str">
        <f>CONCATENATE(A2,"-",C2)</f>
        <v>517640-1</v>
      </c>
      <c r="E2" s="2" t="s">
        <v>48</v>
      </c>
      <c r="F2" s="2" t="s">
        <v>54</v>
      </c>
      <c r="G2" s="1">
        <v>0</v>
      </c>
      <c r="I2" s="9">
        <v>1</v>
      </c>
      <c r="J2" s="9" t="str">
        <f>CONCATENATE($J$1,"-",I2)</f>
        <v>530372-1</v>
      </c>
      <c r="K2" s="9" t="str">
        <f t="shared" ref="K2:K10" si="0">IFERROR(VLOOKUP(J2,$D:$G,2,0),"")</f>
        <v>Servicios Medicos</v>
      </c>
      <c r="L2" s="2" t="str">
        <f t="shared" ref="L2:L10" si="1">IFERROR(VLOOKUP(J2,$D:$G,3,0),"")</f>
        <v>servicios medicos por enfermedad Internacionales de hasta USD 50.000, y servicios medicos por enfermedad nacionales de hasta USD 10.000; ademas hospedajes médicos por viajes de hasta 100 días.</v>
      </c>
      <c r="M2" s="32">
        <f t="shared" ref="M2:M10" si="2">IFERROR(VLOOKUP(J2,$D:$G,4,0),"")</f>
        <v>95000</v>
      </c>
    </row>
    <row r="3" spans="1:13" ht="45">
      <c r="A3" s="9">
        <v>547062</v>
      </c>
      <c r="B3" s="9" t="s">
        <v>26</v>
      </c>
      <c r="C3" s="9">
        <f>IF(A3=A2,C2+1,1)</f>
        <v>1</v>
      </c>
      <c r="D3" s="9" t="str">
        <f>CONCATENATE(A3,"-",C3)</f>
        <v>547062-1</v>
      </c>
      <c r="E3" s="2" t="s">
        <v>48</v>
      </c>
      <c r="F3" s="9" t="s">
        <v>54</v>
      </c>
      <c r="G3" s="1">
        <v>0</v>
      </c>
      <c r="I3" s="9">
        <v>2</v>
      </c>
      <c r="J3" s="9" t="str">
        <f t="shared" ref="J3:J10" si="3">CONCATENATE($J$1,"-",I3)</f>
        <v>530372-2</v>
      </c>
      <c r="K3" s="9" t="str">
        <f t="shared" si="0"/>
        <v>Gastos de traslado y estadia acompañante en Caso de Emergencia en el exterior</v>
      </c>
      <c r="L3" s="2" t="str">
        <f t="shared" si="1"/>
        <v>Bancolombia se ocupará de los gastos por traslado y estadía de un acompañante en caso de convalecencia hasta USD 250 por dia por 10 noches</v>
      </c>
      <c r="M3" s="32">
        <f t="shared" si="2"/>
        <v>729166.66666666674</v>
      </c>
    </row>
    <row r="4" spans="1:13" ht="107.25" customHeight="1">
      <c r="A4" s="9">
        <v>540691</v>
      </c>
      <c r="B4" s="10" t="s">
        <v>8</v>
      </c>
      <c r="C4" s="9">
        <f>IF(A4=A3,C3+1,1)</f>
        <v>1</v>
      </c>
      <c r="D4" s="9" t="str">
        <f>CONCATENATE(A4,"-",C4)</f>
        <v>540691-1</v>
      </c>
      <c r="E4" s="2" t="s">
        <v>145</v>
      </c>
      <c r="F4" s="2" t="s">
        <v>161</v>
      </c>
      <c r="G4" s="21">
        <v>95000</v>
      </c>
      <c r="I4" s="9">
        <v>3</v>
      </c>
      <c r="J4" s="9" t="str">
        <f t="shared" si="3"/>
        <v>530372-3</v>
      </c>
      <c r="K4" s="9" t="str">
        <f t="shared" si="0"/>
        <v xml:space="preserve">Gastos Odontologicos y farmaceuticos </v>
      </c>
      <c r="L4" s="2" t="str">
        <f t="shared" si="1"/>
        <v>Cobertura en Gastos odontológicos o farmacéuticos internacionales hasta por USD 1.500 y nacionales hasta USD 200.</v>
      </c>
      <c r="M4" s="32">
        <f t="shared" si="2"/>
        <v>58333.333333333336</v>
      </c>
    </row>
    <row r="5" spans="1:13" ht="60">
      <c r="A5" s="9">
        <v>540691</v>
      </c>
      <c r="B5" s="10" t="s">
        <v>8</v>
      </c>
      <c r="C5" s="9">
        <f t="shared" ref="C5:C8" si="4">IF(A5=A4,C4+1,1)</f>
        <v>2</v>
      </c>
      <c r="D5" s="9" t="str">
        <f t="shared" ref="D5:D8" si="5">CONCATENATE(A5,"-",C5)</f>
        <v>540691-2</v>
      </c>
      <c r="E5" s="2" t="s">
        <v>312</v>
      </c>
      <c r="F5" s="2" t="s">
        <v>313</v>
      </c>
      <c r="G5" s="21">
        <v>100000</v>
      </c>
      <c r="I5" s="9">
        <v>4</v>
      </c>
      <c r="J5" s="9" t="str">
        <f t="shared" si="3"/>
        <v>530372-4</v>
      </c>
      <c r="K5" s="9" t="str">
        <f t="shared" si="0"/>
        <v xml:space="preserve">Demora o perdida equipaje </v>
      </c>
      <c r="L5" s="2" t="str">
        <f t="shared" si="1"/>
        <v>Compensación de demora de equipaje hasta USD 200 y pérdida de equipaje de hasta USD 1.600</v>
      </c>
      <c r="M5" s="32">
        <f t="shared" si="2"/>
        <v>58333.333333333336</v>
      </c>
    </row>
    <row r="6" spans="1:13" ht="30">
      <c r="A6" s="9">
        <v>540691</v>
      </c>
      <c r="B6" s="10" t="s">
        <v>8</v>
      </c>
      <c r="C6" s="9">
        <f t="shared" si="4"/>
        <v>3</v>
      </c>
      <c r="D6" s="9" t="str">
        <f t="shared" si="5"/>
        <v>540691-3</v>
      </c>
      <c r="E6" s="2" t="s">
        <v>156</v>
      </c>
      <c r="F6" s="2" t="s">
        <v>314</v>
      </c>
      <c r="G6" s="21">
        <f>100/12*Calculadora!D7</f>
        <v>29166.666666666668</v>
      </c>
      <c r="I6" s="9">
        <v>5</v>
      </c>
      <c r="J6" s="9" t="str">
        <f t="shared" si="3"/>
        <v>530372-5</v>
      </c>
      <c r="K6" s="9" t="str">
        <f t="shared" si="0"/>
        <v>Asistencia Grua para Vehiculo</v>
      </c>
      <c r="L6" s="2" t="str">
        <f t="shared" si="1"/>
        <v>Envío y pago de grúa para trasladar el vehículo al concesionario o taller más cercano. Hasta USD 350 ilimitado por eventos.</v>
      </c>
      <c r="M6" s="32">
        <f t="shared" si="2"/>
        <v>102083.33333333334</v>
      </c>
    </row>
    <row r="7" spans="1:13" ht="30">
      <c r="A7" s="9">
        <v>540691</v>
      </c>
      <c r="B7" s="10" t="s">
        <v>8</v>
      </c>
      <c r="C7" s="9">
        <f t="shared" si="4"/>
        <v>4</v>
      </c>
      <c r="D7" s="9" t="str">
        <f t="shared" si="5"/>
        <v>540691-4</v>
      </c>
      <c r="E7" s="9" t="s">
        <v>68</v>
      </c>
      <c r="F7" s="2" t="s">
        <v>192</v>
      </c>
      <c r="G7" s="21">
        <f>300/12*Calculadora!D7</f>
        <v>87500</v>
      </c>
      <c r="I7" s="9">
        <v>6</v>
      </c>
      <c r="J7" s="9" t="str">
        <f t="shared" si="3"/>
        <v>530372-6</v>
      </c>
      <c r="K7" s="9" t="str">
        <f t="shared" si="0"/>
        <v>Asesoria Juridica Telefonica en caso de Accidente</v>
      </c>
      <c r="L7" s="2" t="str">
        <f t="shared" si="1"/>
        <v>Asesoría legal Telefonica inmediata en razón a un Accidente automovilístico en el Vehículo de propiedad del Beneficiario</v>
      </c>
      <c r="M7" s="32">
        <f t="shared" si="2"/>
        <v>80000</v>
      </c>
    </row>
    <row r="8" spans="1:13" ht="45">
      <c r="A8" s="9">
        <v>540691</v>
      </c>
      <c r="B8" s="10" t="s">
        <v>8</v>
      </c>
      <c r="C8" s="9">
        <f t="shared" si="4"/>
        <v>5</v>
      </c>
      <c r="D8" s="9" t="str">
        <f t="shared" si="5"/>
        <v>540691-5</v>
      </c>
      <c r="E8" s="9" t="s">
        <v>146</v>
      </c>
      <c r="F8" s="2" t="s">
        <v>315</v>
      </c>
      <c r="G8" s="21">
        <v>25000</v>
      </c>
      <c r="I8" s="9">
        <v>7</v>
      </c>
      <c r="J8" s="9" t="str">
        <f t="shared" si="3"/>
        <v>530372-7</v>
      </c>
      <c r="K8" s="9" t="str">
        <f t="shared" si="0"/>
        <v xml:space="preserve">Asistencia Emergencia Hogar </v>
      </c>
      <c r="L8" s="2" t="str">
        <f t="shared" si="1"/>
        <v>Gastos menores de reparación (Mano de obra y materiales) en emergencias por Plomería, Vidriería, Electricidad, Cerrajería con un cubrimiento hasta USD 300 por evento - ilimitado por eventos</v>
      </c>
      <c r="M8" s="32">
        <f t="shared" si="2"/>
        <v>87500</v>
      </c>
    </row>
    <row r="9" spans="1:13" ht="45">
      <c r="A9" s="9">
        <v>451307</v>
      </c>
      <c r="B9" s="9" t="s">
        <v>11</v>
      </c>
      <c r="C9" s="9">
        <f t="shared" ref="C9:C78" si="6">IF(A9=A8,C8+1,1)</f>
        <v>1</v>
      </c>
      <c r="D9" s="9" t="str">
        <f t="shared" ref="D9:D78" si="7">CONCATENATE(A9,"-",C9)</f>
        <v>451307-1</v>
      </c>
      <c r="E9" s="9" t="s">
        <v>57</v>
      </c>
      <c r="F9" s="2" t="s">
        <v>195</v>
      </c>
      <c r="G9" s="21">
        <v>95000</v>
      </c>
      <c r="I9" s="9">
        <v>8</v>
      </c>
      <c r="J9" s="9" t="str">
        <f t="shared" si="3"/>
        <v>530372-8</v>
      </c>
      <c r="K9" s="9" t="str">
        <f t="shared" si="0"/>
        <v>Asistencia Hogar por inhabitabilidad</v>
      </c>
      <c r="L9" s="2" t="str">
        <f t="shared" si="1"/>
        <v xml:space="preserve">5 Noches de hotel por por problemas para habitar la vivienda. Cobertura de USD 100 / Por noche y por beneficiario / Máx 5 noches y 4 beneficiarios. Dos eventos al año </v>
      </c>
      <c r="M9" s="32">
        <f t="shared" si="2"/>
        <v>189900</v>
      </c>
    </row>
    <row r="10" spans="1:13" ht="30">
      <c r="A10" s="9">
        <v>451307</v>
      </c>
      <c r="B10" s="9" t="s">
        <v>11</v>
      </c>
      <c r="C10" s="9">
        <f t="shared" si="6"/>
        <v>2</v>
      </c>
      <c r="D10" s="9" t="str">
        <f t="shared" si="7"/>
        <v>451307-2</v>
      </c>
      <c r="E10" s="9" t="s">
        <v>68</v>
      </c>
      <c r="F10" s="2" t="s">
        <v>192</v>
      </c>
      <c r="G10" s="21">
        <f>300/12*Calculadora!D7</f>
        <v>87500</v>
      </c>
      <c r="I10" s="9">
        <v>9</v>
      </c>
      <c r="J10" s="9" t="str">
        <f t="shared" si="3"/>
        <v>530372-9</v>
      </c>
      <c r="K10" s="9" t="str">
        <f t="shared" si="0"/>
        <v/>
      </c>
      <c r="L10" s="2" t="str">
        <f t="shared" si="1"/>
        <v/>
      </c>
      <c r="M10" s="32" t="str">
        <f t="shared" si="2"/>
        <v/>
      </c>
    </row>
    <row r="11" spans="1:13" ht="30">
      <c r="A11" s="9">
        <v>451307</v>
      </c>
      <c r="B11" s="9" t="s">
        <v>11</v>
      </c>
      <c r="C11" s="9">
        <f t="shared" si="6"/>
        <v>3</v>
      </c>
      <c r="D11" s="9" t="str">
        <f t="shared" si="7"/>
        <v>451307-3</v>
      </c>
      <c r="E11" s="9" t="s">
        <v>147</v>
      </c>
      <c r="F11" s="2" t="s">
        <v>152</v>
      </c>
      <c r="G11" s="21">
        <f>200/12*Calculadora!D7</f>
        <v>58333.333333333336</v>
      </c>
    </row>
    <row r="12" spans="1:13">
      <c r="A12" s="9">
        <v>451307</v>
      </c>
      <c r="B12" s="9" t="s">
        <v>11</v>
      </c>
      <c r="C12" s="9">
        <f t="shared" si="6"/>
        <v>4</v>
      </c>
      <c r="D12" s="9" t="str">
        <f t="shared" si="7"/>
        <v>451307-4</v>
      </c>
      <c r="E12" s="9" t="s">
        <v>148</v>
      </c>
      <c r="F12" s="2" t="s">
        <v>67</v>
      </c>
      <c r="G12" s="21">
        <v>150000</v>
      </c>
    </row>
    <row r="13" spans="1:13" ht="45">
      <c r="A13" s="9">
        <v>451307</v>
      </c>
      <c r="B13" s="9" t="s">
        <v>11</v>
      </c>
      <c r="C13" s="9">
        <f t="shared" si="6"/>
        <v>5</v>
      </c>
      <c r="D13" s="9" t="str">
        <f t="shared" si="7"/>
        <v>451307-5</v>
      </c>
      <c r="E13" s="9" t="s">
        <v>149</v>
      </c>
      <c r="F13" s="2" t="s">
        <v>208</v>
      </c>
      <c r="G13" s="21">
        <f>300/12*Calculadora!D7</f>
        <v>87500</v>
      </c>
    </row>
    <row r="14" spans="1:13" ht="45">
      <c r="A14" s="9">
        <v>451307</v>
      </c>
      <c r="B14" s="9" t="s">
        <v>11</v>
      </c>
      <c r="C14" s="9">
        <f t="shared" si="6"/>
        <v>6</v>
      </c>
      <c r="D14" s="9" t="str">
        <f t="shared" si="7"/>
        <v>451307-6</v>
      </c>
      <c r="E14" s="9" t="s">
        <v>150</v>
      </c>
      <c r="F14" s="2" t="s">
        <v>204</v>
      </c>
      <c r="G14" s="21">
        <v>189900</v>
      </c>
    </row>
    <row r="15" spans="1:13" ht="30">
      <c r="A15" s="9">
        <v>451307</v>
      </c>
      <c r="B15" s="9" t="s">
        <v>11</v>
      </c>
      <c r="C15" s="9">
        <f t="shared" si="6"/>
        <v>7</v>
      </c>
      <c r="D15" s="9" t="str">
        <f t="shared" si="7"/>
        <v>451307-7</v>
      </c>
      <c r="E15" s="9" t="s">
        <v>151</v>
      </c>
      <c r="F15" s="2" t="s">
        <v>153</v>
      </c>
      <c r="G15" s="21">
        <f>(100*5)*2/12*Calculadora!D7</f>
        <v>291666.66666666663</v>
      </c>
    </row>
    <row r="16" spans="1:13" ht="45">
      <c r="A16" s="9">
        <v>409983</v>
      </c>
      <c r="B16" s="9" t="s">
        <v>10</v>
      </c>
      <c r="C16" s="9">
        <f t="shared" si="6"/>
        <v>1</v>
      </c>
      <c r="D16" s="9" t="str">
        <f t="shared" si="7"/>
        <v>409983-1</v>
      </c>
      <c r="E16" s="9" t="s">
        <v>57</v>
      </c>
      <c r="F16" s="2" t="s">
        <v>195</v>
      </c>
      <c r="G16" s="21">
        <v>95000</v>
      </c>
    </row>
    <row r="17" spans="1:7" ht="30">
      <c r="A17" s="9">
        <v>409983</v>
      </c>
      <c r="B17" s="9" t="s">
        <v>10</v>
      </c>
      <c r="C17" s="9">
        <f t="shared" si="6"/>
        <v>2</v>
      </c>
      <c r="D17" s="9" t="str">
        <f t="shared" si="7"/>
        <v>409983-2</v>
      </c>
      <c r="E17" s="9" t="s">
        <v>68</v>
      </c>
      <c r="F17" s="2" t="s">
        <v>192</v>
      </c>
      <c r="G17" s="21">
        <f>300/12*Calculadora!D7</f>
        <v>87500</v>
      </c>
    </row>
    <row r="18" spans="1:7" ht="30">
      <c r="A18" s="9">
        <v>409983</v>
      </c>
      <c r="B18" s="9" t="s">
        <v>10</v>
      </c>
      <c r="C18" s="9">
        <f t="shared" si="6"/>
        <v>3</v>
      </c>
      <c r="D18" s="9" t="str">
        <f t="shared" si="7"/>
        <v>409983-3</v>
      </c>
      <c r="E18" s="9" t="s">
        <v>147</v>
      </c>
      <c r="F18" s="2" t="s">
        <v>152</v>
      </c>
      <c r="G18" s="21">
        <f>200/12*Calculadora!D7</f>
        <v>58333.333333333336</v>
      </c>
    </row>
    <row r="19" spans="1:7">
      <c r="A19" s="9">
        <v>409983</v>
      </c>
      <c r="B19" s="9" t="s">
        <v>10</v>
      </c>
      <c r="C19" s="9">
        <f t="shared" si="6"/>
        <v>4</v>
      </c>
      <c r="D19" s="9" t="str">
        <f t="shared" si="7"/>
        <v>409983-4</v>
      </c>
      <c r="E19" s="9" t="s">
        <v>148</v>
      </c>
      <c r="F19" s="2" t="s">
        <v>67</v>
      </c>
      <c r="G19" s="21">
        <v>150000</v>
      </c>
    </row>
    <row r="20" spans="1:7" ht="45">
      <c r="A20" s="9">
        <v>409983</v>
      </c>
      <c r="B20" s="9" t="s">
        <v>10</v>
      </c>
      <c r="C20" s="9">
        <f t="shared" si="6"/>
        <v>5</v>
      </c>
      <c r="D20" s="9" t="str">
        <f t="shared" si="7"/>
        <v>409983-5</v>
      </c>
      <c r="E20" s="9" t="s">
        <v>149</v>
      </c>
      <c r="F20" s="2" t="s">
        <v>208</v>
      </c>
      <c r="G20" s="21">
        <f>300/12*Calculadora!D7</f>
        <v>87500</v>
      </c>
    </row>
    <row r="21" spans="1:7" ht="45">
      <c r="A21" s="9">
        <v>409983</v>
      </c>
      <c r="B21" s="9" t="s">
        <v>10</v>
      </c>
      <c r="C21" s="9">
        <f t="shared" si="6"/>
        <v>6</v>
      </c>
      <c r="D21" s="9" t="str">
        <f t="shared" si="7"/>
        <v>409983-6</v>
      </c>
      <c r="E21" s="9" t="s">
        <v>150</v>
      </c>
      <c r="F21" s="2" t="s">
        <v>172</v>
      </c>
      <c r="G21" s="21">
        <v>189900</v>
      </c>
    </row>
    <row r="22" spans="1:7" ht="30">
      <c r="A22" s="9">
        <v>409983</v>
      </c>
      <c r="B22" s="9" t="s">
        <v>10</v>
      </c>
      <c r="C22" s="9">
        <f t="shared" si="6"/>
        <v>7</v>
      </c>
      <c r="D22" s="9" t="str">
        <f t="shared" si="7"/>
        <v>409983-7</v>
      </c>
      <c r="E22" s="9" t="s">
        <v>151</v>
      </c>
      <c r="F22" s="2" t="s">
        <v>153</v>
      </c>
      <c r="G22" s="21">
        <v>189900</v>
      </c>
    </row>
    <row r="23" spans="1:7" ht="45">
      <c r="A23" s="9">
        <v>530371</v>
      </c>
      <c r="B23" s="9" t="s">
        <v>12</v>
      </c>
      <c r="C23" s="9">
        <f t="shared" si="6"/>
        <v>1</v>
      </c>
      <c r="D23" s="9" t="str">
        <f t="shared" si="7"/>
        <v>530371-1</v>
      </c>
      <c r="E23" s="9" t="s">
        <v>57</v>
      </c>
      <c r="F23" s="2" t="s">
        <v>195</v>
      </c>
      <c r="G23" s="21">
        <v>95000</v>
      </c>
    </row>
    <row r="24" spans="1:7" ht="45">
      <c r="A24" s="9">
        <v>530371</v>
      </c>
      <c r="B24" s="9" t="s">
        <v>12</v>
      </c>
      <c r="C24" s="9">
        <f t="shared" si="6"/>
        <v>2</v>
      </c>
      <c r="D24" s="9" t="str">
        <f t="shared" si="7"/>
        <v>530371-2</v>
      </c>
      <c r="E24" s="2" t="s">
        <v>173</v>
      </c>
      <c r="F24" s="2" t="s">
        <v>202</v>
      </c>
      <c r="G24" s="1">
        <f>250*10/12*Calculadora!D7</f>
        <v>729166.66666666674</v>
      </c>
    </row>
    <row r="25" spans="1:7" ht="30">
      <c r="A25" s="9">
        <v>530371</v>
      </c>
      <c r="B25" s="9" t="s">
        <v>12</v>
      </c>
      <c r="C25" s="9">
        <f t="shared" si="6"/>
        <v>3</v>
      </c>
      <c r="D25" s="9" t="str">
        <f t="shared" si="7"/>
        <v>530371-3</v>
      </c>
      <c r="E25" s="2" t="s">
        <v>156</v>
      </c>
      <c r="F25" s="2" t="s">
        <v>314</v>
      </c>
      <c r="G25" s="1">
        <f>100/12*Calculadora!D7</f>
        <v>29166.666666666668</v>
      </c>
    </row>
    <row r="26" spans="1:7" ht="30">
      <c r="A26" s="9">
        <v>530371</v>
      </c>
      <c r="B26" s="9" t="s">
        <v>12</v>
      </c>
      <c r="C26" s="9">
        <f t="shared" si="6"/>
        <v>4</v>
      </c>
      <c r="D26" s="9" t="str">
        <f t="shared" si="7"/>
        <v>530371-4</v>
      </c>
      <c r="E26" s="9" t="s">
        <v>68</v>
      </c>
      <c r="F26" s="2" t="s">
        <v>205</v>
      </c>
      <c r="G26" s="21">
        <f>300/12*Calculadora!D7</f>
        <v>87500</v>
      </c>
    </row>
    <row r="27" spans="1:7" ht="45">
      <c r="A27" s="9">
        <v>377813</v>
      </c>
      <c r="B27" s="9" t="s">
        <v>9</v>
      </c>
      <c r="C27" s="9">
        <f t="shared" si="6"/>
        <v>1</v>
      </c>
      <c r="D27" s="9" t="str">
        <f t="shared" si="7"/>
        <v>377813-1</v>
      </c>
      <c r="E27" s="9" t="s">
        <v>57</v>
      </c>
      <c r="F27" s="2" t="s">
        <v>196</v>
      </c>
      <c r="G27" s="21">
        <v>95000</v>
      </c>
    </row>
    <row r="28" spans="1:7" ht="30">
      <c r="A28" s="9">
        <v>377813</v>
      </c>
      <c r="B28" s="9" t="s">
        <v>9</v>
      </c>
      <c r="C28" s="9">
        <f t="shared" si="6"/>
        <v>2</v>
      </c>
      <c r="D28" s="9" t="str">
        <f t="shared" si="7"/>
        <v>377813-2</v>
      </c>
      <c r="E28" s="9" t="s">
        <v>68</v>
      </c>
      <c r="F28" s="2" t="s">
        <v>205</v>
      </c>
      <c r="G28" s="21">
        <f>300/12*Calculadora!D7</f>
        <v>87500</v>
      </c>
    </row>
    <row r="29" spans="1:7">
      <c r="A29" s="9">
        <v>377844</v>
      </c>
      <c r="B29" s="9" t="s">
        <v>17</v>
      </c>
      <c r="C29" s="9">
        <f t="shared" si="6"/>
        <v>1</v>
      </c>
      <c r="D29" s="9" t="str">
        <f t="shared" si="7"/>
        <v>377844-1</v>
      </c>
      <c r="E29" s="9" t="s">
        <v>48</v>
      </c>
      <c r="F29" s="2" t="s">
        <v>54</v>
      </c>
      <c r="G29" s="1" t="s">
        <v>54</v>
      </c>
    </row>
    <row r="30" spans="1:7" ht="45">
      <c r="A30" s="9">
        <v>530372</v>
      </c>
      <c r="B30" s="9" t="s">
        <v>16</v>
      </c>
      <c r="C30" s="9">
        <f t="shared" si="6"/>
        <v>1</v>
      </c>
      <c r="D30" s="9" t="str">
        <f t="shared" si="7"/>
        <v>530372-1</v>
      </c>
      <c r="E30" s="9" t="s">
        <v>57</v>
      </c>
      <c r="F30" s="2" t="s">
        <v>197</v>
      </c>
      <c r="G30" s="1">
        <v>95000</v>
      </c>
    </row>
    <row r="31" spans="1:7" ht="45">
      <c r="A31" s="9">
        <v>530372</v>
      </c>
      <c r="B31" s="9" t="s">
        <v>16</v>
      </c>
      <c r="C31" s="9">
        <f t="shared" si="6"/>
        <v>2</v>
      </c>
      <c r="D31" s="9" t="str">
        <f t="shared" si="7"/>
        <v>530372-2</v>
      </c>
      <c r="E31" s="2" t="s">
        <v>173</v>
      </c>
      <c r="F31" s="2" t="s">
        <v>202</v>
      </c>
      <c r="G31" s="1">
        <f>250*10/12*Calculadora!D7</f>
        <v>729166.66666666674</v>
      </c>
    </row>
    <row r="32" spans="1:7" ht="30">
      <c r="A32" s="9">
        <v>530372</v>
      </c>
      <c r="B32" s="9" t="s">
        <v>16</v>
      </c>
      <c r="C32" s="9">
        <f t="shared" si="6"/>
        <v>3</v>
      </c>
      <c r="D32" s="9" t="str">
        <f t="shared" si="7"/>
        <v>530372-3</v>
      </c>
      <c r="E32" s="2" t="s">
        <v>156</v>
      </c>
      <c r="F32" s="2" t="s">
        <v>206</v>
      </c>
      <c r="G32" s="1">
        <f>200/12*Calculadora!D7</f>
        <v>58333.333333333336</v>
      </c>
    </row>
    <row r="33" spans="1:7" ht="30">
      <c r="A33" s="9">
        <v>530372</v>
      </c>
      <c r="B33" s="9" t="s">
        <v>16</v>
      </c>
      <c r="C33" s="9">
        <f t="shared" si="6"/>
        <v>4</v>
      </c>
      <c r="D33" s="9" t="str">
        <f t="shared" si="7"/>
        <v>530372-4</v>
      </c>
      <c r="E33" s="9" t="s">
        <v>68</v>
      </c>
      <c r="F33" s="2" t="s">
        <v>207</v>
      </c>
      <c r="G33" s="1">
        <f>200/12*Calculadora!D7</f>
        <v>58333.333333333336</v>
      </c>
    </row>
    <row r="34" spans="1:7" ht="30">
      <c r="A34" s="9">
        <v>530372</v>
      </c>
      <c r="B34" s="9" t="s">
        <v>16</v>
      </c>
      <c r="C34" s="9">
        <f t="shared" si="6"/>
        <v>5</v>
      </c>
      <c r="D34" s="9" t="str">
        <f t="shared" si="7"/>
        <v>530372-5</v>
      </c>
      <c r="E34" s="9" t="s">
        <v>147</v>
      </c>
      <c r="F34" s="2" t="s">
        <v>157</v>
      </c>
      <c r="G34" s="1">
        <f>350/12*Calculadora!D7</f>
        <v>102083.33333333334</v>
      </c>
    </row>
    <row r="35" spans="1:7" ht="30">
      <c r="A35" s="9">
        <v>530372</v>
      </c>
      <c r="B35" s="9" t="s">
        <v>16</v>
      </c>
      <c r="C35" s="9">
        <f t="shared" si="6"/>
        <v>6</v>
      </c>
      <c r="D35" s="9" t="str">
        <f t="shared" si="7"/>
        <v>530372-6</v>
      </c>
      <c r="E35" s="2" t="s">
        <v>170</v>
      </c>
      <c r="F35" s="2" t="s">
        <v>171</v>
      </c>
      <c r="G35" s="1">
        <v>80000</v>
      </c>
    </row>
    <row r="36" spans="1:7" ht="45">
      <c r="A36" s="9">
        <v>530372</v>
      </c>
      <c r="B36" s="9" t="s">
        <v>16</v>
      </c>
      <c r="C36" s="9">
        <f t="shared" si="6"/>
        <v>7</v>
      </c>
      <c r="D36" s="9" t="str">
        <f t="shared" si="7"/>
        <v>530372-7</v>
      </c>
      <c r="E36" s="9" t="s">
        <v>149</v>
      </c>
      <c r="F36" s="2" t="s">
        <v>208</v>
      </c>
      <c r="G36" s="1">
        <f>300/12*Calculadora!D7</f>
        <v>87500</v>
      </c>
    </row>
    <row r="37" spans="1:7" ht="45">
      <c r="A37" s="9">
        <v>530372</v>
      </c>
      <c r="B37" s="9" t="s">
        <v>16</v>
      </c>
      <c r="C37" s="9">
        <f t="shared" si="6"/>
        <v>8</v>
      </c>
      <c r="D37" s="9" t="str">
        <f t="shared" si="7"/>
        <v>530372-8</v>
      </c>
      <c r="E37" s="9" t="s">
        <v>150</v>
      </c>
      <c r="F37" s="2" t="s">
        <v>204</v>
      </c>
      <c r="G37" s="1">
        <v>189900</v>
      </c>
    </row>
    <row r="38" spans="1:7" ht="45">
      <c r="A38" s="9">
        <v>451308</v>
      </c>
      <c r="B38" s="9" t="s">
        <v>285</v>
      </c>
      <c r="C38" s="9">
        <f t="shared" si="6"/>
        <v>1</v>
      </c>
      <c r="D38" s="9" t="str">
        <f t="shared" si="7"/>
        <v>451308-1</v>
      </c>
      <c r="E38" s="9" t="s">
        <v>57</v>
      </c>
      <c r="F38" s="2" t="s">
        <v>198</v>
      </c>
      <c r="G38" s="1">
        <v>95000</v>
      </c>
    </row>
    <row r="39" spans="1:7" ht="45">
      <c r="A39" s="9">
        <v>451308</v>
      </c>
      <c r="B39" s="9" t="s">
        <v>285</v>
      </c>
      <c r="C39" s="9">
        <f t="shared" si="6"/>
        <v>2</v>
      </c>
      <c r="D39" s="9" t="str">
        <f t="shared" si="7"/>
        <v>451308-2</v>
      </c>
      <c r="E39" s="2" t="s">
        <v>173</v>
      </c>
      <c r="F39" s="2" t="s">
        <v>202</v>
      </c>
      <c r="G39" s="1">
        <f>250*10/12*Calculadora!D7</f>
        <v>729166.66666666674</v>
      </c>
    </row>
    <row r="40" spans="1:7" ht="30">
      <c r="A40" s="9">
        <v>451308</v>
      </c>
      <c r="B40" s="9" t="s">
        <v>285</v>
      </c>
      <c r="C40" s="9">
        <f t="shared" si="6"/>
        <v>3</v>
      </c>
      <c r="D40" s="9" t="str">
        <f t="shared" si="7"/>
        <v>451308-3</v>
      </c>
      <c r="E40" s="2" t="s">
        <v>156</v>
      </c>
      <c r="F40" s="2" t="s">
        <v>206</v>
      </c>
      <c r="G40" s="1">
        <f>200/12*Calculadora!D7</f>
        <v>58333.333333333336</v>
      </c>
    </row>
    <row r="41" spans="1:7" ht="30">
      <c r="A41" s="9">
        <v>451308</v>
      </c>
      <c r="B41" s="9" t="s">
        <v>285</v>
      </c>
      <c r="C41" s="9">
        <f t="shared" si="6"/>
        <v>4</v>
      </c>
      <c r="D41" s="9" t="str">
        <f t="shared" si="7"/>
        <v>451308-4</v>
      </c>
      <c r="E41" s="9" t="s">
        <v>68</v>
      </c>
      <c r="F41" s="2" t="s">
        <v>207</v>
      </c>
      <c r="G41" s="1">
        <f>200/12*Calculadora!D7</f>
        <v>58333.333333333336</v>
      </c>
    </row>
    <row r="42" spans="1:7" ht="30">
      <c r="A42" s="9">
        <v>451308</v>
      </c>
      <c r="B42" s="9" t="s">
        <v>285</v>
      </c>
      <c r="C42" s="9">
        <f t="shared" si="6"/>
        <v>5</v>
      </c>
      <c r="D42" s="9" t="str">
        <f t="shared" si="7"/>
        <v>451308-5</v>
      </c>
      <c r="E42" s="9" t="s">
        <v>147</v>
      </c>
      <c r="F42" s="2" t="s">
        <v>158</v>
      </c>
      <c r="G42" s="1">
        <f>300/12*Calculadora!D7</f>
        <v>87500</v>
      </c>
    </row>
    <row r="43" spans="1:7" ht="30">
      <c r="A43" s="9">
        <v>451308</v>
      </c>
      <c r="B43" s="9" t="s">
        <v>285</v>
      </c>
      <c r="C43" s="9">
        <f t="shared" si="6"/>
        <v>6</v>
      </c>
      <c r="D43" s="9" t="str">
        <f t="shared" si="7"/>
        <v>451308-6</v>
      </c>
      <c r="E43" s="2" t="s">
        <v>170</v>
      </c>
      <c r="F43" s="2" t="s">
        <v>171</v>
      </c>
      <c r="G43" s="21">
        <v>80000</v>
      </c>
    </row>
    <row r="44" spans="1:7" ht="45">
      <c r="A44" s="9">
        <v>451308</v>
      </c>
      <c r="B44" s="9" t="s">
        <v>285</v>
      </c>
      <c r="C44" s="9">
        <f t="shared" si="6"/>
        <v>7</v>
      </c>
      <c r="D44" s="9" t="str">
        <f t="shared" si="7"/>
        <v>451308-7</v>
      </c>
      <c r="E44" s="9" t="s">
        <v>149</v>
      </c>
      <c r="F44" s="2" t="s">
        <v>208</v>
      </c>
      <c r="G44" s="1">
        <f>300/12*Calculadora!D7</f>
        <v>87500</v>
      </c>
    </row>
    <row r="45" spans="1:7" ht="45">
      <c r="A45" s="9">
        <v>451308</v>
      </c>
      <c r="B45" s="9" t="s">
        <v>285</v>
      </c>
      <c r="C45" s="9">
        <f t="shared" si="6"/>
        <v>8</v>
      </c>
      <c r="D45" s="9" t="str">
        <f t="shared" si="7"/>
        <v>451308-8</v>
      </c>
      <c r="E45" s="9" t="s">
        <v>150</v>
      </c>
      <c r="F45" s="2" t="s">
        <v>204</v>
      </c>
      <c r="G45" s="21">
        <v>189900</v>
      </c>
    </row>
    <row r="46" spans="1:7" ht="45">
      <c r="A46" s="9">
        <v>377815</v>
      </c>
      <c r="B46" s="9" t="s">
        <v>15</v>
      </c>
      <c r="C46" s="9">
        <f t="shared" si="6"/>
        <v>1</v>
      </c>
      <c r="D46" s="9" t="str">
        <f t="shared" si="7"/>
        <v>377815-1</v>
      </c>
      <c r="E46" s="9" t="s">
        <v>57</v>
      </c>
      <c r="F46" s="2" t="s">
        <v>199</v>
      </c>
      <c r="G46" s="1">
        <v>95000</v>
      </c>
    </row>
    <row r="47" spans="1:7" ht="45">
      <c r="A47" s="9">
        <v>377815</v>
      </c>
      <c r="B47" s="9" t="s">
        <v>15</v>
      </c>
      <c r="C47" s="9">
        <f t="shared" si="6"/>
        <v>2</v>
      </c>
      <c r="D47" s="9" t="str">
        <f t="shared" si="7"/>
        <v>377815-2</v>
      </c>
      <c r="E47" s="9" t="s">
        <v>149</v>
      </c>
      <c r="F47" s="2" t="s">
        <v>208</v>
      </c>
      <c r="G47" s="1">
        <f>300/12*Calculadora!D7</f>
        <v>87500</v>
      </c>
    </row>
    <row r="48" spans="1:7" ht="120">
      <c r="A48" s="9">
        <v>377815</v>
      </c>
      <c r="B48" s="9" t="s">
        <v>15</v>
      </c>
      <c r="C48" s="9">
        <f t="shared" si="6"/>
        <v>3</v>
      </c>
      <c r="D48" s="9" t="str">
        <f t="shared" si="7"/>
        <v>377815-3</v>
      </c>
      <c r="E48" s="9" t="s">
        <v>347</v>
      </c>
      <c r="F48" s="2" t="s">
        <v>348</v>
      </c>
      <c r="G48" s="1">
        <f>300000</f>
        <v>300000</v>
      </c>
    </row>
    <row r="49" spans="1:7" ht="45">
      <c r="A49" s="9">
        <v>377815</v>
      </c>
      <c r="B49" s="9" t="s">
        <v>15</v>
      </c>
      <c r="C49" s="9">
        <f t="shared" si="6"/>
        <v>4</v>
      </c>
      <c r="D49" s="9" t="str">
        <f t="shared" si="7"/>
        <v>377815-4</v>
      </c>
      <c r="E49" s="9" t="s">
        <v>150</v>
      </c>
      <c r="F49" s="2" t="s">
        <v>204</v>
      </c>
      <c r="G49" s="1">
        <v>189900</v>
      </c>
    </row>
    <row r="50" spans="1:7" ht="30">
      <c r="A50" s="9">
        <v>377815</v>
      </c>
      <c r="B50" s="9" t="s">
        <v>15</v>
      </c>
      <c r="C50" s="9">
        <f t="shared" si="6"/>
        <v>5</v>
      </c>
      <c r="D50" s="9" t="str">
        <f t="shared" si="7"/>
        <v>377815-5</v>
      </c>
      <c r="E50" s="2" t="s">
        <v>170</v>
      </c>
      <c r="F50" s="2" t="s">
        <v>171</v>
      </c>
      <c r="G50" s="21">
        <v>80000</v>
      </c>
    </row>
    <row r="51" spans="1:7" ht="30">
      <c r="A51" s="9">
        <v>377815</v>
      </c>
      <c r="B51" s="9" t="s">
        <v>15</v>
      </c>
      <c r="C51" s="9">
        <f t="shared" si="6"/>
        <v>6</v>
      </c>
      <c r="D51" s="9" t="str">
        <f t="shared" si="7"/>
        <v>377815-6</v>
      </c>
      <c r="E51" s="9" t="s">
        <v>147</v>
      </c>
      <c r="F51" s="2" t="s">
        <v>349</v>
      </c>
      <c r="G51" s="1">
        <f>200/12*Calculadora!D7</f>
        <v>58333.333333333336</v>
      </c>
    </row>
    <row r="52" spans="1:7" ht="45">
      <c r="A52" s="9">
        <v>377815</v>
      </c>
      <c r="B52" s="9" t="s">
        <v>15</v>
      </c>
      <c r="C52" s="9">
        <f t="shared" si="6"/>
        <v>7</v>
      </c>
      <c r="D52" s="9" t="str">
        <f t="shared" si="7"/>
        <v>377815-7</v>
      </c>
      <c r="E52" s="2" t="s">
        <v>173</v>
      </c>
      <c r="F52" s="2" t="s">
        <v>202</v>
      </c>
      <c r="G52" s="1">
        <f>250*10/12*Calculadora!D7</f>
        <v>729166.66666666674</v>
      </c>
    </row>
    <row r="53" spans="1:7" ht="30">
      <c r="A53" s="9">
        <v>377815</v>
      </c>
      <c r="B53" s="9" t="s">
        <v>15</v>
      </c>
      <c r="C53" s="9">
        <f t="shared" si="6"/>
        <v>8</v>
      </c>
      <c r="D53" s="9" t="str">
        <f t="shared" si="7"/>
        <v>377815-8</v>
      </c>
      <c r="E53" s="2" t="s">
        <v>156</v>
      </c>
      <c r="F53" s="2" t="s">
        <v>206</v>
      </c>
      <c r="G53" s="1">
        <f>200/12*Calculadora!D7</f>
        <v>58333.333333333336</v>
      </c>
    </row>
    <row r="54" spans="1:7" ht="45">
      <c r="A54" s="9">
        <v>377815</v>
      </c>
      <c r="B54" s="9" t="s">
        <v>15</v>
      </c>
      <c r="C54" s="9">
        <f t="shared" si="6"/>
        <v>9</v>
      </c>
      <c r="D54" s="9" t="str">
        <f t="shared" si="7"/>
        <v>377815-9</v>
      </c>
      <c r="E54" s="2" t="s">
        <v>350</v>
      </c>
      <c r="F54" s="2" t="s">
        <v>351</v>
      </c>
      <c r="G54" s="1">
        <f>150000</f>
        <v>150000</v>
      </c>
    </row>
    <row r="55" spans="1:7" ht="60">
      <c r="A55" s="9">
        <v>377816</v>
      </c>
      <c r="B55" s="9" t="s">
        <v>19</v>
      </c>
      <c r="C55" s="9">
        <f t="shared" si="6"/>
        <v>1</v>
      </c>
      <c r="D55" s="9" t="str">
        <f t="shared" si="7"/>
        <v>377816-1</v>
      </c>
      <c r="E55" s="9" t="s">
        <v>57</v>
      </c>
      <c r="F55" s="2" t="s">
        <v>200</v>
      </c>
      <c r="G55" s="1">
        <v>95000</v>
      </c>
    </row>
    <row r="56" spans="1:7" ht="45">
      <c r="A56" s="9">
        <v>377816</v>
      </c>
      <c r="B56" s="9" t="s">
        <v>19</v>
      </c>
      <c r="C56" s="9">
        <f t="shared" si="6"/>
        <v>2</v>
      </c>
      <c r="D56" s="9" t="str">
        <f t="shared" si="7"/>
        <v>377816-2</v>
      </c>
      <c r="E56" s="2" t="s">
        <v>173</v>
      </c>
      <c r="F56" s="2" t="s">
        <v>202</v>
      </c>
      <c r="G56" s="1">
        <f>250*10/12*Calculadora!D7</f>
        <v>729166.66666666674</v>
      </c>
    </row>
    <row r="57" spans="1:7" ht="30">
      <c r="A57" s="9">
        <v>377816</v>
      </c>
      <c r="B57" s="9" t="s">
        <v>19</v>
      </c>
      <c r="C57" s="9">
        <f t="shared" si="6"/>
        <v>3</v>
      </c>
      <c r="D57" s="9" t="str">
        <f t="shared" si="7"/>
        <v>377816-3</v>
      </c>
      <c r="E57" s="2" t="s">
        <v>156</v>
      </c>
      <c r="F57" s="2" t="s">
        <v>209</v>
      </c>
      <c r="G57" s="1">
        <f>400/12*Calculadora!D7</f>
        <v>116666.66666666667</v>
      </c>
    </row>
    <row r="58" spans="1:7" ht="30">
      <c r="A58" s="9">
        <v>377816</v>
      </c>
      <c r="B58" s="9" t="s">
        <v>19</v>
      </c>
      <c r="C58" s="9">
        <f t="shared" si="6"/>
        <v>4</v>
      </c>
      <c r="D58" s="9" t="str">
        <f t="shared" si="7"/>
        <v>377816-4</v>
      </c>
      <c r="E58" s="9" t="s">
        <v>68</v>
      </c>
      <c r="F58" s="2" t="s">
        <v>210</v>
      </c>
      <c r="G58" s="1">
        <f>300/12*Calculadora!D7</f>
        <v>87500</v>
      </c>
    </row>
    <row r="59" spans="1:7" ht="30">
      <c r="A59" s="9">
        <v>377816</v>
      </c>
      <c r="B59" s="9" t="s">
        <v>19</v>
      </c>
      <c r="C59" s="9">
        <f t="shared" si="6"/>
        <v>5</v>
      </c>
      <c r="D59" s="9" t="str">
        <f t="shared" si="7"/>
        <v>377816-5</v>
      </c>
      <c r="E59" s="9" t="s">
        <v>147</v>
      </c>
      <c r="F59" s="2" t="s">
        <v>159</v>
      </c>
      <c r="G59" s="1">
        <f>300/12*Calculadora!D7</f>
        <v>87500</v>
      </c>
    </row>
    <row r="60" spans="1:7" ht="30">
      <c r="A60" s="9">
        <v>377816</v>
      </c>
      <c r="B60" s="9" t="s">
        <v>19</v>
      </c>
      <c r="C60" s="9">
        <f t="shared" si="6"/>
        <v>6</v>
      </c>
      <c r="D60" s="9" t="str">
        <f t="shared" si="7"/>
        <v>377816-6</v>
      </c>
      <c r="E60" s="2" t="s">
        <v>170</v>
      </c>
      <c r="F60" s="2" t="s">
        <v>171</v>
      </c>
      <c r="G60" s="21">
        <v>80000</v>
      </c>
    </row>
    <row r="61" spans="1:7" ht="45">
      <c r="A61" s="9">
        <v>377816</v>
      </c>
      <c r="B61" s="9" t="s">
        <v>19</v>
      </c>
      <c r="C61" s="9">
        <f t="shared" si="6"/>
        <v>7</v>
      </c>
      <c r="D61" s="9" t="str">
        <f t="shared" si="7"/>
        <v>377816-7</v>
      </c>
      <c r="E61" s="9" t="s">
        <v>149</v>
      </c>
      <c r="F61" s="2" t="s">
        <v>208</v>
      </c>
      <c r="G61" s="1">
        <f>300/12*Calculadora!D7</f>
        <v>87500</v>
      </c>
    </row>
    <row r="62" spans="1:7" ht="45">
      <c r="A62" s="9">
        <v>377816</v>
      </c>
      <c r="B62" s="9" t="s">
        <v>19</v>
      </c>
      <c r="C62" s="9">
        <f t="shared" si="6"/>
        <v>8</v>
      </c>
      <c r="D62" s="9" t="str">
        <f t="shared" si="7"/>
        <v>377816-8</v>
      </c>
      <c r="E62" s="9" t="s">
        <v>150</v>
      </c>
      <c r="F62" s="2" t="s">
        <v>204</v>
      </c>
      <c r="G62" s="1">
        <v>189900</v>
      </c>
    </row>
    <row r="63" spans="1:7" ht="60">
      <c r="A63" s="9">
        <v>549157</v>
      </c>
      <c r="B63" s="9" t="s">
        <v>22</v>
      </c>
      <c r="C63" s="9">
        <f t="shared" si="6"/>
        <v>1</v>
      </c>
      <c r="D63" s="9" t="str">
        <f t="shared" si="7"/>
        <v>549157-1</v>
      </c>
      <c r="E63" s="9" t="s">
        <v>57</v>
      </c>
      <c r="F63" s="2" t="s">
        <v>193</v>
      </c>
      <c r="G63" s="1">
        <v>95000</v>
      </c>
    </row>
    <row r="64" spans="1:7" ht="45">
      <c r="A64" s="9">
        <v>549157</v>
      </c>
      <c r="B64" s="9" t="s">
        <v>22</v>
      </c>
      <c r="C64" s="9">
        <f t="shared" si="6"/>
        <v>2</v>
      </c>
      <c r="D64" s="9" t="str">
        <f t="shared" si="7"/>
        <v>549157-2</v>
      </c>
      <c r="E64" s="2" t="s">
        <v>173</v>
      </c>
      <c r="F64" s="2" t="s">
        <v>203</v>
      </c>
      <c r="G64" s="1">
        <f>300*10/12*Calculadora!D7</f>
        <v>875000</v>
      </c>
    </row>
    <row r="65" spans="1:7" ht="30">
      <c r="A65" s="9">
        <v>549157</v>
      </c>
      <c r="B65" s="9" t="s">
        <v>22</v>
      </c>
      <c r="C65" s="9">
        <f t="shared" si="6"/>
        <v>3</v>
      </c>
      <c r="D65" s="9" t="str">
        <f t="shared" si="7"/>
        <v>549157-3</v>
      </c>
      <c r="E65" s="2" t="s">
        <v>156</v>
      </c>
      <c r="F65" s="2" t="s">
        <v>211</v>
      </c>
      <c r="G65" s="1">
        <f>300/12*Calculadora!D7</f>
        <v>87500</v>
      </c>
    </row>
    <row r="66" spans="1:7" ht="30">
      <c r="A66" s="9">
        <v>549157</v>
      </c>
      <c r="B66" s="9" t="s">
        <v>22</v>
      </c>
      <c r="C66" s="9">
        <f t="shared" si="6"/>
        <v>4</v>
      </c>
      <c r="D66" s="9" t="str">
        <f t="shared" si="7"/>
        <v>549157-4</v>
      </c>
      <c r="E66" s="9" t="s">
        <v>68</v>
      </c>
      <c r="F66" s="2" t="s">
        <v>212</v>
      </c>
      <c r="G66" s="1">
        <f>300/12*Calculadora!D7</f>
        <v>87500</v>
      </c>
    </row>
    <row r="67" spans="1:7" ht="30">
      <c r="A67" s="9">
        <v>549157</v>
      </c>
      <c r="B67" s="9" t="s">
        <v>22</v>
      </c>
      <c r="C67" s="9">
        <f t="shared" si="6"/>
        <v>5</v>
      </c>
      <c r="D67" s="9" t="str">
        <f t="shared" si="7"/>
        <v>549157-5</v>
      </c>
      <c r="E67" s="9" t="s">
        <v>147</v>
      </c>
      <c r="F67" s="2" t="s">
        <v>162</v>
      </c>
      <c r="G67" s="1">
        <f>350/12*Calculadora!D7</f>
        <v>102083.33333333334</v>
      </c>
    </row>
    <row r="68" spans="1:7" ht="30">
      <c r="A68" s="9">
        <v>549157</v>
      </c>
      <c r="B68" s="9" t="s">
        <v>22</v>
      </c>
      <c r="C68" s="9">
        <f t="shared" si="6"/>
        <v>6</v>
      </c>
      <c r="D68" s="9" t="str">
        <f t="shared" si="7"/>
        <v>549157-6</v>
      </c>
      <c r="E68" s="2" t="s">
        <v>170</v>
      </c>
      <c r="F68" s="2" t="s">
        <v>171</v>
      </c>
      <c r="G68" s="21">
        <v>80000</v>
      </c>
    </row>
    <row r="69" spans="1:7" ht="45">
      <c r="A69" s="9">
        <v>549157</v>
      </c>
      <c r="B69" s="9" t="s">
        <v>22</v>
      </c>
      <c r="C69" s="9">
        <f t="shared" si="6"/>
        <v>7</v>
      </c>
      <c r="D69" s="9" t="str">
        <f t="shared" si="7"/>
        <v>549157-7</v>
      </c>
      <c r="E69" s="9" t="s">
        <v>149</v>
      </c>
      <c r="F69" s="2" t="s">
        <v>208</v>
      </c>
      <c r="G69" s="1">
        <f>300/12*Calculadora!D7</f>
        <v>87500</v>
      </c>
    </row>
    <row r="70" spans="1:7" ht="45">
      <c r="A70" s="9">
        <v>549157</v>
      </c>
      <c r="B70" s="9" t="s">
        <v>22</v>
      </c>
      <c r="C70" s="9">
        <f t="shared" si="6"/>
        <v>8</v>
      </c>
      <c r="D70" s="9" t="str">
        <f t="shared" si="7"/>
        <v>549157-8</v>
      </c>
      <c r="E70" s="9" t="s">
        <v>150</v>
      </c>
      <c r="F70" s="2" t="s">
        <v>204</v>
      </c>
      <c r="G70" s="1">
        <v>189900</v>
      </c>
    </row>
    <row r="71" spans="1:7" ht="60">
      <c r="A71" s="9">
        <v>409984</v>
      </c>
      <c r="B71" s="9" t="s">
        <v>20</v>
      </c>
      <c r="C71" s="9">
        <f t="shared" si="6"/>
        <v>1</v>
      </c>
      <c r="D71" s="9" t="str">
        <f t="shared" si="7"/>
        <v>409984-1</v>
      </c>
      <c r="E71" s="9" t="s">
        <v>57</v>
      </c>
      <c r="F71" s="2" t="s">
        <v>194</v>
      </c>
      <c r="G71" s="1">
        <v>95000</v>
      </c>
    </row>
    <row r="72" spans="1:7" ht="45">
      <c r="A72" s="9">
        <v>409984</v>
      </c>
      <c r="B72" s="9" t="s">
        <v>20</v>
      </c>
      <c r="C72" s="9">
        <f t="shared" si="6"/>
        <v>2</v>
      </c>
      <c r="D72" s="9" t="str">
        <f t="shared" si="7"/>
        <v>409984-2</v>
      </c>
      <c r="E72" s="2" t="s">
        <v>173</v>
      </c>
      <c r="F72" s="2" t="s">
        <v>203</v>
      </c>
      <c r="G72" s="1">
        <f>300*10/12*Calculadora!D7</f>
        <v>875000</v>
      </c>
    </row>
    <row r="73" spans="1:7" ht="30">
      <c r="A73" s="9">
        <v>409984</v>
      </c>
      <c r="B73" s="9" t="s">
        <v>20</v>
      </c>
      <c r="C73" s="9">
        <f t="shared" si="6"/>
        <v>3</v>
      </c>
      <c r="D73" s="9" t="str">
        <f t="shared" si="7"/>
        <v>409984-3</v>
      </c>
      <c r="E73" s="2" t="s">
        <v>156</v>
      </c>
      <c r="F73" s="2" t="s">
        <v>211</v>
      </c>
      <c r="G73" s="1">
        <f>300/12*Calculadora!D7</f>
        <v>87500</v>
      </c>
    </row>
    <row r="74" spans="1:7" ht="30">
      <c r="A74" s="9">
        <v>409984</v>
      </c>
      <c r="B74" s="9" t="s">
        <v>20</v>
      </c>
      <c r="C74" s="9">
        <f t="shared" si="6"/>
        <v>4</v>
      </c>
      <c r="D74" s="9" t="str">
        <f t="shared" si="7"/>
        <v>409984-4</v>
      </c>
      <c r="E74" s="9" t="s">
        <v>68</v>
      </c>
      <c r="F74" s="2" t="s">
        <v>212</v>
      </c>
      <c r="G74" s="1">
        <f>300/12*Calculadora!D7</f>
        <v>87500</v>
      </c>
    </row>
    <row r="75" spans="1:7" ht="30">
      <c r="A75" s="9">
        <v>409984</v>
      </c>
      <c r="B75" s="9" t="s">
        <v>20</v>
      </c>
      <c r="C75" s="9">
        <f t="shared" si="6"/>
        <v>5</v>
      </c>
      <c r="D75" s="9" t="str">
        <f t="shared" si="7"/>
        <v>409984-5</v>
      </c>
      <c r="E75" s="9" t="s">
        <v>147</v>
      </c>
      <c r="F75" s="2" t="s">
        <v>158</v>
      </c>
      <c r="G75" s="1">
        <f>300/12*Calculadora!D7</f>
        <v>87500</v>
      </c>
    </row>
    <row r="76" spans="1:7" ht="30">
      <c r="A76" s="9">
        <v>409984</v>
      </c>
      <c r="B76" s="9" t="s">
        <v>20</v>
      </c>
      <c r="C76" s="9">
        <f t="shared" si="6"/>
        <v>6</v>
      </c>
      <c r="D76" s="9" t="str">
        <f t="shared" si="7"/>
        <v>409984-6</v>
      </c>
      <c r="E76" s="2" t="s">
        <v>170</v>
      </c>
      <c r="F76" s="2" t="s">
        <v>171</v>
      </c>
      <c r="G76" s="21">
        <v>80000</v>
      </c>
    </row>
    <row r="77" spans="1:7" ht="45">
      <c r="A77" s="9">
        <v>409984</v>
      </c>
      <c r="B77" s="9" t="s">
        <v>20</v>
      </c>
      <c r="C77" s="9">
        <f t="shared" si="6"/>
        <v>7</v>
      </c>
      <c r="D77" s="9" t="str">
        <f t="shared" si="7"/>
        <v>409984-7</v>
      </c>
      <c r="E77" s="9" t="s">
        <v>149</v>
      </c>
      <c r="F77" s="2" t="s">
        <v>208</v>
      </c>
      <c r="G77" s="1">
        <f>300/12*Calculadora!D7</f>
        <v>87500</v>
      </c>
    </row>
    <row r="78" spans="1:7" ht="45">
      <c r="A78" s="9">
        <v>409984</v>
      </c>
      <c r="B78" s="9" t="s">
        <v>20</v>
      </c>
      <c r="C78" s="9">
        <f t="shared" si="6"/>
        <v>8</v>
      </c>
      <c r="D78" s="9" t="str">
        <f t="shared" si="7"/>
        <v>409984-8</v>
      </c>
      <c r="E78" s="9" t="s">
        <v>150</v>
      </c>
      <c r="F78" s="2" t="s">
        <v>204</v>
      </c>
      <c r="G78" s="1">
        <v>189900</v>
      </c>
    </row>
    <row r="79" spans="1:7" ht="60">
      <c r="A79" s="9">
        <v>377814</v>
      </c>
      <c r="B79" s="9" t="s">
        <v>18</v>
      </c>
      <c r="C79" s="9">
        <f t="shared" ref="C79:C148" si="8">IF(A79=A78,C78+1,1)</f>
        <v>1</v>
      </c>
      <c r="D79" s="9" t="str">
        <f t="shared" ref="D79:D149" si="9">CONCATENATE(A79,"-",C79)</f>
        <v>377814-1</v>
      </c>
      <c r="E79" s="9" t="s">
        <v>57</v>
      </c>
      <c r="F79" s="2" t="s">
        <v>201</v>
      </c>
      <c r="G79" s="1">
        <v>95000</v>
      </c>
    </row>
    <row r="80" spans="1:7" ht="45">
      <c r="A80" s="9">
        <v>377814</v>
      </c>
      <c r="B80" s="9" t="s">
        <v>18</v>
      </c>
      <c r="C80" s="9">
        <f t="shared" si="8"/>
        <v>2</v>
      </c>
      <c r="D80" s="9" t="str">
        <f t="shared" si="9"/>
        <v>377814-2</v>
      </c>
      <c r="E80" s="2" t="s">
        <v>173</v>
      </c>
      <c r="F80" s="2" t="s">
        <v>203</v>
      </c>
      <c r="G80" s="1">
        <f>300*10/12*Calculadora!D7</f>
        <v>875000</v>
      </c>
    </row>
    <row r="81" spans="1:7" ht="30">
      <c r="A81" s="9">
        <v>377814</v>
      </c>
      <c r="B81" s="9" t="s">
        <v>18</v>
      </c>
      <c r="C81" s="9">
        <f t="shared" si="8"/>
        <v>3</v>
      </c>
      <c r="D81" s="9" t="str">
        <f t="shared" si="9"/>
        <v>377814-3</v>
      </c>
      <c r="E81" s="2" t="s">
        <v>156</v>
      </c>
      <c r="F81" s="2" t="s">
        <v>308</v>
      </c>
      <c r="G81" s="1">
        <f>500/12*Calculadora!D7</f>
        <v>145833.33333333331</v>
      </c>
    </row>
    <row r="82" spans="1:7" ht="30">
      <c r="A82" s="9">
        <v>377814</v>
      </c>
      <c r="B82" s="9" t="s">
        <v>18</v>
      </c>
      <c r="C82" s="9">
        <f t="shared" si="8"/>
        <v>4</v>
      </c>
      <c r="D82" s="9" t="str">
        <f t="shared" si="9"/>
        <v>377814-4</v>
      </c>
      <c r="E82" s="9" t="s">
        <v>68</v>
      </c>
      <c r="F82" s="2" t="s">
        <v>213</v>
      </c>
      <c r="G82" s="1">
        <f>1000/12*Calculadora!D7</f>
        <v>291666.66666666663</v>
      </c>
    </row>
    <row r="83" spans="1:7" ht="30">
      <c r="A83" s="9">
        <v>377814</v>
      </c>
      <c r="B83" s="9" t="s">
        <v>18</v>
      </c>
      <c r="C83" s="9">
        <f t="shared" si="8"/>
        <v>5</v>
      </c>
      <c r="D83" s="9" t="str">
        <f t="shared" si="9"/>
        <v>377814-5</v>
      </c>
      <c r="E83" s="9" t="s">
        <v>147</v>
      </c>
      <c r="F83" s="2" t="s">
        <v>164</v>
      </c>
      <c r="G83" s="1">
        <f>350/12*Calculadora!D7</f>
        <v>102083.33333333334</v>
      </c>
    </row>
    <row r="84" spans="1:7" ht="30">
      <c r="A84" s="9">
        <v>377814</v>
      </c>
      <c r="B84" s="9" t="s">
        <v>18</v>
      </c>
      <c r="C84" s="9">
        <f t="shared" si="8"/>
        <v>6</v>
      </c>
      <c r="D84" s="9" t="str">
        <f t="shared" si="9"/>
        <v>377814-6</v>
      </c>
      <c r="E84" s="2" t="s">
        <v>170</v>
      </c>
      <c r="F84" s="2" t="s">
        <v>171</v>
      </c>
      <c r="G84" s="21">
        <v>80000</v>
      </c>
    </row>
    <row r="85" spans="1:7" ht="45">
      <c r="A85" s="9">
        <v>377814</v>
      </c>
      <c r="B85" s="9" t="s">
        <v>18</v>
      </c>
      <c r="C85" s="9">
        <f t="shared" si="8"/>
        <v>7</v>
      </c>
      <c r="D85" s="9" t="str">
        <f t="shared" si="9"/>
        <v>377814-7</v>
      </c>
      <c r="E85" s="9" t="s">
        <v>149</v>
      </c>
      <c r="F85" s="2" t="s">
        <v>208</v>
      </c>
      <c r="G85" s="1">
        <f>300/12*Calculadora!D7</f>
        <v>87500</v>
      </c>
    </row>
    <row r="86" spans="1:7" ht="45">
      <c r="A86" s="9">
        <v>377814</v>
      </c>
      <c r="B86" s="9" t="s">
        <v>18</v>
      </c>
      <c r="C86" s="9">
        <f t="shared" si="8"/>
        <v>8</v>
      </c>
      <c r="D86" s="9" t="str">
        <f t="shared" si="9"/>
        <v>377814-8</v>
      </c>
      <c r="E86" s="9" t="s">
        <v>150</v>
      </c>
      <c r="F86" s="2" t="s">
        <v>204</v>
      </c>
      <c r="G86" s="1">
        <v>189900</v>
      </c>
    </row>
    <row r="87" spans="1:7" ht="60">
      <c r="A87" s="9">
        <v>411054</v>
      </c>
      <c r="B87" s="9" t="s">
        <v>21</v>
      </c>
      <c r="C87" s="9">
        <f t="shared" si="8"/>
        <v>1</v>
      </c>
      <c r="D87" s="9" t="str">
        <f t="shared" si="9"/>
        <v>411054-1</v>
      </c>
      <c r="E87" s="9" t="s">
        <v>57</v>
      </c>
      <c r="F87" s="2" t="s">
        <v>201</v>
      </c>
      <c r="G87" s="1">
        <v>95000</v>
      </c>
    </row>
    <row r="88" spans="1:7" ht="45">
      <c r="A88" s="9">
        <v>411054</v>
      </c>
      <c r="B88" s="9" t="s">
        <v>21</v>
      </c>
      <c r="C88" s="9">
        <f t="shared" si="8"/>
        <v>2</v>
      </c>
      <c r="D88" s="9" t="str">
        <f t="shared" si="9"/>
        <v>411054-2</v>
      </c>
      <c r="E88" s="2" t="s">
        <v>173</v>
      </c>
      <c r="F88" s="2" t="s">
        <v>203</v>
      </c>
      <c r="G88" s="1">
        <f>300*10/12*Calculadora!D7</f>
        <v>875000</v>
      </c>
    </row>
    <row r="89" spans="1:7" ht="30">
      <c r="A89" s="9">
        <v>411054</v>
      </c>
      <c r="B89" s="9" t="s">
        <v>21</v>
      </c>
      <c r="C89" s="9">
        <f t="shared" si="8"/>
        <v>3</v>
      </c>
      <c r="D89" s="9" t="str">
        <f t="shared" si="9"/>
        <v>411054-3</v>
      </c>
      <c r="E89" s="2" t="s">
        <v>156</v>
      </c>
      <c r="F89" s="2" t="s">
        <v>214</v>
      </c>
      <c r="G89" s="1">
        <f>500/12*Calculadora!D7</f>
        <v>145833.33333333331</v>
      </c>
    </row>
    <row r="90" spans="1:7" ht="30">
      <c r="A90" s="9">
        <v>411054</v>
      </c>
      <c r="B90" s="9" t="s">
        <v>21</v>
      </c>
      <c r="C90" s="9">
        <f t="shared" si="8"/>
        <v>4</v>
      </c>
      <c r="D90" s="9" t="str">
        <f t="shared" si="9"/>
        <v>411054-4</v>
      </c>
      <c r="E90" s="9" t="s">
        <v>68</v>
      </c>
      <c r="F90" s="2" t="s">
        <v>213</v>
      </c>
      <c r="G90" s="1">
        <f>1000/12*Calculadora!D7</f>
        <v>291666.66666666663</v>
      </c>
    </row>
    <row r="91" spans="1:7" ht="30">
      <c r="A91" s="9">
        <v>411054</v>
      </c>
      <c r="B91" s="9" t="s">
        <v>21</v>
      </c>
      <c r="C91" s="9">
        <f t="shared" si="8"/>
        <v>5</v>
      </c>
      <c r="D91" s="9" t="str">
        <f t="shared" si="9"/>
        <v>411054-5</v>
      </c>
      <c r="E91" s="9" t="s">
        <v>147</v>
      </c>
      <c r="F91" s="2" t="s">
        <v>164</v>
      </c>
      <c r="G91" s="1">
        <f>350/12*Calculadora!D7</f>
        <v>102083.33333333334</v>
      </c>
    </row>
    <row r="92" spans="1:7" ht="30">
      <c r="A92" s="9">
        <v>411054</v>
      </c>
      <c r="B92" s="9" t="s">
        <v>21</v>
      </c>
      <c r="C92" s="9">
        <f t="shared" si="8"/>
        <v>6</v>
      </c>
      <c r="D92" s="9" t="str">
        <f t="shared" si="9"/>
        <v>411054-6</v>
      </c>
      <c r="E92" s="2" t="s">
        <v>170</v>
      </c>
      <c r="F92" s="2" t="s">
        <v>171</v>
      </c>
      <c r="G92" s="21">
        <v>80000</v>
      </c>
    </row>
    <row r="93" spans="1:7" ht="45">
      <c r="A93" s="9">
        <v>411054</v>
      </c>
      <c r="B93" s="9" t="s">
        <v>21</v>
      </c>
      <c r="C93" s="9">
        <f t="shared" si="8"/>
        <v>7</v>
      </c>
      <c r="D93" s="9" t="str">
        <f t="shared" si="9"/>
        <v>411054-7</v>
      </c>
      <c r="E93" s="9" t="s">
        <v>149</v>
      </c>
      <c r="F93" s="2" t="s">
        <v>208</v>
      </c>
      <c r="G93" s="1">
        <f>300/12*Calculadora!D7</f>
        <v>87500</v>
      </c>
    </row>
    <row r="94" spans="1:7" ht="45">
      <c r="A94" s="9">
        <v>411054</v>
      </c>
      <c r="B94" s="9" t="s">
        <v>21</v>
      </c>
      <c r="C94" s="9">
        <f t="shared" si="8"/>
        <v>8</v>
      </c>
      <c r="D94" s="9" t="str">
        <f t="shared" si="9"/>
        <v>411054-8</v>
      </c>
      <c r="E94" s="9" t="s">
        <v>150</v>
      </c>
      <c r="F94" s="2" t="s">
        <v>204</v>
      </c>
      <c r="G94" s="1">
        <v>189900</v>
      </c>
    </row>
    <row r="95" spans="1:7" ht="60">
      <c r="A95" s="9">
        <v>549158</v>
      </c>
      <c r="B95" s="9" t="s">
        <v>23</v>
      </c>
      <c r="C95" s="9">
        <f t="shared" si="8"/>
        <v>1</v>
      </c>
      <c r="D95" s="9" t="str">
        <f t="shared" si="9"/>
        <v>549158-1</v>
      </c>
      <c r="E95" s="9" t="s">
        <v>57</v>
      </c>
      <c r="F95" s="2" t="s">
        <v>193</v>
      </c>
      <c r="G95" s="1">
        <v>95000</v>
      </c>
    </row>
    <row r="96" spans="1:7" ht="45">
      <c r="A96" s="9">
        <v>549158</v>
      </c>
      <c r="B96" s="9" t="s">
        <v>23</v>
      </c>
      <c r="C96" s="9">
        <f t="shared" si="8"/>
        <v>2</v>
      </c>
      <c r="D96" s="9" t="str">
        <f t="shared" si="9"/>
        <v>549158-2</v>
      </c>
      <c r="E96" s="2" t="s">
        <v>173</v>
      </c>
      <c r="F96" s="2" t="s">
        <v>203</v>
      </c>
      <c r="G96" s="1">
        <f>300*10/12*Calculadora!D7</f>
        <v>875000</v>
      </c>
    </row>
    <row r="97" spans="1:7" ht="30">
      <c r="A97" s="9">
        <v>549158</v>
      </c>
      <c r="B97" s="9" t="s">
        <v>23</v>
      </c>
      <c r="C97" s="9">
        <f t="shared" si="8"/>
        <v>3</v>
      </c>
      <c r="D97" s="9" t="str">
        <f t="shared" si="9"/>
        <v>549158-3</v>
      </c>
      <c r="E97" s="2" t="s">
        <v>156</v>
      </c>
      <c r="F97" s="2" t="s">
        <v>214</v>
      </c>
      <c r="G97" s="1">
        <f>500/12*Calculadora!D7</f>
        <v>145833.33333333331</v>
      </c>
    </row>
    <row r="98" spans="1:7" ht="30">
      <c r="A98" s="9">
        <v>549158</v>
      </c>
      <c r="B98" s="9" t="s">
        <v>23</v>
      </c>
      <c r="C98" s="9">
        <f t="shared" si="8"/>
        <v>4</v>
      </c>
      <c r="D98" s="9" t="str">
        <f t="shared" si="9"/>
        <v>549158-4</v>
      </c>
      <c r="E98" s="9" t="s">
        <v>68</v>
      </c>
      <c r="F98" s="2" t="s">
        <v>213</v>
      </c>
      <c r="G98" s="1">
        <f>1000/12*Calculadora!D7</f>
        <v>291666.66666666663</v>
      </c>
    </row>
    <row r="99" spans="1:7" ht="30">
      <c r="A99" s="9">
        <v>549158</v>
      </c>
      <c r="B99" s="9" t="s">
        <v>23</v>
      </c>
      <c r="C99" s="9">
        <f t="shared" si="8"/>
        <v>5</v>
      </c>
      <c r="D99" s="9" t="str">
        <f t="shared" si="9"/>
        <v>549158-5</v>
      </c>
      <c r="E99" s="9" t="s">
        <v>147</v>
      </c>
      <c r="F99" s="2" t="s">
        <v>164</v>
      </c>
      <c r="G99" s="1">
        <f>350/12*Calculadora!D7</f>
        <v>102083.33333333334</v>
      </c>
    </row>
    <row r="100" spans="1:7" ht="30">
      <c r="A100" s="9">
        <v>549158</v>
      </c>
      <c r="B100" s="9" t="s">
        <v>23</v>
      </c>
      <c r="C100" s="9">
        <f t="shared" si="8"/>
        <v>6</v>
      </c>
      <c r="D100" s="9" t="str">
        <f t="shared" si="9"/>
        <v>549158-6</v>
      </c>
      <c r="E100" s="2" t="s">
        <v>170</v>
      </c>
      <c r="F100" s="2" t="s">
        <v>171</v>
      </c>
      <c r="G100" s="21">
        <v>80000</v>
      </c>
    </row>
    <row r="101" spans="1:7" ht="45">
      <c r="A101" s="9">
        <v>549158</v>
      </c>
      <c r="B101" s="9" t="s">
        <v>23</v>
      </c>
      <c r="C101" s="9">
        <f t="shared" si="8"/>
        <v>7</v>
      </c>
      <c r="D101" s="9" t="str">
        <f t="shared" si="9"/>
        <v>549158-7</v>
      </c>
      <c r="E101" s="9" t="s">
        <v>149</v>
      </c>
      <c r="F101" s="2" t="s">
        <v>208</v>
      </c>
      <c r="G101" s="1">
        <f>300/12*Calculadora!D7</f>
        <v>87500</v>
      </c>
    </row>
    <row r="102" spans="1:7" ht="45">
      <c r="A102" s="9">
        <v>549158</v>
      </c>
      <c r="B102" s="9" t="s">
        <v>23</v>
      </c>
      <c r="C102" s="9">
        <f t="shared" si="8"/>
        <v>8</v>
      </c>
      <c r="D102" s="9" t="str">
        <f t="shared" si="9"/>
        <v>549158-8</v>
      </c>
      <c r="E102" s="9" t="s">
        <v>150</v>
      </c>
      <c r="F102" s="2" t="s">
        <v>204</v>
      </c>
      <c r="G102" s="1">
        <v>189900</v>
      </c>
    </row>
    <row r="103" spans="1:7" ht="60">
      <c r="A103" s="9">
        <v>459425</v>
      </c>
      <c r="B103" s="9" t="s">
        <v>14</v>
      </c>
      <c r="C103" s="9">
        <f t="shared" si="8"/>
        <v>1</v>
      </c>
      <c r="D103" s="9" t="str">
        <f t="shared" si="9"/>
        <v>459425-1</v>
      </c>
      <c r="E103" s="9" t="s">
        <v>57</v>
      </c>
      <c r="F103" s="2" t="s">
        <v>216</v>
      </c>
      <c r="G103" s="1">
        <v>95000</v>
      </c>
    </row>
    <row r="104" spans="1:7" ht="45">
      <c r="A104" s="9">
        <v>459425</v>
      </c>
      <c r="B104" s="9" t="s">
        <v>14</v>
      </c>
      <c r="C104" s="9">
        <f t="shared" si="8"/>
        <v>2</v>
      </c>
      <c r="D104" s="9" t="str">
        <f t="shared" si="9"/>
        <v>459425-2</v>
      </c>
      <c r="E104" s="2" t="s">
        <v>173</v>
      </c>
      <c r="F104" s="2" t="s">
        <v>202</v>
      </c>
      <c r="G104" s="1">
        <f>250*10/12*Calculadora!D7</f>
        <v>729166.66666666674</v>
      </c>
    </row>
    <row r="105" spans="1:7" ht="30">
      <c r="A105" s="9">
        <v>459425</v>
      </c>
      <c r="B105" s="9" t="s">
        <v>14</v>
      </c>
      <c r="C105" s="9">
        <f t="shared" si="8"/>
        <v>3</v>
      </c>
      <c r="D105" s="9" t="str">
        <f t="shared" si="9"/>
        <v>459425-3</v>
      </c>
      <c r="E105" s="2" t="s">
        <v>156</v>
      </c>
      <c r="F105" s="2" t="s">
        <v>217</v>
      </c>
      <c r="G105" s="1">
        <f>200/12*Calculadora!D7</f>
        <v>58333.333333333336</v>
      </c>
    </row>
    <row r="106" spans="1:7" ht="30">
      <c r="A106" s="9">
        <v>459425</v>
      </c>
      <c r="B106" s="9" t="s">
        <v>14</v>
      </c>
      <c r="C106" s="9">
        <f t="shared" si="8"/>
        <v>4</v>
      </c>
      <c r="D106" s="9" t="str">
        <f t="shared" si="9"/>
        <v>459425-4</v>
      </c>
      <c r="E106" s="9" t="s">
        <v>68</v>
      </c>
      <c r="F106" s="2" t="s">
        <v>218</v>
      </c>
      <c r="G106" s="1">
        <f>300/12*Calculadora!D7</f>
        <v>87500</v>
      </c>
    </row>
    <row r="107" spans="1:7" ht="30">
      <c r="A107" s="9">
        <v>459425</v>
      </c>
      <c r="B107" s="9" t="s">
        <v>14</v>
      </c>
      <c r="C107" s="9">
        <f t="shared" si="8"/>
        <v>5</v>
      </c>
      <c r="D107" s="9" t="str">
        <f t="shared" si="9"/>
        <v>459425-5</v>
      </c>
      <c r="E107" s="9" t="s">
        <v>147</v>
      </c>
      <c r="F107" s="2" t="s">
        <v>219</v>
      </c>
      <c r="G107" s="1">
        <f>300/12*Calculadora!D7</f>
        <v>87500</v>
      </c>
    </row>
    <row r="108" spans="1:7" ht="30">
      <c r="A108" s="9">
        <v>459425</v>
      </c>
      <c r="B108" s="9" t="s">
        <v>14</v>
      </c>
      <c r="C108" s="9">
        <f t="shared" si="8"/>
        <v>6</v>
      </c>
      <c r="D108" s="9" t="str">
        <f t="shared" si="9"/>
        <v>459425-6</v>
      </c>
      <c r="E108" s="2" t="s">
        <v>170</v>
      </c>
      <c r="F108" s="2" t="s">
        <v>171</v>
      </c>
      <c r="G108" s="21">
        <v>80000</v>
      </c>
    </row>
    <row r="109" spans="1:7" ht="45">
      <c r="A109" s="9">
        <v>459425</v>
      </c>
      <c r="B109" s="9" t="s">
        <v>14</v>
      </c>
      <c r="C109" s="9">
        <f t="shared" si="8"/>
        <v>7</v>
      </c>
      <c r="D109" s="9" t="str">
        <f t="shared" si="9"/>
        <v>459425-7</v>
      </c>
      <c r="E109" s="9" t="s">
        <v>149</v>
      </c>
      <c r="F109" s="2" t="s">
        <v>208</v>
      </c>
      <c r="G109" s="1">
        <f>300/12*Calculadora!D7</f>
        <v>87500</v>
      </c>
    </row>
    <row r="110" spans="1:7" ht="45">
      <c r="A110" s="9">
        <v>459425</v>
      </c>
      <c r="B110" s="9" t="s">
        <v>14</v>
      </c>
      <c r="C110" s="9">
        <f t="shared" si="8"/>
        <v>8</v>
      </c>
      <c r="D110" s="9" t="str">
        <f t="shared" si="9"/>
        <v>459425-8</v>
      </c>
      <c r="E110" s="9" t="s">
        <v>150</v>
      </c>
      <c r="F110" s="2" t="s">
        <v>204</v>
      </c>
      <c r="G110" s="1">
        <v>189900</v>
      </c>
    </row>
    <row r="111" spans="1:7" ht="60">
      <c r="A111" s="9">
        <v>530693</v>
      </c>
      <c r="B111" s="9" t="s">
        <v>139</v>
      </c>
      <c r="C111" s="9">
        <f t="shared" si="8"/>
        <v>1</v>
      </c>
      <c r="D111" s="9" t="str">
        <f t="shared" si="9"/>
        <v>530693-1</v>
      </c>
      <c r="E111" s="9" t="s">
        <v>57</v>
      </c>
      <c r="F111" s="2" t="s">
        <v>225</v>
      </c>
      <c r="G111" s="1">
        <v>95000</v>
      </c>
    </row>
    <row r="112" spans="1:7" ht="45">
      <c r="A112" s="9">
        <v>530693</v>
      </c>
      <c r="B112" s="9" t="s">
        <v>139</v>
      </c>
      <c r="C112" s="9">
        <f t="shared" si="8"/>
        <v>2</v>
      </c>
      <c r="D112" s="9" t="str">
        <f t="shared" si="9"/>
        <v>530693-2</v>
      </c>
      <c r="E112" s="2" t="s">
        <v>173</v>
      </c>
      <c r="F112" s="2" t="s">
        <v>202</v>
      </c>
      <c r="G112" s="1">
        <f>250*10/12*Calculadora!D7</f>
        <v>729166.66666666674</v>
      </c>
    </row>
    <row r="113" spans="1:7" ht="30">
      <c r="A113" s="9">
        <v>530693</v>
      </c>
      <c r="B113" s="9" t="s">
        <v>139</v>
      </c>
      <c r="C113" s="9">
        <f t="shared" si="8"/>
        <v>3</v>
      </c>
      <c r="D113" s="9" t="str">
        <f t="shared" si="9"/>
        <v>530693-3</v>
      </c>
      <c r="E113" s="2" t="s">
        <v>156</v>
      </c>
      <c r="F113" s="2" t="s">
        <v>217</v>
      </c>
      <c r="G113" s="1">
        <f>200/12*Calculadora!D7</f>
        <v>58333.333333333336</v>
      </c>
    </row>
    <row r="114" spans="1:7" ht="30">
      <c r="A114" s="9">
        <v>530693</v>
      </c>
      <c r="B114" s="9" t="s">
        <v>139</v>
      </c>
      <c r="C114" s="9">
        <f t="shared" si="8"/>
        <v>4</v>
      </c>
      <c r="D114" s="9" t="str">
        <f t="shared" si="9"/>
        <v>530693-4</v>
      </c>
      <c r="E114" s="9" t="s">
        <v>68</v>
      </c>
      <c r="F114" s="2" t="s">
        <v>218</v>
      </c>
      <c r="G114" s="1">
        <f>300/12*Calculadora!D7</f>
        <v>87500</v>
      </c>
    </row>
    <row r="115" spans="1:7" ht="30">
      <c r="A115" s="9">
        <v>530693</v>
      </c>
      <c r="B115" s="9" t="s">
        <v>139</v>
      </c>
      <c r="C115" s="9">
        <f t="shared" si="8"/>
        <v>5</v>
      </c>
      <c r="D115" s="9" t="str">
        <f t="shared" si="9"/>
        <v>530693-5</v>
      </c>
      <c r="E115" s="9" t="s">
        <v>147</v>
      </c>
      <c r="F115" s="2" t="s">
        <v>219</v>
      </c>
      <c r="G115" s="1">
        <f>300/12*Calculadora!D7</f>
        <v>87500</v>
      </c>
    </row>
    <row r="116" spans="1:7" ht="30">
      <c r="A116" s="9">
        <v>530693</v>
      </c>
      <c r="B116" s="9" t="s">
        <v>139</v>
      </c>
      <c r="C116" s="9">
        <f t="shared" si="8"/>
        <v>6</v>
      </c>
      <c r="D116" s="9" t="str">
        <f t="shared" si="9"/>
        <v>530693-6</v>
      </c>
      <c r="E116" s="2" t="s">
        <v>170</v>
      </c>
      <c r="F116" s="2" t="s">
        <v>171</v>
      </c>
      <c r="G116" s="21">
        <v>80000</v>
      </c>
    </row>
    <row r="117" spans="1:7" ht="45">
      <c r="A117" s="9">
        <v>530693</v>
      </c>
      <c r="B117" s="9" t="s">
        <v>139</v>
      </c>
      <c r="C117" s="9">
        <f t="shared" si="8"/>
        <v>7</v>
      </c>
      <c r="D117" s="9" t="str">
        <f t="shared" si="9"/>
        <v>530693-7</v>
      </c>
      <c r="E117" s="9" t="s">
        <v>149</v>
      </c>
      <c r="F117" s="2" t="s">
        <v>208</v>
      </c>
      <c r="G117" s="1">
        <f>300/12*Calculadora!D7</f>
        <v>87500</v>
      </c>
    </row>
    <row r="118" spans="1:7" ht="45">
      <c r="A118" s="9">
        <v>530693</v>
      </c>
      <c r="B118" s="9" t="s">
        <v>139</v>
      </c>
      <c r="C118" s="9">
        <f t="shared" si="8"/>
        <v>8</v>
      </c>
      <c r="D118" s="9" t="str">
        <f t="shared" si="9"/>
        <v>530693-8</v>
      </c>
      <c r="E118" s="9" t="s">
        <v>150</v>
      </c>
      <c r="F118" s="2" t="s">
        <v>204</v>
      </c>
      <c r="G118" s="1">
        <v>189900</v>
      </c>
    </row>
    <row r="119" spans="1:7" ht="75">
      <c r="A119" s="9">
        <v>449188</v>
      </c>
      <c r="B119" s="10" t="s">
        <v>24</v>
      </c>
      <c r="C119" s="9">
        <f t="shared" si="8"/>
        <v>1</v>
      </c>
      <c r="D119" s="9" t="str">
        <f t="shared" si="9"/>
        <v>449188-1</v>
      </c>
      <c r="E119" s="9" t="s">
        <v>145</v>
      </c>
      <c r="F119" s="25" t="s">
        <v>290</v>
      </c>
      <c r="G119" s="1">
        <v>95000</v>
      </c>
    </row>
    <row r="120" spans="1:7" ht="30">
      <c r="A120" s="9">
        <v>449188</v>
      </c>
      <c r="B120" s="10" t="s">
        <v>24</v>
      </c>
      <c r="C120" s="9">
        <f t="shared" si="8"/>
        <v>2</v>
      </c>
      <c r="D120" s="9" t="str">
        <f t="shared" si="9"/>
        <v>449188-2</v>
      </c>
      <c r="E120" s="9" t="s">
        <v>68</v>
      </c>
      <c r="F120" s="2" t="s">
        <v>218</v>
      </c>
      <c r="G120" s="1">
        <f>300/12*Calculadora!D7</f>
        <v>87500</v>
      </c>
    </row>
    <row r="121" spans="1:7" ht="75">
      <c r="A121" s="9">
        <v>449188</v>
      </c>
      <c r="B121" s="10" t="s">
        <v>24</v>
      </c>
      <c r="C121" s="9">
        <f t="shared" si="8"/>
        <v>3</v>
      </c>
      <c r="D121" s="9" t="str">
        <f t="shared" si="9"/>
        <v>449188-3</v>
      </c>
      <c r="E121" s="9" t="s">
        <v>147</v>
      </c>
      <c r="F121" s="2" t="s">
        <v>247</v>
      </c>
      <c r="G121" s="1">
        <v>97500</v>
      </c>
    </row>
    <row r="122" spans="1:7" ht="45">
      <c r="A122" s="9">
        <v>449188</v>
      </c>
      <c r="B122" s="10" t="s">
        <v>24</v>
      </c>
      <c r="C122" s="9">
        <f t="shared" si="8"/>
        <v>4</v>
      </c>
      <c r="D122" s="9" t="str">
        <f t="shared" si="9"/>
        <v>449188-4</v>
      </c>
      <c r="E122" s="2" t="s">
        <v>257</v>
      </c>
      <c r="F122" s="2" t="s">
        <v>256</v>
      </c>
      <c r="G122" s="1">
        <f>250/12*Calculadora!D7</f>
        <v>72916.666666666657</v>
      </c>
    </row>
    <row r="123" spans="1:7" ht="60">
      <c r="A123" s="9">
        <v>459426</v>
      </c>
      <c r="B123" s="9" t="s">
        <v>25</v>
      </c>
      <c r="C123" s="9">
        <f t="shared" si="8"/>
        <v>1</v>
      </c>
      <c r="D123" s="9" t="str">
        <f t="shared" si="9"/>
        <v>459426-1</v>
      </c>
      <c r="E123" s="9" t="s">
        <v>145</v>
      </c>
      <c r="F123" s="2" t="s">
        <v>246</v>
      </c>
      <c r="G123" s="1">
        <v>95000</v>
      </c>
    </row>
    <row r="124" spans="1:7" ht="30">
      <c r="A124" s="9">
        <v>459426</v>
      </c>
      <c r="B124" s="9" t="s">
        <v>25</v>
      </c>
      <c r="C124" s="9">
        <f t="shared" si="8"/>
        <v>2</v>
      </c>
      <c r="D124" s="9" t="str">
        <f t="shared" si="9"/>
        <v>459426-2</v>
      </c>
      <c r="E124" s="9" t="s">
        <v>68</v>
      </c>
      <c r="F124" s="2" t="s">
        <v>218</v>
      </c>
      <c r="G124" s="1">
        <f>300/12*Calculadora!D7</f>
        <v>87500</v>
      </c>
    </row>
    <row r="125" spans="1:7" ht="75">
      <c r="A125" s="9">
        <v>459426</v>
      </c>
      <c r="B125" s="9" t="s">
        <v>25</v>
      </c>
      <c r="C125" s="9">
        <f t="shared" si="8"/>
        <v>3</v>
      </c>
      <c r="D125" s="9" t="str">
        <f t="shared" si="9"/>
        <v>459426-3</v>
      </c>
      <c r="E125" s="9" t="s">
        <v>147</v>
      </c>
      <c r="F125" s="2" t="s">
        <v>247</v>
      </c>
      <c r="G125" s="1">
        <v>97500</v>
      </c>
    </row>
    <row r="126" spans="1:7" ht="60">
      <c r="A126" s="9">
        <v>459426</v>
      </c>
      <c r="B126" s="9" t="s">
        <v>25</v>
      </c>
      <c r="C126" s="9">
        <f t="shared" si="8"/>
        <v>4</v>
      </c>
      <c r="D126" s="9" t="str">
        <f t="shared" si="9"/>
        <v>459426-4</v>
      </c>
      <c r="E126" s="2" t="s">
        <v>248</v>
      </c>
      <c r="F126" s="2" t="s">
        <v>249</v>
      </c>
      <c r="G126" s="1">
        <v>100000</v>
      </c>
    </row>
    <row r="127" spans="1:7" ht="30">
      <c r="A127" s="9">
        <v>459426</v>
      </c>
      <c r="B127" s="9" t="s">
        <v>25</v>
      </c>
      <c r="C127" s="9">
        <f t="shared" si="8"/>
        <v>5</v>
      </c>
      <c r="D127" s="9" t="str">
        <f t="shared" si="9"/>
        <v>459426-5</v>
      </c>
      <c r="E127" s="2" t="s">
        <v>296</v>
      </c>
      <c r="F127" s="2" t="s">
        <v>299</v>
      </c>
      <c r="G127" s="21">
        <v>25000</v>
      </c>
    </row>
    <row r="128" spans="1:7" ht="60">
      <c r="A128" s="9">
        <v>451309</v>
      </c>
      <c r="B128" s="9" t="s">
        <v>238</v>
      </c>
      <c r="C128" s="9">
        <f t="shared" si="8"/>
        <v>1</v>
      </c>
      <c r="D128" s="9" t="str">
        <f t="shared" si="9"/>
        <v>451309-1</v>
      </c>
      <c r="E128" s="9" t="s">
        <v>145</v>
      </c>
      <c r="F128" s="2" t="s">
        <v>246</v>
      </c>
      <c r="G128" s="1">
        <v>95000</v>
      </c>
    </row>
    <row r="129" spans="1:7" ht="30">
      <c r="A129" s="9">
        <v>451309</v>
      </c>
      <c r="B129" s="9" t="s">
        <v>238</v>
      </c>
      <c r="C129" s="9">
        <f t="shared" si="8"/>
        <v>2</v>
      </c>
      <c r="D129" s="9" t="str">
        <f t="shared" si="9"/>
        <v>451309-2</v>
      </c>
      <c r="E129" s="9" t="s">
        <v>68</v>
      </c>
      <c r="F129" s="2" t="s">
        <v>218</v>
      </c>
      <c r="G129" s="1">
        <f>300/12*Calculadora!D7</f>
        <v>87500</v>
      </c>
    </row>
    <row r="130" spans="1:7" ht="75">
      <c r="A130" s="9">
        <v>451309</v>
      </c>
      <c r="B130" s="9" t="s">
        <v>238</v>
      </c>
      <c r="C130" s="9">
        <f t="shared" si="8"/>
        <v>3</v>
      </c>
      <c r="D130" s="9" t="str">
        <f t="shared" si="9"/>
        <v>451309-3</v>
      </c>
      <c r="E130" s="9" t="s">
        <v>147</v>
      </c>
      <c r="F130" s="2" t="s">
        <v>247</v>
      </c>
      <c r="G130" s="1">
        <v>97500</v>
      </c>
    </row>
    <row r="131" spans="1:7" ht="60">
      <c r="A131" s="9">
        <v>451309</v>
      </c>
      <c r="B131" s="9" t="s">
        <v>238</v>
      </c>
      <c r="C131" s="9">
        <f t="shared" si="8"/>
        <v>4</v>
      </c>
      <c r="D131" s="9" t="str">
        <f t="shared" si="9"/>
        <v>451309-4</v>
      </c>
      <c r="E131" s="2" t="s">
        <v>248</v>
      </c>
      <c r="F131" s="2" t="s">
        <v>249</v>
      </c>
      <c r="G131" s="1">
        <v>100000</v>
      </c>
    </row>
    <row r="132" spans="1:7" ht="30">
      <c r="A132" s="9">
        <v>451309</v>
      </c>
      <c r="B132" s="9" t="s">
        <v>238</v>
      </c>
      <c r="C132" s="9">
        <f t="shared" si="8"/>
        <v>5</v>
      </c>
      <c r="D132" s="9" t="str">
        <f t="shared" si="9"/>
        <v>451309-5</v>
      </c>
      <c r="E132" s="2" t="s">
        <v>296</v>
      </c>
      <c r="F132" s="2" t="s">
        <v>299</v>
      </c>
      <c r="G132" s="21">
        <v>25000</v>
      </c>
    </row>
    <row r="133" spans="1:7" ht="90">
      <c r="A133" s="9">
        <v>553145</v>
      </c>
      <c r="B133" s="10" t="s">
        <v>276</v>
      </c>
      <c r="C133" s="9">
        <f t="shared" si="8"/>
        <v>1</v>
      </c>
      <c r="D133" s="9" t="str">
        <f t="shared" si="9"/>
        <v>553145-1</v>
      </c>
      <c r="E133" s="9" t="s">
        <v>132</v>
      </c>
      <c r="F133" s="2" t="s">
        <v>318</v>
      </c>
      <c r="G133" s="1">
        <v>300000</v>
      </c>
    </row>
    <row r="134" spans="1:7" ht="45">
      <c r="A134" s="9">
        <v>553145</v>
      </c>
      <c r="B134" s="10" t="s">
        <v>276</v>
      </c>
      <c r="C134" s="9">
        <f t="shared" si="8"/>
        <v>2</v>
      </c>
      <c r="D134" s="9" t="str">
        <f t="shared" si="9"/>
        <v>553145-2</v>
      </c>
      <c r="E134" s="9" t="s">
        <v>133</v>
      </c>
      <c r="F134" s="2" t="s">
        <v>250</v>
      </c>
      <c r="G134" s="1">
        <v>100000</v>
      </c>
    </row>
    <row r="135" spans="1:7" ht="75">
      <c r="A135" s="9">
        <v>553145</v>
      </c>
      <c r="B135" s="10" t="s">
        <v>276</v>
      </c>
      <c r="C135" s="9">
        <f t="shared" si="8"/>
        <v>3</v>
      </c>
      <c r="D135" s="9" t="str">
        <f t="shared" si="9"/>
        <v>553145-3</v>
      </c>
      <c r="E135" s="2" t="s">
        <v>251</v>
      </c>
      <c r="F135" s="2" t="s">
        <v>252</v>
      </c>
      <c r="G135" s="1">
        <v>120000</v>
      </c>
    </row>
    <row r="136" spans="1:7" ht="105">
      <c r="A136" s="9">
        <v>553145</v>
      </c>
      <c r="B136" s="10" t="s">
        <v>276</v>
      </c>
      <c r="C136" s="9">
        <f t="shared" si="8"/>
        <v>4</v>
      </c>
      <c r="D136" s="9" t="str">
        <f t="shared" si="9"/>
        <v>553145-4</v>
      </c>
      <c r="E136" s="2" t="s">
        <v>297</v>
      </c>
      <c r="F136" s="2" t="s">
        <v>298</v>
      </c>
      <c r="G136" s="1">
        <v>100000</v>
      </c>
    </row>
    <row r="137" spans="1:7" ht="60">
      <c r="A137" s="9">
        <v>530373</v>
      </c>
      <c r="B137" s="9" t="s">
        <v>236</v>
      </c>
      <c r="C137" s="9">
        <f t="shared" si="8"/>
        <v>1</v>
      </c>
      <c r="D137" s="9" t="str">
        <f t="shared" si="9"/>
        <v>530373-1</v>
      </c>
      <c r="E137" s="9" t="s">
        <v>145</v>
      </c>
      <c r="F137" s="2" t="s">
        <v>246</v>
      </c>
      <c r="G137" s="1">
        <v>95000</v>
      </c>
    </row>
    <row r="138" spans="1:7" ht="30">
      <c r="A138" s="9">
        <v>530373</v>
      </c>
      <c r="B138" s="9" t="s">
        <v>236</v>
      </c>
      <c r="C138" s="9">
        <f t="shared" si="8"/>
        <v>2</v>
      </c>
      <c r="D138" s="9" t="str">
        <f t="shared" si="9"/>
        <v>530373-2</v>
      </c>
      <c r="E138" s="9" t="s">
        <v>68</v>
      </c>
      <c r="F138" s="2" t="s">
        <v>218</v>
      </c>
      <c r="G138" s="1">
        <f>300/12*Calculadora!D7</f>
        <v>87500</v>
      </c>
    </row>
    <row r="139" spans="1:7" ht="75">
      <c r="A139" s="9">
        <v>530373</v>
      </c>
      <c r="B139" s="9" t="s">
        <v>236</v>
      </c>
      <c r="C139" s="9">
        <f t="shared" si="8"/>
        <v>3</v>
      </c>
      <c r="D139" s="9" t="str">
        <f t="shared" si="9"/>
        <v>530373-3</v>
      </c>
      <c r="E139" s="9" t="s">
        <v>147</v>
      </c>
      <c r="F139" s="2" t="s">
        <v>247</v>
      </c>
      <c r="G139" s="1">
        <v>97500</v>
      </c>
    </row>
    <row r="140" spans="1:7" ht="60">
      <c r="A140" s="9">
        <v>530373</v>
      </c>
      <c r="B140" s="9" t="s">
        <v>236</v>
      </c>
      <c r="C140" s="9">
        <f t="shared" si="8"/>
        <v>4</v>
      </c>
      <c r="D140" s="9" t="str">
        <f t="shared" si="9"/>
        <v>530373-4</v>
      </c>
      <c r="E140" s="2" t="s">
        <v>248</v>
      </c>
      <c r="F140" s="2" t="s">
        <v>249</v>
      </c>
      <c r="G140" s="1">
        <v>100000</v>
      </c>
    </row>
    <row r="141" spans="1:7" ht="30">
      <c r="A141" s="9">
        <v>530373</v>
      </c>
      <c r="B141" s="9" t="s">
        <v>236</v>
      </c>
      <c r="C141" s="9">
        <f t="shared" si="8"/>
        <v>5</v>
      </c>
      <c r="D141" s="9" t="str">
        <f t="shared" si="9"/>
        <v>530373-5</v>
      </c>
      <c r="E141" s="2" t="s">
        <v>296</v>
      </c>
      <c r="F141" s="2" t="s">
        <v>299</v>
      </c>
      <c r="G141" s="21">
        <v>25000</v>
      </c>
    </row>
    <row r="142" spans="1:7" ht="60">
      <c r="A142" s="9">
        <v>552588</v>
      </c>
      <c r="B142" s="10" t="s">
        <v>36</v>
      </c>
      <c r="C142" s="9">
        <f t="shared" si="8"/>
        <v>1</v>
      </c>
      <c r="D142" s="9" t="str">
        <f t="shared" si="9"/>
        <v>552588-1</v>
      </c>
      <c r="E142" s="9" t="s">
        <v>145</v>
      </c>
      <c r="F142" s="2" t="s">
        <v>246</v>
      </c>
      <c r="G142" s="1">
        <v>95000</v>
      </c>
    </row>
    <row r="143" spans="1:7" ht="30">
      <c r="A143" s="9">
        <v>552588</v>
      </c>
      <c r="B143" s="10" t="s">
        <v>36</v>
      </c>
      <c r="C143" s="9">
        <f t="shared" si="8"/>
        <v>2</v>
      </c>
      <c r="D143" s="9" t="str">
        <f t="shared" si="9"/>
        <v>552588-2</v>
      </c>
      <c r="E143" s="9" t="s">
        <v>68</v>
      </c>
      <c r="F143" s="2" t="s">
        <v>218</v>
      </c>
      <c r="G143" s="1">
        <f>300/12*Calculadora!D7</f>
        <v>87500</v>
      </c>
    </row>
    <row r="144" spans="1:7" ht="75">
      <c r="A144" s="9">
        <v>552588</v>
      </c>
      <c r="B144" s="10" t="s">
        <v>36</v>
      </c>
      <c r="C144" s="9">
        <f t="shared" si="8"/>
        <v>3</v>
      </c>
      <c r="D144" s="9" t="str">
        <f t="shared" si="9"/>
        <v>552588-3</v>
      </c>
      <c r="E144" s="9" t="s">
        <v>147</v>
      </c>
      <c r="F144" s="2" t="s">
        <v>247</v>
      </c>
      <c r="G144" s="1">
        <v>97500</v>
      </c>
    </row>
    <row r="145" spans="1:7" ht="60">
      <c r="A145" s="9">
        <v>552588</v>
      </c>
      <c r="B145" s="10" t="s">
        <v>36</v>
      </c>
      <c r="C145" s="9">
        <f t="shared" si="8"/>
        <v>4</v>
      </c>
      <c r="D145" s="9" t="str">
        <f t="shared" si="9"/>
        <v>552588-4</v>
      </c>
      <c r="E145" s="2" t="s">
        <v>248</v>
      </c>
      <c r="F145" s="2" t="s">
        <v>249</v>
      </c>
      <c r="G145" s="1">
        <v>100000</v>
      </c>
    </row>
    <row r="146" spans="1:7" ht="60">
      <c r="A146" s="9">
        <v>409985</v>
      </c>
      <c r="B146" s="10" t="s">
        <v>13</v>
      </c>
      <c r="C146" s="9">
        <f t="shared" si="8"/>
        <v>1</v>
      </c>
      <c r="D146" s="9" t="str">
        <f t="shared" si="9"/>
        <v>409985-1</v>
      </c>
      <c r="E146" s="9" t="s">
        <v>145</v>
      </c>
      <c r="F146" s="2" t="s">
        <v>246</v>
      </c>
      <c r="G146" s="1">
        <v>95000</v>
      </c>
    </row>
    <row r="147" spans="1:7" ht="30">
      <c r="A147" s="9">
        <v>409985</v>
      </c>
      <c r="B147" s="10" t="s">
        <v>13</v>
      </c>
      <c r="C147" s="9">
        <f t="shared" si="8"/>
        <v>2</v>
      </c>
      <c r="D147" s="9" t="str">
        <f t="shared" si="9"/>
        <v>409985-2</v>
      </c>
      <c r="E147" s="9" t="s">
        <v>68</v>
      </c>
      <c r="F147" s="2" t="s">
        <v>218</v>
      </c>
      <c r="G147" s="1">
        <f>300/12*Calculadora!D7</f>
        <v>87500</v>
      </c>
    </row>
    <row r="148" spans="1:7" ht="75">
      <c r="A148" s="9">
        <v>409985</v>
      </c>
      <c r="B148" s="10" t="s">
        <v>13</v>
      </c>
      <c r="C148" s="9">
        <f t="shared" si="8"/>
        <v>3</v>
      </c>
      <c r="D148" s="9" t="str">
        <f t="shared" si="9"/>
        <v>409985-3</v>
      </c>
      <c r="E148" s="9" t="s">
        <v>147</v>
      </c>
      <c r="F148" s="2" t="s">
        <v>247</v>
      </c>
      <c r="G148" s="1">
        <v>97500</v>
      </c>
    </row>
    <row r="149" spans="1:7" ht="60">
      <c r="A149" s="9">
        <v>409985</v>
      </c>
      <c r="B149" s="10" t="s">
        <v>13</v>
      </c>
      <c r="C149" s="9">
        <f t="shared" ref="C149:C153" si="10">IF(A149=A148,C148+1,1)</f>
        <v>4</v>
      </c>
      <c r="D149" s="9" t="str">
        <f t="shared" si="9"/>
        <v>409985-4</v>
      </c>
      <c r="E149" s="2" t="s">
        <v>248</v>
      </c>
      <c r="F149" s="2" t="s">
        <v>249</v>
      </c>
      <c r="G149" s="1">
        <v>100000</v>
      </c>
    </row>
    <row r="150" spans="1:7" ht="60">
      <c r="A150" s="9">
        <v>547480</v>
      </c>
      <c r="B150" s="10" t="s">
        <v>237</v>
      </c>
      <c r="C150" s="9">
        <f t="shared" si="10"/>
        <v>1</v>
      </c>
      <c r="D150" s="9" t="str">
        <f t="shared" ref="D150:D153" si="11">CONCATENATE(A150,"-",C150)</f>
        <v>547480-1</v>
      </c>
      <c r="E150" s="9" t="s">
        <v>145</v>
      </c>
      <c r="F150" s="2" t="s">
        <v>246</v>
      </c>
      <c r="G150" s="1">
        <v>95000</v>
      </c>
    </row>
    <row r="151" spans="1:7" ht="30">
      <c r="A151" s="9">
        <v>547480</v>
      </c>
      <c r="B151" s="10" t="s">
        <v>237</v>
      </c>
      <c r="C151" s="9">
        <f t="shared" si="10"/>
        <v>2</v>
      </c>
      <c r="D151" s="9" t="str">
        <f t="shared" si="11"/>
        <v>547480-2</v>
      </c>
      <c r="E151" s="9" t="s">
        <v>68</v>
      </c>
      <c r="F151" s="2" t="s">
        <v>218</v>
      </c>
      <c r="G151" s="1">
        <f>300/12*Calculadora!D7</f>
        <v>87500</v>
      </c>
    </row>
    <row r="152" spans="1:7" ht="75">
      <c r="A152" s="9">
        <v>547480</v>
      </c>
      <c r="B152" s="10" t="s">
        <v>237</v>
      </c>
      <c r="C152" s="9">
        <f t="shared" si="10"/>
        <v>3</v>
      </c>
      <c r="D152" s="9" t="str">
        <f t="shared" si="11"/>
        <v>547480-3</v>
      </c>
      <c r="E152" s="9" t="s">
        <v>147</v>
      </c>
      <c r="F152" s="2" t="s">
        <v>247</v>
      </c>
      <c r="G152" s="1">
        <v>97500</v>
      </c>
    </row>
    <row r="153" spans="1:7" ht="60">
      <c r="A153" s="9">
        <v>547480</v>
      </c>
      <c r="B153" s="10" t="s">
        <v>237</v>
      </c>
      <c r="C153" s="9">
        <f t="shared" si="10"/>
        <v>4</v>
      </c>
      <c r="D153" s="9" t="str">
        <f t="shared" si="11"/>
        <v>547480-4</v>
      </c>
      <c r="E153" s="2" t="s">
        <v>248</v>
      </c>
      <c r="F153" s="2" t="s">
        <v>249</v>
      </c>
      <c r="G153" s="1">
        <v>100000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categoriaproducto xmlns="efe1e350-77e8-442b-a06f-79be1ab2b72e">202</categoriaproducto>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253B6270A11894A8E17C9B576D7E285" ma:contentTypeVersion="11" ma:contentTypeDescription="Crear nuevo documento." ma:contentTypeScope="" ma:versionID="397d2f9a062453b1a0bee5ca2356e726">
  <xsd:schema xmlns:xsd="http://www.w3.org/2001/XMLSchema" xmlns:xs="http://www.w3.org/2001/XMLSchema" xmlns:p="http://schemas.microsoft.com/office/2006/metadata/properties" xmlns:ns1="http://schemas.microsoft.com/sharepoint/v3" xmlns:ns2="4c66dd48-cc3f-4696-9df0-4e88607fb798" xmlns:ns3="efe1e350-77e8-442b-a06f-79be1ab2b72e" xmlns:ns4="fc65e13f-414e-430b-b922-98692781550f" targetNamespace="http://schemas.microsoft.com/office/2006/metadata/properties" ma:root="true" ma:fieldsID="c7056d814b5bbd7c57551f0659addc3c" ns1:_="" ns2:_="" ns3:_="" ns4:_="">
    <xsd:import namespace="http://schemas.microsoft.com/sharepoint/v3"/>
    <xsd:import namespace="4c66dd48-cc3f-4696-9df0-4e88607fb798"/>
    <xsd:import namespace="efe1e350-77e8-442b-a06f-79be1ab2b72e"/>
    <xsd:import namespace="fc65e13f-414e-430b-b922-98692781550f"/>
    <xsd:element name="properties">
      <xsd:complexType>
        <xsd:sequence>
          <xsd:element name="documentManagement">
            <xsd:complexType>
              <xsd:all>
                <xsd:element ref="ns2:MediaServiceMetadata" minOccurs="0"/>
                <xsd:element ref="ns2:MediaServiceFastMetadata" minOccurs="0"/>
                <xsd:element ref="ns2:MediaServiceAutoTags" minOccurs="0"/>
                <xsd:element ref="ns3:categoriaproducto"/>
                <xsd:element ref="ns4:SharedWithUsers" minOccurs="0"/>
                <xsd:element ref="ns4: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Propiedades de la Directiva de cumplimiento unificado" ma:hidden="true" ma:internalName="_ip_UnifiedCompliancePolicyProperties">
      <xsd:simpleType>
        <xsd:restriction base="dms:Note"/>
      </xsd:simpleType>
    </xsd:element>
    <xsd:element name="_ip_UnifiedCompliancePolicyUIAction" ma:index="15"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66dd48-cc3f-4696-9df0-4e88607fb7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e1e350-77e8-442b-a06f-79be1ab2b72e" elementFormDefault="qualified">
    <xsd:import namespace="http://schemas.microsoft.com/office/2006/documentManagement/types"/>
    <xsd:import namespace="http://schemas.microsoft.com/office/infopath/2007/PartnerControls"/>
    <xsd:element name="categoriaproducto" ma:index="11" ma:displayName="Categoría producto" ma:list="{681ba9c1-df89-4bd1-932b-367c1f10feec}" ma:internalName="categoriaproducto" ma:showField="Title" ma:web="efe1e350-77e8-442b-a06f-79be1ab2b72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fc65e13f-414e-430b-b922-98692781550f"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403143-02D6-4E2B-8058-05024B7569F9}">
  <ds:schemaRefs>
    <ds:schemaRef ds:uri="http://www.w3.org/XML/1998/namespace"/>
    <ds:schemaRef ds:uri="http://schemas.microsoft.com/office/infopath/2007/PartnerControls"/>
    <ds:schemaRef ds:uri="4c66dd48-cc3f-4696-9df0-4e88607fb798"/>
    <ds:schemaRef ds:uri="http://schemas.openxmlformats.org/package/2006/metadata/core-properties"/>
    <ds:schemaRef ds:uri="http://purl.org/dc/terms/"/>
    <ds:schemaRef ds:uri="http://purl.org/dc/dcmitype/"/>
    <ds:schemaRef ds:uri="http://schemas.microsoft.com/office/2006/metadata/properties"/>
    <ds:schemaRef ds:uri="http://purl.org/dc/elements/1.1/"/>
    <ds:schemaRef ds:uri="http://schemas.microsoft.com/office/2006/documentManagement/types"/>
    <ds:schemaRef ds:uri="fc65e13f-414e-430b-b922-98692781550f"/>
    <ds:schemaRef ds:uri="efe1e350-77e8-442b-a06f-79be1ab2b72e"/>
    <ds:schemaRef ds:uri="http://schemas.microsoft.com/sharepoint/v3"/>
  </ds:schemaRefs>
</ds:datastoreItem>
</file>

<file path=customXml/itemProps2.xml><?xml version="1.0" encoding="utf-8"?>
<ds:datastoreItem xmlns:ds="http://schemas.openxmlformats.org/officeDocument/2006/customXml" ds:itemID="{7CF15545-EE13-4486-B747-1C023F11D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c66dd48-cc3f-4696-9df0-4e88607fb798"/>
    <ds:schemaRef ds:uri="efe1e350-77e8-442b-a06f-79be1ab2b72e"/>
    <ds:schemaRef ds:uri="fc65e13f-414e-430b-b922-9869278155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1A47D0-EDF1-41D0-B622-C7D9CB622D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Calculadora</vt:lpstr>
      <vt:lpstr>Parametros</vt:lpstr>
      <vt:lpstr>Caracteristicas TDC</vt:lpstr>
      <vt:lpstr>Beneficios</vt:lpstr>
      <vt:lpstr>Seguros TDC</vt:lpstr>
      <vt:lpstr>Asistencias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Calculadora para monetización de beneficios de tarjetas de crédito</dc:title>
  <dc:creator>Maria Daniela Correa Restrepo</dc:creator>
  <cp:lastModifiedBy>Maria Daniela Correa Restrepo</cp:lastModifiedBy>
  <dcterms:created xsi:type="dcterms:W3CDTF">2020-04-01T16:39:03Z</dcterms:created>
  <dcterms:modified xsi:type="dcterms:W3CDTF">2022-05-17T14:30:12Z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0x0101002253B6270A11894A8E17C9B576D7E285</vt:lpwstr>
  </property>
</Properties>
</file>