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codeName="ThisWorkbook" defaultThemeVersion="124226"/>
  <mc:AlternateContent xmlns:mc="http://schemas.openxmlformats.org/markup-compatibility/2006">
    <mc:Choice Requires="x15">
      <x15ac:absPath xmlns:x15ac="http://schemas.microsoft.com/office/spreadsheetml/2010/11/ac" url="https://uweacuk-my.sharepoint.com/personal/adriaan_vanniekerk_uwe_ac_uk/Documents/DynamicDesignEngineers/"/>
    </mc:Choice>
  </mc:AlternateContent>
  <xr:revisionPtr revIDLastSave="0" documentId="8_{8916492D-5F10-409E-B67D-7F653535FCD2}" xr6:coauthVersionLast="36" xr6:coauthVersionMax="36" xr10:uidLastSave="{00000000-0000-0000-0000-000000000000}"/>
  <workbookProtection workbookPassword="D45D" lockStructure="1"/>
  <bookViews>
    <workbookView xWindow="0" yWindow="0" windowWidth="25200" windowHeight="11250" tabRatio="677" activeTab="1" xr2:uid="{00000000-000D-0000-FFFF-FFFF00000000}"/>
  </bookViews>
  <sheets>
    <sheet name="Guidelines" sheetId="9" r:id="rId1"/>
    <sheet name="Project Details" sheetId="4" r:id="rId2"/>
    <sheet name="Staff Analysis (DA)" sheetId="10" r:id="rId3"/>
    <sheet name="WLM" sheetId="13" r:id="rId4"/>
    <sheet name="FTE Calculators" sheetId="6" r:id="rId5"/>
    <sheet name="Day Rates" sheetId="15" state="hidden" r:id="rId6"/>
    <sheet name="lists" sheetId="2" state="hidden" r:id="rId7"/>
    <sheet name="fte costs" sheetId="8" state="hidden" r:id="rId8"/>
    <sheet name="staff calcs" sheetId="5" state="hidden" r:id="rId9"/>
    <sheet name="wlm calcs" sheetId="14" state="hidden" r:id="rId10"/>
  </sheets>
  <externalReferences>
    <externalReference r:id="rId11"/>
  </externalReferences>
  <definedNames>
    <definedName name="ACE">lists!$O$2:$O$7</definedName>
    <definedName name="allstaff">lists!$E$2:$E$11</definedName>
    <definedName name="allstafffec">lists!$E$2:$F$11</definedName>
    <definedName name="basic">'staff calcs'!$C$10:$K$22</definedName>
    <definedName name="basiccost">'staff calcs'!$B$153:$G$163</definedName>
    <definedName name="CAHE">lists!$O$2:$O$7</definedName>
    <definedName name="category">lists!$B$56:$B$58</definedName>
    <definedName name="convert">'FTE Calculators'!$AI$20:$AN$26</definedName>
    <definedName name="convert2">'FTE Calculators'!$AI$29:$AN$33</definedName>
    <definedName name="CS">lists!$S$2:$S$3</definedName>
    <definedName name="currency">lists!$B$68:$B$71</definedName>
    <definedName name="dates">'staff calcs'!$C$55:$K$67</definedName>
    <definedName name="Department">lists!$L$2:$L$19</definedName>
    <definedName name="dept">lists!$K$2:$K$8</definedName>
    <definedName name="facshort">lists!$K$2:$M$8</definedName>
    <definedName name="Faculty">lists!$K$2:$K$8</definedName>
    <definedName name="Facultyshort">lists!$M$2:$M$8</definedName>
    <definedName name="FBL">lists!$N$2:$N$6</definedName>
    <definedName name="FET">lists!$P$2:$P$7</definedName>
    <definedName name="FHS">lists!$Q$2:$Q$6</definedName>
    <definedName name="fscheme">lists!$B$37:$B$50</definedName>
    <definedName name="ftecalc">lists!$K$33:$L$36</definedName>
    <definedName name="ftecosts">'fte costs'!$B$38:$G$42</definedName>
    <definedName name="ftedates">'fte costs'!$F$4:$N$10</definedName>
    <definedName name="funder">lists!#REF!</definedName>
    <definedName name="grade">lists!$I$1:$I$4</definedName>
    <definedName name="gradesp">lists!$B$11:$B$32</definedName>
    <definedName name="HAS">lists!$Q$2:$Q$6</definedName>
    <definedName name="HLS">lists!$Q$2:$Q$7</definedName>
    <definedName name="incstaff">lists!$B$2:$B$24</definedName>
    <definedName name="incstafffec">lists!$B$2:$C$32</definedName>
    <definedName name="incstaffresearch">[1]lists!$B$2:$D$34</definedName>
    <definedName name="ni">'staff calcs'!$C$40:$K$52</definedName>
    <definedName name="nicost">'staff calcs'!$B$183:$G$193</definedName>
    <definedName name="nonpay">lists!$B$74:$B$78</definedName>
    <definedName name="OLE_LINK1" localSheetId="0">Guidelines!$A$39</definedName>
    <definedName name="overtime">lists!$K$44:$K$47</definedName>
    <definedName name="overtimeb">lists!$K$45:$K$47</definedName>
    <definedName name="overtimec">lists!$K$46:$K$47</definedName>
    <definedName name="overtimed">lists!$K$47</definedName>
    <definedName name="pension">'staff calcs'!$C$25:$K$37</definedName>
    <definedName name="pensioncost">'staff calcs'!$B$168:$G$178</definedName>
    <definedName name="pertime">lists!$K$38:$K$41</definedName>
    <definedName name="pertimea">lists!$K$38:$K$41</definedName>
    <definedName name="pertimeb">lists!$K$39:$K$41</definedName>
    <definedName name="pertimec">lists!$K$40:$K$41</definedName>
    <definedName name="pertimed">lists!$K$41</definedName>
    <definedName name="_xlnm.Print_Area" localSheetId="4">'FTE Calculators'!$A$2:$T$28</definedName>
    <definedName name="_xlnm.Print_Area" localSheetId="0">Guidelines!$A$1:$A$124</definedName>
    <definedName name="_xlnm.Print_Area" localSheetId="1">'Project Details'!$A$1:$R$106</definedName>
    <definedName name="_xlnm.Print_Area" localSheetId="8">'staff calcs'!$B$4:$M$67</definedName>
    <definedName name="_xlnm.Print_Area" localSheetId="3">WLM!$A$1:$AB$44</definedName>
    <definedName name="RBI">lists!$R$2:$R$3</definedName>
    <definedName name="staffcost">'staff calcs'!$B$138:$G$148</definedName>
    <definedName name="subcategory">lists!$B$62:$B$65</definedName>
    <definedName name="time">lists!$K$33:$K$36</definedName>
    <definedName name="VAT">lists!$K$25:$K$30</definedName>
    <definedName name="VATSTATUS">lists!$B$86:$B$92</definedName>
    <definedName name="VATSTATUS2">lists!$B$87:$B$92</definedName>
    <definedName name="wlmstaff">lists!$K$51:$L$72</definedName>
    <definedName name="yn">lists!$I$2:$I$3</definedName>
  </definedNames>
  <calcPr calcId="191029"/>
</workbook>
</file>

<file path=xl/calcChain.xml><?xml version="1.0" encoding="utf-8"?>
<calcChain xmlns="http://schemas.openxmlformats.org/spreadsheetml/2006/main">
  <c r="B5" i="15" l="1"/>
  <c r="B6" i="15"/>
  <c r="B4" i="15"/>
  <c r="B3" i="15"/>
  <c r="A5" i="15"/>
  <c r="A6" i="15"/>
  <c r="A4" i="15"/>
  <c r="A3" i="15"/>
  <c r="B7" i="15" l="1"/>
  <c r="C57" i="5" l="1"/>
  <c r="G9" i="8"/>
  <c r="H9" i="8" s="1"/>
  <c r="I9" i="8" s="1"/>
  <c r="J9" i="8" s="1"/>
  <c r="K9" i="8" s="1"/>
  <c r="L9" i="8" s="1"/>
  <c r="M9" i="8" s="1"/>
  <c r="N9" i="8" s="1"/>
  <c r="G8" i="8"/>
  <c r="H8" i="8" s="1"/>
  <c r="I8" i="8" s="1"/>
  <c r="J8" i="8" s="1"/>
  <c r="K8" i="8" s="1"/>
  <c r="L8" i="8" s="1"/>
  <c r="M8" i="8" s="1"/>
  <c r="N8" i="8" s="1"/>
  <c r="G7" i="8"/>
  <c r="H7" i="8" s="1"/>
  <c r="I7" i="8" s="1"/>
  <c r="J7" i="8" s="1"/>
  <c r="K7" i="8" s="1"/>
  <c r="L7" i="8" s="1"/>
  <c r="M7" i="8" s="1"/>
  <c r="N7" i="8" s="1"/>
  <c r="G6" i="8"/>
  <c r="H6" i="8" s="1"/>
  <c r="I6" i="8" s="1"/>
  <c r="J6" i="8" s="1"/>
  <c r="K6" i="8" s="1"/>
  <c r="L6" i="8" s="1"/>
  <c r="M6" i="8" s="1"/>
  <c r="N6" i="8" s="1"/>
  <c r="C66" i="5" l="1"/>
  <c r="C25" i="5" l="1"/>
  <c r="D25" i="5"/>
  <c r="E25" i="5"/>
  <c r="F25" i="5"/>
  <c r="G25" i="5"/>
  <c r="H25" i="5"/>
  <c r="I25" i="5"/>
  <c r="J25" i="5"/>
  <c r="K25" i="5"/>
  <c r="C26" i="5"/>
  <c r="D26" i="5"/>
  <c r="E26" i="5"/>
  <c r="F26" i="5"/>
  <c r="G26" i="5"/>
  <c r="H26" i="5"/>
  <c r="I26" i="5"/>
  <c r="J26" i="5"/>
  <c r="K26" i="5"/>
  <c r="J52" i="5" l="1"/>
  <c r="K52" i="5" s="1"/>
  <c r="D37" i="5"/>
  <c r="E37" i="5" l="1"/>
  <c r="F37" i="5" s="1"/>
  <c r="G37" i="5" s="1"/>
  <c r="B139" i="5"/>
  <c r="B140" i="5"/>
  <c r="B141" i="5"/>
  <c r="B142" i="5"/>
  <c r="B143" i="5"/>
  <c r="B144" i="5"/>
  <c r="B145" i="5"/>
  <c r="B146" i="5"/>
  <c r="B147" i="5"/>
  <c r="B148" i="5"/>
  <c r="B138" i="5"/>
  <c r="B60" i="5"/>
  <c r="B61" i="5"/>
  <c r="B62" i="5"/>
  <c r="B63" i="5"/>
  <c r="B64" i="5"/>
  <c r="B65" i="5"/>
  <c r="B59" i="5"/>
  <c r="B35" i="5"/>
  <c r="B31" i="5"/>
  <c r="B30" i="5"/>
  <c r="B29" i="5"/>
  <c r="D55" i="5"/>
  <c r="E55" i="5"/>
  <c r="F55" i="5"/>
  <c r="G55" i="5"/>
  <c r="H55" i="5"/>
  <c r="I55" i="5"/>
  <c r="J55" i="5"/>
  <c r="K55" i="5"/>
  <c r="D56" i="5"/>
  <c r="E56" i="5"/>
  <c r="F56" i="5"/>
  <c r="G56" i="5"/>
  <c r="H56" i="5"/>
  <c r="I56" i="5"/>
  <c r="J56" i="5"/>
  <c r="K56" i="5"/>
  <c r="D40" i="5"/>
  <c r="E40" i="5"/>
  <c r="F40" i="5"/>
  <c r="G40" i="5"/>
  <c r="H40" i="5"/>
  <c r="I40" i="5"/>
  <c r="J40" i="5"/>
  <c r="K40" i="5"/>
  <c r="D41" i="5"/>
  <c r="E41" i="5"/>
  <c r="F41" i="5"/>
  <c r="G41" i="5"/>
  <c r="H41" i="5"/>
  <c r="I41" i="5"/>
  <c r="J41" i="5"/>
  <c r="K41" i="5"/>
  <c r="C55" i="5"/>
  <c r="M55" i="5" s="1"/>
  <c r="C40" i="5"/>
  <c r="M40" i="5" s="1"/>
  <c r="M25" i="5"/>
  <c r="C4" i="5"/>
  <c r="C102" i="5" s="1"/>
  <c r="M26" i="5"/>
  <c r="C41" i="5"/>
  <c r="M41" i="5" s="1"/>
  <c r="C56" i="5"/>
  <c r="M56" i="5" s="1"/>
  <c r="D22" i="5"/>
  <c r="E22" i="5" s="1"/>
  <c r="D21" i="5"/>
  <c r="D36" i="5" s="1"/>
  <c r="E36" i="5" s="1"/>
  <c r="F36" i="5" s="1"/>
  <c r="G36" i="5" s="1"/>
  <c r="H36" i="5" s="1"/>
  <c r="I36" i="5" s="1"/>
  <c r="J36" i="5" s="1"/>
  <c r="K36" i="5" s="1"/>
  <c r="D20" i="5"/>
  <c r="D19" i="5"/>
  <c r="D18" i="5"/>
  <c r="D17" i="5"/>
  <c r="D16" i="5"/>
  <c r="D15" i="5"/>
  <c r="D14" i="5"/>
  <c r="D13" i="5"/>
  <c r="D12" i="5"/>
  <c r="E12" i="5" s="1"/>
  <c r="F12" i="5" s="1"/>
  <c r="K12" i="4"/>
  <c r="L40" i="13"/>
  <c r="N40" i="13" s="1"/>
  <c r="A94" i="14" s="1"/>
  <c r="I40" i="13"/>
  <c r="P40" i="13" s="1"/>
  <c r="R40" i="13" s="1"/>
  <c r="G40" i="13"/>
  <c r="C40" i="13"/>
  <c r="B40" i="13"/>
  <c r="L38" i="13"/>
  <c r="M38" i="13" s="1"/>
  <c r="I38" i="13"/>
  <c r="G38" i="13"/>
  <c r="C38" i="13"/>
  <c r="B38" i="13"/>
  <c r="L36" i="13"/>
  <c r="M36" i="13" s="1"/>
  <c r="I36" i="13"/>
  <c r="A67" i="14" s="1"/>
  <c r="G36" i="13"/>
  <c r="C36" i="13"/>
  <c r="B36" i="13"/>
  <c r="L34" i="13"/>
  <c r="M34" i="13" s="1"/>
  <c r="I34" i="13"/>
  <c r="A55" i="14" s="1"/>
  <c r="G34" i="13"/>
  <c r="C34" i="13"/>
  <c r="B34" i="13"/>
  <c r="B2" i="14"/>
  <c r="L4" i="14" s="1"/>
  <c r="A2" i="14"/>
  <c r="L3" i="14" s="1"/>
  <c r="N3" i="14" s="1"/>
  <c r="M6" i="14"/>
  <c r="N4" i="14"/>
  <c r="L23" i="13"/>
  <c r="N23" i="13" s="1"/>
  <c r="A46" i="14" s="1"/>
  <c r="L21" i="13"/>
  <c r="N21" i="13" s="1"/>
  <c r="A34" i="14" s="1"/>
  <c r="L19" i="13"/>
  <c r="M19" i="13" s="1"/>
  <c r="I23" i="13"/>
  <c r="T23" i="13" s="1"/>
  <c r="V23" i="13" s="1"/>
  <c r="G23" i="13"/>
  <c r="C23" i="13"/>
  <c r="B23" i="13"/>
  <c r="I21" i="13"/>
  <c r="A31" i="14" s="1"/>
  <c r="G21" i="13"/>
  <c r="C21" i="13"/>
  <c r="B21" i="13"/>
  <c r="I19" i="13"/>
  <c r="A19" i="14" s="1"/>
  <c r="G19" i="13"/>
  <c r="C19" i="13"/>
  <c r="B19" i="13"/>
  <c r="L17" i="13"/>
  <c r="M17" i="13" s="1"/>
  <c r="N17" i="13" s="1"/>
  <c r="A10" i="14" s="1"/>
  <c r="I17" i="13"/>
  <c r="G17" i="13"/>
  <c r="C17" i="13"/>
  <c r="B17" i="13"/>
  <c r="H9" i="13"/>
  <c r="C9" i="13"/>
  <c r="M7" i="13"/>
  <c r="C7" i="13"/>
  <c r="G25" i="10"/>
  <c r="G23" i="10"/>
  <c r="G21" i="10"/>
  <c r="C25" i="10"/>
  <c r="C23" i="10"/>
  <c r="C21" i="10"/>
  <c r="G19" i="10"/>
  <c r="M44" i="5"/>
  <c r="M45" i="5"/>
  <c r="M46" i="5"/>
  <c r="M47" i="5"/>
  <c r="M48" i="5"/>
  <c r="M49" i="5"/>
  <c r="M50" i="5"/>
  <c r="M51" i="5"/>
  <c r="M43" i="5"/>
  <c r="M42" i="5"/>
  <c r="M12" i="5"/>
  <c r="M27" i="5"/>
  <c r="M29" i="5"/>
  <c r="M30" i="5"/>
  <c r="M15" i="5"/>
  <c r="M31" i="5"/>
  <c r="M16" i="5"/>
  <c r="M32" i="5"/>
  <c r="M33" i="5"/>
  <c r="M18" i="5"/>
  <c r="M34" i="5"/>
  <c r="M35" i="5"/>
  <c r="M36" i="5"/>
  <c r="M28" i="5"/>
  <c r="M13" i="5"/>
  <c r="M14" i="5"/>
  <c r="M17" i="5"/>
  <c r="M19" i="5"/>
  <c r="M20" i="5"/>
  <c r="M21" i="5"/>
  <c r="M10" i="5"/>
  <c r="M11" i="5"/>
  <c r="K18" i="4"/>
  <c r="I19" i="10"/>
  <c r="I21" i="10"/>
  <c r="N21" i="10" s="1"/>
  <c r="I23" i="10"/>
  <c r="P23" i="10" s="1"/>
  <c r="I25" i="10"/>
  <c r="N25" i="10" s="1"/>
  <c r="M28" i="4"/>
  <c r="T28" i="4" s="1"/>
  <c r="M30" i="4"/>
  <c r="V30" i="4" s="1"/>
  <c r="M32" i="4"/>
  <c r="V32" i="4" s="1"/>
  <c r="M34" i="4"/>
  <c r="U34" i="4" s="1"/>
  <c r="M45" i="4"/>
  <c r="V45" i="4" s="1"/>
  <c r="M47" i="4"/>
  <c r="U47" i="4" s="1"/>
  <c r="M49" i="4"/>
  <c r="V49" i="4" s="1"/>
  <c r="M51" i="4"/>
  <c r="V51" i="4" s="1"/>
  <c r="P9" i="4"/>
  <c r="F4" i="5" s="1"/>
  <c r="W45" i="4"/>
  <c r="W47" i="4"/>
  <c r="W49" i="4"/>
  <c r="W51" i="4"/>
  <c r="C4" i="8"/>
  <c r="C14" i="8" s="1"/>
  <c r="O26" i="4"/>
  <c r="P80" i="4"/>
  <c r="P82" i="4" s="1"/>
  <c r="G40" i="8"/>
  <c r="F40" i="8"/>
  <c r="E40" i="8"/>
  <c r="D40" i="8"/>
  <c r="M67" i="5"/>
  <c r="C67" i="5"/>
  <c r="C65" i="5"/>
  <c r="Y51" i="4"/>
  <c r="Y49" i="4"/>
  <c r="Y47" i="4"/>
  <c r="Y45" i="4"/>
  <c r="X45" i="4"/>
  <c r="X47" i="4"/>
  <c r="X49" i="4"/>
  <c r="X51" i="4"/>
  <c r="J25" i="6"/>
  <c r="P20" i="6" s="1"/>
  <c r="L22" i="6" s="1"/>
  <c r="R24" i="6" s="1"/>
  <c r="P22" i="6"/>
  <c r="S14" i="6"/>
  <c r="P14" i="6"/>
  <c r="S8" i="6"/>
  <c r="C19" i="10"/>
  <c r="N7" i="10"/>
  <c r="H9" i="10"/>
  <c r="C9" i="10"/>
  <c r="C7" i="10"/>
  <c r="L25" i="10"/>
  <c r="V25" i="10" s="1"/>
  <c r="L23" i="10"/>
  <c r="L21" i="10"/>
  <c r="V21" i="10" s="1"/>
  <c r="L19" i="10"/>
  <c r="N43" i="4"/>
  <c r="L32" i="13" s="1"/>
  <c r="Q45" i="4"/>
  <c r="C4" i="15" s="1"/>
  <c r="Q47" i="4"/>
  <c r="C5" i="15" s="1"/>
  <c r="E5" i="15" s="1"/>
  <c r="F5" i="15" s="1"/>
  <c r="G5" i="15" s="1"/>
  <c r="Q49" i="4"/>
  <c r="C6" i="15" s="1"/>
  <c r="Q51" i="4"/>
  <c r="B25" i="10"/>
  <c r="B23" i="10"/>
  <c r="B21" i="10"/>
  <c r="B19" i="10"/>
  <c r="C64" i="5"/>
  <c r="C63" i="5"/>
  <c r="C62" i="5"/>
  <c r="C61" i="5"/>
  <c r="C60" i="5"/>
  <c r="C59" i="5"/>
  <c r="C58" i="5"/>
  <c r="N70" i="4"/>
  <c r="N66" i="4"/>
  <c r="N36" i="4"/>
  <c r="T21" i="13" l="1"/>
  <c r="V21" i="13" s="1"/>
  <c r="A7" i="14"/>
  <c r="N19" i="13"/>
  <c r="A22" i="14" s="1"/>
  <c r="C6" i="5"/>
  <c r="M102" i="5" s="1"/>
  <c r="M9" i="13"/>
  <c r="I4" i="13" s="1"/>
  <c r="P23" i="13"/>
  <c r="R23" i="13" s="1"/>
  <c r="X23" i="13" s="1"/>
  <c r="A43" i="14"/>
  <c r="A79" i="14"/>
  <c r="N9" i="10"/>
  <c r="M9" i="10" s="1"/>
  <c r="C108" i="5"/>
  <c r="F108" i="5" s="1"/>
  <c r="U30" i="4"/>
  <c r="P21" i="10"/>
  <c r="M40" i="13"/>
  <c r="U51" i="4"/>
  <c r="R25" i="10"/>
  <c r="P25" i="10"/>
  <c r="L17" i="10"/>
  <c r="T49" i="4"/>
  <c r="A91" i="14"/>
  <c r="T51" i="4"/>
  <c r="T30" i="4"/>
  <c r="M4" i="14"/>
  <c r="C126" i="5"/>
  <c r="F126" i="5" s="1"/>
  <c r="P19" i="13"/>
  <c r="R19" i="13" s="1"/>
  <c r="U32" i="4"/>
  <c r="U49" i="4"/>
  <c r="N34" i="13"/>
  <c r="A58" i="14" s="1"/>
  <c r="T19" i="13"/>
  <c r="V19" i="13" s="1"/>
  <c r="P21" i="13"/>
  <c r="R21" i="13" s="1"/>
  <c r="X21" i="13" s="1"/>
  <c r="M59" i="5"/>
  <c r="T32" i="4"/>
  <c r="M66" i="5"/>
  <c r="E14" i="5"/>
  <c r="F14" i="5" s="1"/>
  <c r="D29" i="5"/>
  <c r="E29" i="5" s="1"/>
  <c r="F29" i="5" s="1"/>
  <c r="G29" i="5" s="1"/>
  <c r="H29" i="5" s="1"/>
  <c r="I29" i="5" s="1"/>
  <c r="J29" i="5" s="1"/>
  <c r="K29" i="5" s="1"/>
  <c r="E18" i="5"/>
  <c r="F18" i="5" s="1"/>
  <c r="D33" i="5"/>
  <c r="E33" i="5" s="1"/>
  <c r="F33" i="5" s="1"/>
  <c r="G33" i="5" s="1"/>
  <c r="H33" i="5" s="1"/>
  <c r="I33" i="5" s="1"/>
  <c r="J33" i="5" s="1"/>
  <c r="K33" i="5" s="1"/>
  <c r="D28" i="5"/>
  <c r="E28" i="5" s="1"/>
  <c r="F28" i="5" s="1"/>
  <c r="G28" i="5" s="1"/>
  <c r="H28" i="5" s="1"/>
  <c r="I28" i="5" s="1"/>
  <c r="J28" i="5" s="1"/>
  <c r="K28" i="5" s="1"/>
  <c r="E17" i="5"/>
  <c r="F17" i="5" s="1"/>
  <c r="D32" i="5"/>
  <c r="E32" i="5" s="1"/>
  <c r="F32" i="5" s="1"/>
  <c r="G32" i="5" s="1"/>
  <c r="H32" i="5" s="1"/>
  <c r="I32" i="5" s="1"/>
  <c r="J32" i="5" s="1"/>
  <c r="K32" i="5" s="1"/>
  <c r="M23" i="13"/>
  <c r="T34" i="4"/>
  <c r="M60" i="5"/>
  <c r="E15" i="5"/>
  <c r="F15" i="5" s="1"/>
  <c r="D30" i="5"/>
  <c r="E30" i="5" s="1"/>
  <c r="F30" i="5" s="1"/>
  <c r="G30" i="5" s="1"/>
  <c r="H30" i="5" s="1"/>
  <c r="I30" i="5" s="1"/>
  <c r="J30" i="5" s="1"/>
  <c r="K30" i="5" s="1"/>
  <c r="D34" i="5"/>
  <c r="E34" i="5" s="1"/>
  <c r="F34" i="5" s="1"/>
  <c r="G34" i="5" s="1"/>
  <c r="H34" i="5" s="1"/>
  <c r="I34" i="5" s="1"/>
  <c r="J34" i="5" s="1"/>
  <c r="K34" i="5" s="1"/>
  <c r="V47" i="4"/>
  <c r="D27" i="5"/>
  <c r="E27" i="5" s="1"/>
  <c r="F27" i="5" s="1"/>
  <c r="G27" i="5" s="1"/>
  <c r="H27" i="5" s="1"/>
  <c r="I27" i="5" s="1"/>
  <c r="J27" i="5" s="1"/>
  <c r="K27" i="5" s="1"/>
  <c r="E16" i="5"/>
  <c r="F16" i="5" s="1"/>
  <c r="D31" i="5"/>
  <c r="E31" i="5" s="1"/>
  <c r="F31" i="5" s="1"/>
  <c r="G31" i="5" s="1"/>
  <c r="H31" i="5" s="1"/>
  <c r="I31" i="5" s="1"/>
  <c r="J31" i="5" s="1"/>
  <c r="K31" i="5" s="1"/>
  <c r="E20" i="5"/>
  <c r="F20" i="5" s="1"/>
  <c r="G20" i="5" s="1"/>
  <c r="H20" i="5" s="1"/>
  <c r="I20" i="5" s="1"/>
  <c r="D35" i="5"/>
  <c r="E35" i="5" s="1"/>
  <c r="F35" i="5" s="1"/>
  <c r="T45" i="4"/>
  <c r="U45" i="4"/>
  <c r="O4" i="14"/>
  <c r="S4" i="14"/>
  <c r="D2" i="14"/>
  <c r="J2" i="14" s="1"/>
  <c r="K2" i="14" s="1"/>
  <c r="W4" i="14"/>
  <c r="U4" i="14"/>
  <c r="Y4" i="14"/>
  <c r="Y53" i="4"/>
  <c r="N82" i="4" s="1"/>
  <c r="Q82" i="4" s="1"/>
  <c r="W53" i="4"/>
  <c r="N86" i="4" s="1"/>
  <c r="C114" i="5"/>
  <c r="M114" i="5" s="1"/>
  <c r="O114" i="5" s="1"/>
  <c r="R23" i="10"/>
  <c r="M3" i="14"/>
  <c r="C78" i="5"/>
  <c r="F78" i="5" s="1"/>
  <c r="C96" i="5"/>
  <c r="F96" i="5" s="1"/>
  <c r="C84" i="5"/>
  <c r="F84" i="5" s="1"/>
  <c r="R21" i="10"/>
  <c r="T21" i="10" s="1"/>
  <c r="P30" i="4" s="1"/>
  <c r="Q30" i="4" s="1"/>
  <c r="D67" i="5"/>
  <c r="C132" i="5"/>
  <c r="H132" i="5" s="1"/>
  <c r="C72" i="5"/>
  <c r="H72" i="5" s="1"/>
  <c r="X53" i="4"/>
  <c r="N78" i="4" s="1"/>
  <c r="T47" i="4"/>
  <c r="C120" i="5"/>
  <c r="F120" i="5" s="1"/>
  <c r="C90" i="5"/>
  <c r="G90" i="5" s="1"/>
  <c r="Q66" i="4"/>
  <c r="F22" i="5"/>
  <c r="E67" i="5"/>
  <c r="S22" i="6"/>
  <c r="N36" i="13"/>
  <c r="A70" i="14" s="1"/>
  <c r="M21" i="13"/>
  <c r="V34" i="4"/>
  <c r="L15" i="13"/>
  <c r="C2" i="14"/>
  <c r="T17" i="10"/>
  <c r="L28" i="10"/>
  <c r="N38" i="13"/>
  <c r="A82" i="14" s="1"/>
  <c r="L43" i="13"/>
  <c r="Q4" i="14"/>
  <c r="V23" i="10"/>
  <c r="T40" i="13"/>
  <c r="V40" i="13" s="1"/>
  <c r="N23" i="10"/>
  <c r="L26" i="13"/>
  <c r="G108" i="5"/>
  <c r="C6" i="8"/>
  <c r="H14" i="8" s="1"/>
  <c r="J14" i="8" s="1"/>
  <c r="D14" i="8"/>
  <c r="F14" i="8" s="1"/>
  <c r="E14" i="8"/>
  <c r="C20" i="8"/>
  <c r="P3" i="14"/>
  <c r="O3" i="14"/>
  <c r="F102" i="5"/>
  <c r="O9" i="4"/>
  <c r="F2" i="14"/>
  <c r="A5" i="14"/>
  <c r="K4" i="4"/>
  <c r="C8" i="8"/>
  <c r="U28" i="4"/>
  <c r="V28" i="4"/>
  <c r="M61" i="5"/>
  <c r="E13" i="5"/>
  <c r="F13" i="5" s="1"/>
  <c r="G13" i="5" s="1"/>
  <c r="H13" i="5" s="1"/>
  <c r="D102" i="5"/>
  <c r="E102" i="5" s="1"/>
  <c r="G102" i="5"/>
  <c r="M58" i="5"/>
  <c r="M65" i="5"/>
  <c r="M62" i="5"/>
  <c r="E19" i="5"/>
  <c r="H102" i="5"/>
  <c r="H37" i="5"/>
  <c r="M64" i="5"/>
  <c r="M63" i="5"/>
  <c r="M57" i="5"/>
  <c r="E21" i="5"/>
  <c r="D66" i="5"/>
  <c r="G12" i="5"/>
  <c r="N26" i="13" l="1"/>
  <c r="P102" i="5"/>
  <c r="D108" i="5"/>
  <c r="E108" i="5" s="1"/>
  <c r="N108" i="5" s="1"/>
  <c r="AA108" i="5" s="1"/>
  <c r="M108" i="5"/>
  <c r="P108" i="5" s="1"/>
  <c r="I4" i="10"/>
  <c r="D120" i="5"/>
  <c r="E120" i="5" s="1"/>
  <c r="N120" i="5" s="1"/>
  <c r="T25" i="10"/>
  <c r="P34" i="4" s="1"/>
  <c r="Q34" i="4" s="1"/>
  <c r="P114" i="5"/>
  <c r="H108" i="5"/>
  <c r="F59" i="5"/>
  <c r="D78" i="5"/>
  <c r="E78" i="5" s="1"/>
  <c r="N78" i="5" s="1"/>
  <c r="D61" i="5"/>
  <c r="H126" i="5"/>
  <c r="D126" i="5"/>
  <c r="E126" i="5" s="1"/>
  <c r="N126" i="5" s="1"/>
  <c r="E57" i="5"/>
  <c r="D114" i="5"/>
  <c r="E114" i="5" s="1"/>
  <c r="N114" i="5" s="1"/>
  <c r="H114" i="5"/>
  <c r="G126" i="5"/>
  <c r="X19" i="13"/>
  <c r="M126" i="5"/>
  <c r="Q126" i="5" s="1"/>
  <c r="G14" i="5"/>
  <c r="H14" i="5" s="1"/>
  <c r="E63" i="5"/>
  <c r="D65" i="5"/>
  <c r="Q114" i="5"/>
  <c r="E61" i="5"/>
  <c r="E62" i="5"/>
  <c r="D63" i="5"/>
  <c r="D60" i="5"/>
  <c r="T53" i="4"/>
  <c r="N72" i="4" s="1"/>
  <c r="V53" i="4"/>
  <c r="N80" i="4" s="1"/>
  <c r="Q80" i="4" s="1"/>
  <c r="M84" i="5"/>
  <c r="P84" i="5" s="1"/>
  <c r="D62" i="5"/>
  <c r="U53" i="4"/>
  <c r="N76" i="4" s="1"/>
  <c r="M72" i="5"/>
  <c r="Q72" i="5" s="1"/>
  <c r="F90" i="5"/>
  <c r="D57" i="5"/>
  <c r="N43" i="13"/>
  <c r="D59" i="5"/>
  <c r="E65" i="5"/>
  <c r="E59" i="5"/>
  <c r="D58" i="5"/>
  <c r="E60" i="5"/>
  <c r="G114" i="5"/>
  <c r="F114" i="5"/>
  <c r="D64" i="5"/>
  <c r="D72" i="5"/>
  <c r="E72" i="5" s="1"/>
  <c r="K72" i="5" s="1"/>
  <c r="H90" i="5"/>
  <c r="G84" i="5"/>
  <c r="F72" i="5"/>
  <c r="D90" i="5"/>
  <c r="E90" i="5" s="1"/>
  <c r="J90" i="5" s="1"/>
  <c r="M90" i="5"/>
  <c r="D84" i="5"/>
  <c r="E84" i="5" s="1"/>
  <c r="N84" i="5" s="1"/>
  <c r="G72" i="5"/>
  <c r="H78" i="5"/>
  <c r="M78" i="5"/>
  <c r="P78" i="5" s="1"/>
  <c r="G78" i="5"/>
  <c r="G58" i="5"/>
  <c r="T23" i="10"/>
  <c r="P32" i="4" s="1"/>
  <c r="Q32" i="4" s="1"/>
  <c r="E58" i="5"/>
  <c r="F58" i="5"/>
  <c r="N74" i="4"/>
  <c r="N90" i="4" s="1"/>
  <c r="D96" i="5"/>
  <c r="E96" i="5" s="1"/>
  <c r="I96" i="5" s="1"/>
  <c r="M132" i="5"/>
  <c r="Q132" i="5" s="1"/>
  <c r="H120" i="5"/>
  <c r="D132" i="5"/>
  <c r="E132" i="5" s="1"/>
  <c r="K132" i="5" s="1"/>
  <c r="G120" i="5"/>
  <c r="G96" i="5"/>
  <c r="H96" i="5"/>
  <c r="G132" i="5"/>
  <c r="F132" i="5"/>
  <c r="M120" i="5"/>
  <c r="Q120" i="5" s="1"/>
  <c r="M96" i="5"/>
  <c r="Q96" i="5" s="1"/>
  <c r="H84" i="5"/>
  <c r="F57" i="5"/>
  <c r="X40" i="13"/>
  <c r="L2" i="14"/>
  <c r="H2" i="14"/>
  <c r="I2" i="14" s="1"/>
  <c r="G22" i="5"/>
  <c r="F67" i="5"/>
  <c r="I14" i="8"/>
  <c r="K14" i="8" s="1"/>
  <c r="Q3" i="14"/>
  <c r="R3" i="14"/>
  <c r="A62" i="14"/>
  <c r="A50" i="14"/>
  <c r="A38" i="14"/>
  <c r="A14" i="14"/>
  <c r="A74" i="14"/>
  <c r="A86" i="14"/>
  <c r="A98" i="14"/>
  <c r="A26" i="14"/>
  <c r="O102" i="5"/>
  <c r="Q102" i="5"/>
  <c r="G14" i="8"/>
  <c r="H20" i="8"/>
  <c r="J20" i="8" s="1"/>
  <c r="D20" i="8"/>
  <c r="F20" i="8" s="1"/>
  <c r="C26" i="8"/>
  <c r="E20" i="8"/>
  <c r="G5" i="14"/>
  <c r="J102" i="5"/>
  <c r="I102" i="5"/>
  <c r="K102" i="5"/>
  <c r="N102" i="5"/>
  <c r="J108" i="5"/>
  <c r="I108" i="5"/>
  <c r="F19" i="5"/>
  <c r="E64" i="5"/>
  <c r="I37" i="5"/>
  <c r="G35" i="5"/>
  <c r="F65" i="5"/>
  <c r="F60" i="5"/>
  <c r="G15" i="5"/>
  <c r="J20" i="5"/>
  <c r="G57" i="5"/>
  <c r="H12" i="5"/>
  <c r="F21" i="5"/>
  <c r="E66" i="5"/>
  <c r="G17" i="5"/>
  <c r="F62" i="5"/>
  <c r="F61" i="5"/>
  <c r="G16" i="5"/>
  <c r="H58" i="5"/>
  <c r="I13" i="5"/>
  <c r="F63" i="5"/>
  <c r="G18" i="5"/>
  <c r="N84" i="4" l="1"/>
  <c r="B18" i="15"/>
  <c r="I78" i="5"/>
  <c r="K78" i="5"/>
  <c r="K108" i="5"/>
  <c r="L108" i="5" s="1"/>
  <c r="L109" i="5" s="1"/>
  <c r="K120" i="5"/>
  <c r="S108" i="5"/>
  <c r="Y108" i="5" s="1"/>
  <c r="C174" i="5" s="1"/>
  <c r="Q108" i="5"/>
  <c r="T108" i="5" s="1"/>
  <c r="Z108" i="5" s="1"/>
  <c r="C189" i="5" s="1"/>
  <c r="O108" i="5"/>
  <c r="R108" i="5" s="1"/>
  <c r="I120" i="5"/>
  <c r="J120" i="5"/>
  <c r="J126" i="5"/>
  <c r="P72" i="5"/>
  <c r="G59" i="5"/>
  <c r="K126" i="5"/>
  <c r="I126" i="5"/>
  <c r="J78" i="5"/>
  <c r="O126" i="5"/>
  <c r="R126" i="5" s="1"/>
  <c r="K114" i="5"/>
  <c r="J114" i="5"/>
  <c r="P126" i="5"/>
  <c r="S126" i="5" s="1"/>
  <c r="O84" i="5"/>
  <c r="R84" i="5" s="1"/>
  <c r="I114" i="5"/>
  <c r="O72" i="5"/>
  <c r="I90" i="5"/>
  <c r="I72" i="5"/>
  <c r="N90" i="5"/>
  <c r="AA90" i="5" s="1"/>
  <c r="N72" i="5"/>
  <c r="AA72" i="5" s="1"/>
  <c r="Q84" i="5"/>
  <c r="T84" i="5" s="1"/>
  <c r="K90" i="5"/>
  <c r="S84" i="5"/>
  <c r="N88" i="4"/>
  <c r="Q78" i="5"/>
  <c r="T78" i="5" s="1"/>
  <c r="O120" i="5"/>
  <c r="R120" i="5" s="1"/>
  <c r="O78" i="5"/>
  <c r="R78" i="5" s="1"/>
  <c r="J72" i="5"/>
  <c r="K84" i="5"/>
  <c r="P120" i="5"/>
  <c r="S120" i="5" s="1"/>
  <c r="AA84" i="5"/>
  <c r="Y84" i="5" s="1"/>
  <c r="C170" i="5" s="1"/>
  <c r="J84" i="5"/>
  <c r="I84" i="5"/>
  <c r="Q90" i="5"/>
  <c r="P90" i="5"/>
  <c r="O90" i="5"/>
  <c r="I132" i="5"/>
  <c r="J132" i="5"/>
  <c r="N132" i="5"/>
  <c r="N96" i="5"/>
  <c r="K96" i="5"/>
  <c r="J96" i="5"/>
  <c r="O132" i="5"/>
  <c r="P132" i="5"/>
  <c r="P96" i="5"/>
  <c r="O96" i="5"/>
  <c r="N2" i="14"/>
  <c r="M2" i="14"/>
  <c r="H22" i="5"/>
  <c r="G67" i="5"/>
  <c r="L14" i="8"/>
  <c r="L15" i="8" s="1"/>
  <c r="AA102" i="5"/>
  <c r="I20" i="8"/>
  <c r="K20" i="8" s="1"/>
  <c r="S114" i="5"/>
  <c r="R114" i="5"/>
  <c r="L102" i="5"/>
  <c r="L103" i="5" s="1"/>
  <c r="D26" i="8"/>
  <c r="F26" i="8" s="1"/>
  <c r="C32" i="8"/>
  <c r="E26" i="8"/>
  <c r="H26" i="8"/>
  <c r="J26" i="8" s="1"/>
  <c r="T3" i="14"/>
  <c r="S3" i="14"/>
  <c r="G20" i="8"/>
  <c r="AA114" i="5"/>
  <c r="T114" i="5"/>
  <c r="T102" i="5"/>
  <c r="R102" i="5"/>
  <c r="S102" i="5"/>
  <c r="S78" i="5"/>
  <c r="AA78" i="5"/>
  <c r="T120" i="5"/>
  <c r="AA120" i="5"/>
  <c r="G19" i="5"/>
  <c r="F64" i="5"/>
  <c r="T126" i="5"/>
  <c r="AA126" i="5"/>
  <c r="J37" i="5"/>
  <c r="H35" i="5"/>
  <c r="G65" i="5"/>
  <c r="J13" i="5"/>
  <c r="I58" i="5"/>
  <c r="G21" i="5"/>
  <c r="F66" i="5"/>
  <c r="H18" i="5"/>
  <c r="G63" i="5"/>
  <c r="H57" i="5"/>
  <c r="I12" i="5"/>
  <c r="I14" i="5"/>
  <c r="H59" i="5"/>
  <c r="G61" i="5"/>
  <c r="H16" i="5"/>
  <c r="H17" i="5"/>
  <c r="G62" i="5"/>
  <c r="K20" i="5"/>
  <c r="G60" i="5"/>
  <c r="H15" i="5"/>
  <c r="X102" i="5" l="1"/>
  <c r="C158" i="5" s="1"/>
  <c r="F158" i="5" s="1"/>
  <c r="Z126" i="5"/>
  <c r="C192" i="5" s="1"/>
  <c r="E192" i="5" s="1"/>
  <c r="Y114" i="5"/>
  <c r="C175" i="5" s="1"/>
  <c r="F175" i="5" s="1"/>
  <c r="L78" i="5"/>
  <c r="L79" i="5" s="1"/>
  <c r="Z102" i="5"/>
  <c r="C188" i="5" s="1"/>
  <c r="D188" i="5" s="1"/>
  <c r="Y78" i="5"/>
  <c r="C169" i="5" s="1"/>
  <c r="E169" i="5" s="1"/>
  <c r="Y102" i="5"/>
  <c r="C173" i="5" s="1"/>
  <c r="D173" i="5" s="1"/>
  <c r="Z114" i="5"/>
  <c r="C190" i="5" s="1"/>
  <c r="E190" i="5" s="1"/>
  <c r="L126" i="5"/>
  <c r="L84" i="5"/>
  <c r="L85" i="5" s="1"/>
  <c r="X78" i="5"/>
  <c r="C154" i="5" s="1"/>
  <c r="E154" i="5" s="1"/>
  <c r="L90" i="5"/>
  <c r="L91" i="5" s="1"/>
  <c r="G189" i="5"/>
  <c r="E189" i="5"/>
  <c r="F189" i="5"/>
  <c r="D189" i="5"/>
  <c r="E174" i="5"/>
  <c r="D174" i="5"/>
  <c r="F174" i="5"/>
  <c r="G174" i="5"/>
  <c r="Z120" i="5"/>
  <c r="C191" i="5" s="1"/>
  <c r="G191" i="5" s="1"/>
  <c r="Z78" i="5"/>
  <c r="C184" i="5" s="1"/>
  <c r="E184" i="5" s="1"/>
  <c r="X114" i="5"/>
  <c r="C160" i="5" s="1"/>
  <c r="E160" i="5" s="1"/>
  <c r="Y126" i="5"/>
  <c r="C177" i="5" s="1"/>
  <c r="F177" i="5" s="1"/>
  <c r="U108" i="5"/>
  <c r="V108" i="5" s="1"/>
  <c r="W108" i="5" s="1"/>
  <c r="C144" i="5" s="1"/>
  <c r="F144" i="5" s="1"/>
  <c r="X108" i="5"/>
  <c r="C159" i="5" s="1"/>
  <c r="Y120" i="5"/>
  <c r="C176" i="5" s="1"/>
  <c r="E176" i="5" s="1"/>
  <c r="U120" i="5"/>
  <c r="L96" i="5"/>
  <c r="L97" i="5" s="1"/>
  <c r="L114" i="5"/>
  <c r="L115" i="5" s="1"/>
  <c r="L72" i="5"/>
  <c r="L120" i="5"/>
  <c r="L134" i="5" s="1"/>
  <c r="R72" i="5"/>
  <c r="X72" i="5" s="1"/>
  <c r="C153" i="5" s="1"/>
  <c r="D153" i="5" s="1"/>
  <c r="T90" i="5"/>
  <c r="Z90" i="5" s="1"/>
  <c r="C186" i="5" s="1"/>
  <c r="F186" i="5" s="1"/>
  <c r="R90" i="5"/>
  <c r="X90" i="5" s="1"/>
  <c r="C156" i="5" s="1"/>
  <c r="T72" i="5"/>
  <c r="Z72" i="5" s="1"/>
  <c r="C183" i="5" s="1"/>
  <c r="G183" i="5" s="1"/>
  <c r="S72" i="5"/>
  <c r="Y72" i="5" s="1"/>
  <c r="C168" i="5" s="1"/>
  <c r="D168" i="5" s="1"/>
  <c r="S90" i="5"/>
  <c r="Y90" i="5" s="1"/>
  <c r="C171" i="5" s="1"/>
  <c r="F171" i="5" s="1"/>
  <c r="F170" i="5"/>
  <c r="D170" i="5"/>
  <c r="E170" i="5"/>
  <c r="G170" i="5"/>
  <c r="Z84" i="5"/>
  <c r="C185" i="5" s="1"/>
  <c r="U126" i="5"/>
  <c r="U84" i="5"/>
  <c r="X84" i="5"/>
  <c r="C155" i="5" s="1"/>
  <c r="X120" i="5"/>
  <c r="C161" i="5" s="1"/>
  <c r="E161" i="5" s="1"/>
  <c r="X126" i="5"/>
  <c r="C162" i="5" s="1"/>
  <c r="L132" i="5"/>
  <c r="R96" i="5"/>
  <c r="AA96" i="5"/>
  <c r="R132" i="5"/>
  <c r="S132" i="5"/>
  <c r="AA132" i="5"/>
  <c r="T132" i="5"/>
  <c r="S96" i="5"/>
  <c r="T96" i="5"/>
  <c r="M14" i="8"/>
  <c r="C38" i="8" s="1"/>
  <c r="O2" i="14"/>
  <c r="P2" i="14"/>
  <c r="I22" i="5"/>
  <c r="H67" i="5"/>
  <c r="L20" i="8"/>
  <c r="M20" i="8" s="1"/>
  <c r="C39" i="8" s="1"/>
  <c r="D39" i="8" s="1"/>
  <c r="G26" i="8"/>
  <c r="U102" i="5"/>
  <c r="V102" i="5" s="1"/>
  <c r="W102" i="5" s="1"/>
  <c r="C143" i="5" s="1"/>
  <c r="D143" i="5" s="1"/>
  <c r="U78" i="5"/>
  <c r="U114" i="5"/>
  <c r="Q10" i="14"/>
  <c r="V3" i="14"/>
  <c r="U3" i="14"/>
  <c r="D32" i="8"/>
  <c r="F32" i="8" s="1"/>
  <c r="E32" i="8"/>
  <c r="H32" i="8"/>
  <c r="J32" i="8" s="1"/>
  <c r="I26" i="8"/>
  <c r="K26" i="8" s="1"/>
  <c r="H19" i="5"/>
  <c r="G64" i="5"/>
  <c r="K37" i="5"/>
  <c r="I35" i="5"/>
  <c r="H65" i="5"/>
  <c r="I17" i="5"/>
  <c r="H62" i="5"/>
  <c r="J14" i="5"/>
  <c r="I59" i="5"/>
  <c r="H63" i="5"/>
  <c r="I18" i="5"/>
  <c r="K13" i="5"/>
  <c r="K58" i="5" s="1"/>
  <c r="J58" i="5"/>
  <c r="H61" i="5"/>
  <c r="I16" i="5"/>
  <c r="I57" i="5"/>
  <c r="J12" i="5"/>
  <c r="G66" i="5"/>
  <c r="H21" i="5"/>
  <c r="I15" i="5"/>
  <c r="H60" i="5"/>
  <c r="G158" i="5" l="1"/>
  <c r="E158" i="5"/>
  <c r="D158" i="5"/>
  <c r="V78" i="5"/>
  <c r="W78" i="5" s="1"/>
  <c r="C139" i="5" s="1"/>
  <c r="E139" i="5" s="1"/>
  <c r="D192" i="5"/>
  <c r="D176" i="5"/>
  <c r="D175" i="5"/>
  <c r="E175" i="5"/>
  <c r="G175" i="5"/>
  <c r="G192" i="5"/>
  <c r="F192" i="5"/>
  <c r="F169" i="5"/>
  <c r="D169" i="5"/>
  <c r="E188" i="5"/>
  <c r="G169" i="5"/>
  <c r="F188" i="5"/>
  <c r="G154" i="5"/>
  <c r="G188" i="5"/>
  <c r="G160" i="5"/>
  <c r="D160" i="5"/>
  <c r="G190" i="5"/>
  <c r="G173" i="5"/>
  <c r="D154" i="5"/>
  <c r="G176" i="5"/>
  <c r="E173" i="5"/>
  <c r="F173" i="5"/>
  <c r="D177" i="5"/>
  <c r="D190" i="5"/>
  <c r="F154" i="5"/>
  <c r="F176" i="5"/>
  <c r="V120" i="5"/>
  <c r="W120" i="5" s="1"/>
  <c r="C146" i="5" s="1"/>
  <c r="F146" i="5" s="1"/>
  <c r="F160" i="5"/>
  <c r="F190" i="5"/>
  <c r="V126" i="5"/>
  <c r="W126" i="5" s="1"/>
  <c r="C147" i="5" s="1"/>
  <c r="G147" i="5" s="1"/>
  <c r="V84" i="5"/>
  <c r="W84" i="5" s="1"/>
  <c r="C140" i="5" s="1"/>
  <c r="G140" i="5" s="1"/>
  <c r="G177" i="5"/>
  <c r="E177" i="5"/>
  <c r="E191" i="5"/>
  <c r="D184" i="5"/>
  <c r="G184" i="5"/>
  <c r="V114" i="5"/>
  <c r="W114" i="5" s="1"/>
  <c r="C145" i="5" s="1"/>
  <c r="G145" i="5" s="1"/>
  <c r="F184" i="5"/>
  <c r="Y96" i="5"/>
  <c r="C172" i="5" s="1"/>
  <c r="D172" i="5" s="1"/>
  <c r="D191" i="5"/>
  <c r="X132" i="5"/>
  <c r="C163" i="5" s="1"/>
  <c r="E163" i="5" s="1"/>
  <c r="U96" i="5"/>
  <c r="V96" i="5" s="1"/>
  <c r="W96" i="5" s="1"/>
  <c r="C142" i="5" s="1"/>
  <c r="D142" i="5" s="1"/>
  <c r="F191" i="5"/>
  <c r="U90" i="5"/>
  <c r="V90" i="5" s="1"/>
  <c r="W90" i="5" s="1"/>
  <c r="C141" i="5" s="1"/>
  <c r="G141" i="5" s="1"/>
  <c r="Z96" i="5"/>
  <c r="C187" i="5" s="1"/>
  <c r="E187" i="5" s="1"/>
  <c r="G159" i="5"/>
  <c r="E159" i="5"/>
  <c r="D159" i="5"/>
  <c r="F159" i="5"/>
  <c r="U72" i="5"/>
  <c r="V72" i="5" s="1"/>
  <c r="W72" i="5" s="1"/>
  <c r="C138" i="5" s="1"/>
  <c r="F138" i="5" s="1"/>
  <c r="G38" i="8"/>
  <c r="E38" i="8"/>
  <c r="F38" i="8"/>
  <c r="D38" i="8"/>
  <c r="E186" i="5"/>
  <c r="D186" i="5"/>
  <c r="E153" i="5"/>
  <c r="G153" i="5"/>
  <c r="F168" i="5"/>
  <c r="F153" i="5"/>
  <c r="E183" i="5"/>
  <c r="G186" i="5"/>
  <c r="E171" i="5"/>
  <c r="F183" i="5"/>
  <c r="G171" i="5"/>
  <c r="D171" i="5"/>
  <c r="D183" i="5"/>
  <c r="E168" i="5"/>
  <c r="G168" i="5"/>
  <c r="G143" i="5"/>
  <c r="E144" i="5"/>
  <c r="G144" i="5"/>
  <c r="D144" i="5"/>
  <c r="E172" i="5"/>
  <c r="F155" i="5"/>
  <c r="E155" i="5"/>
  <c r="G155" i="5"/>
  <c r="D155" i="5"/>
  <c r="F161" i="5"/>
  <c r="G161" i="5"/>
  <c r="Z132" i="5"/>
  <c r="C193" i="5" s="1"/>
  <c r="E162" i="5"/>
  <c r="F162" i="5"/>
  <c r="D162" i="5"/>
  <c r="G162" i="5"/>
  <c r="F185" i="5"/>
  <c r="D185" i="5"/>
  <c r="E185" i="5"/>
  <c r="G185" i="5"/>
  <c r="E143" i="5"/>
  <c r="Y132" i="5"/>
  <c r="C178" i="5" s="1"/>
  <c r="F178" i="5" s="1"/>
  <c r="F156" i="5"/>
  <c r="E156" i="5"/>
  <c r="G156" i="5"/>
  <c r="D156" i="5"/>
  <c r="X96" i="5"/>
  <c r="C157" i="5" s="1"/>
  <c r="D161" i="5"/>
  <c r="F143" i="5"/>
  <c r="U132" i="5"/>
  <c r="V132" i="5" s="1"/>
  <c r="W132" i="5" s="1"/>
  <c r="C148" i="5" s="1"/>
  <c r="J22" i="5"/>
  <c r="I67" i="5"/>
  <c r="R2" i="14"/>
  <c r="Q2" i="14"/>
  <c r="M14" i="14"/>
  <c r="B74" i="14"/>
  <c r="B50" i="14"/>
  <c r="B62" i="14"/>
  <c r="A6" i="14"/>
  <c r="B26" i="14"/>
  <c r="B98" i="14"/>
  <c r="B86" i="14"/>
  <c r="B14" i="14"/>
  <c r="B38" i="14"/>
  <c r="L21" i="8"/>
  <c r="L26" i="8"/>
  <c r="M26" i="8" s="1"/>
  <c r="C41" i="8" s="1"/>
  <c r="F39" i="8"/>
  <c r="E39" i="8"/>
  <c r="G39" i="8"/>
  <c r="I32" i="8"/>
  <c r="K32" i="8" s="1"/>
  <c r="W3" i="14"/>
  <c r="X3" i="14"/>
  <c r="Y3" i="14" s="1"/>
  <c r="G32" i="8"/>
  <c r="I19" i="5"/>
  <c r="H64" i="5"/>
  <c r="J35" i="5"/>
  <c r="I65" i="5"/>
  <c r="J17" i="5"/>
  <c r="I62" i="5"/>
  <c r="J15" i="5"/>
  <c r="I60" i="5"/>
  <c r="I21" i="5"/>
  <c r="H66" i="5"/>
  <c r="J16" i="5"/>
  <c r="I61" i="5"/>
  <c r="K14" i="5"/>
  <c r="K59" i="5" s="1"/>
  <c r="J59" i="5"/>
  <c r="K12" i="5"/>
  <c r="K57" i="5" s="1"/>
  <c r="J57" i="5"/>
  <c r="J18" i="5"/>
  <c r="I63" i="5"/>
  <c r="F139" i="5" l="1"/>
  <c r="D139" i="5"/>
  <c r="P72" i="4"/>
  <c r="Q72" i="4" s="1"/>
  <c r="B15" i="15" s="1"/>
  <c r="G139" i="5"/>
  <c r="D141" i="5"/>
  <c r="D146" i="5"/>
  <c r="F147" i="5"/>
  <c r="E140" i="5"/>
  <c r="F145" i="5"/>
  <c r="D145" i="5"/>
  <c r="F140" i="5"/>
  <c r="G146" i="5"/>
  <c r="F187" i="5"/>
  <c r="G163" i="5"/>
  <c r="D187" i="5"/>
  <c r="E145" i="5"/>
  <c r="F163" i="5"/>
  <c r="D163" i="5"/>
  <c r="D140" i="5"/>
  <c r="E146" i="5"/>
  <c r="G187" i="5"/>
  <c r="R19" i="10" s="1"/>
  <c r="R28" i="10" s="1"/>
  <c r="D147" i="5"/>
  <c r="E147" i="5"/>
  <c r="P76" i="4"/>
  <c r="Q76" i="4" s="1"/>
  <c r="F172" i="5"/>
  <c r="G172" i="5"/>
  <c r="P19" i="10" s="1"/>
  <c r="P28" i="10" s="1"/>
  <c r="G142" i="5"/>
  <c r="F141" i="5"/>
  <c r="E142" i="5"/>
  <c r="F142" i="5"/>
  <c r="D178" i="5"/>
  <c r="G178" i="5"/>
  <c r="E141" i="5"/>
  <c r="G138" i="5"/>
  <c r="E138" i="5"/>
  <c r="D138" i="5"/>
  <c r="E178" i="5"/>
  <c r="D193" i="5"/>
  <c r="E193" i="5"/>
  <c r="G193" i="5"/>
  <c r="D157" i="5"/>
  <c r="E157" i="5"/>
  <c r="G157" i="5"/>
  <c r="F157" i="5"/>
  <c r="F193" i="5"/>
  <c r="F148" i="5"/>
  <c r="G148" i="5"/>
  <c r="E148" i="5"/>
  <c r="D148" i="5"/>
  <c r="C62" i="14"/>
  <c r="C38" i="14"/>
  <c r="C26" i="14"/>
  <c r="C50" i="14"/>
  <c r="C74" i="14"/>
  <c r="C86" i="14"/>
  <c r="C14" i="14"/>
  <c r="C98" i="14"/>
  <c r="T2" i="14"/>
  <c r="S2" i="14"/>
  <c r="B6" i="14"/>
  <c r="T31" i="13" s="1"/>
  <c r="P14" i="13"/>
  <c r="P31" i="13"/>
  <c r="A88" i="14"/>
  <c r="A28" i="14"/>
  <c r="H28" i="14" s="1"/>
  <c r="A100" i="14"/>
  <c r="H100" i="14" s="1"/>
  <c r="A52" i="14"/>
  <c r="H52" i="14" s="1"/>
  <c r="A64" i="14"/>
  <c r="A16" i="14"/>
  <c r="P17" i="13" s="1"/>
  <c r="R17" i="13" s="1"/>
  <c r="A40" i="14"/>
  <c r="H40" i="14" s="1"/>
  <c r="A76" i="14"/>
  <c r="K22" i="5"/>
  <c r="K67" i="5" s="1"/>
  <c r="J67" i="5"/>
  <c r="L27" i="8"/>
  <c r="L32" i="8"/>
  <c r="M32" i="8" s="1"/>
  <c r="C42" i="8" s="1"/>
  <c r="E42" i="8" s="1"/>
  <c r="E41" i="8"/>
  <c r="D41" i="8"/>
  <c r="G41" i="8"/>
  <c r="F41" i="8"/>
  <c r="J19" i="5"/>
  <c r="I64" i="5"/>
  <c r="K35" i="5"/>
  <c r="K65" i="5" s="1"/>
  <c r="J65" i="5"/>
  <c r="K18" i="5"/>
  <c r="K63" i="5" s="1"/>
  <c r="J63" i="5"/>
  <c r="J21" i="5"/>
  <c r="I66" i="5"/>
  <c r="K17" i="5"/>
  <c r="K62" i="5" s="1"/>
  <c r="J62" i="5"/>
  <c r="J61" i="5"/>
  <c r="K16" i="5"/>
  <c r="K61" i="5" s="1"/>
  <c r="K15" i="5"/>
  <c r="K60" i="5" s="1"/>
  <c r="J60" i="5"/>
  <c r="P74" i="4" l="1"/>
  <c r="Q74" i="4" s="1"/>
  <c r="P38" i="13"/>
  <c r="R38" i="13" s="1"/>
  <c r="P36" i="13"/>
  <c r="R36" i="13" s="1"/>
  <c r="N19" i="10"/>
  <c r="T19" i="10" s="1"/>
  <c r="P88" i="4"/>
  <c r="Q88" i="4" s="1"/>
  <c r="B17" i="15" s="1"/>
  <c r="P78" i="4"/>
  <c r="Q78" i="4" s="1"/>
  <c r="P26" i="13"/>
  <c r="C6" i="14"/>
  <c r="C76" i="14" s="1"/>
  <c r="P34" i="13"/>
  <c r="T14" i="13"/>
  <c r="B40" i="14"/>
  <c r="B52" i="14"/>
  <c r="B16" i="14"/>
  <c r="T17" i="13" s="1"/>
  <c r="B100" i="14"/>
  <c r="B76" i="14"/>
  <c r="T36" i="13" s="1"/>
  <c r="V36" i="13" s="1"/>
  <c r="B28" i="14"/>
  <c r="B88" i="14"/>
  <c r="T38" i="13" s="1"/>
  <c r="V38" i="13" s="1"/>
  <c r="B64" i="14"/>
  <c r="T34" i="13" s="1"/>
  <c r="D98" i="14"/>
  <c r="D74" i="14"/>
  <c r="S10" i="14"/>
  <c r="D62" i="14"/>
  <c r="D86" i="14"/>
  <c r="D26" i="14"/>
  <c r="D50" i="14"/>
  <c r="D38" i="14"/>
  <c r="D14" i="14"/>
  <c r="V2" i="14"/>
  <c r="U2" i="14"/>
  <c r="G42" i="8"/>
  <c r="P84" i="4" s="1"/>
  <c r="Q84" i="4" s="1"/>
  <c r="B16" i="15" s="1"/>
  <c r="D42" i="8"/>
  <c r="F42" i="8"/>
  <c r="R26" i="13"/>
  <c r="K19" i="5"/>
  <c r="K64" i="5" s="1"/>
  <c r="J64" i="5"/>
  <c r="K21" i="5"/>
  <c r="K66" i="5" s="1"/>
  <c r="J66" i="5"/>
  <c r="P90" i="4" l="1"/>
  <c r="Q90" i="4" s="1"/>
  <c r="B19" i="15"/>
  <c r="X38" i="13"/>
  <c r="X36" i="13"/>
  <c r="N28" i="10"/>
  <c r="C64" i="14"/>
  <c r="C16" i="14"/>
  <c r="C88" i="14"/>
  <c r="C28" i="14"/>
  <c r="C40" i="14"/>
  <c r="V19" i="10"/>
  <c r="V28" i="10" s="1"/>
  <c r="P28" i="4"/>
  <c r="Q28" i="4" s="1"/>
  <c r="T28" i="10"/>
  <c r="P86" i="4"/>
  <c r="Q86" i="4" s="1"/>
  <c r="C100" i="14"/>
  <c r="C52" i="14"/>
  <c r="D6" i="14"/>
  <c r="D100" i="14" s="1"/>
  <c r="R34" i="13"/>
  <c r="P43" i="13"/>
  <c r="V34" i="13"/>
  <c r="V43" i="13" s="1"/>
  <c r="T43" i="13"/>
  <c r="X2" i="14"/>
  <c r="Y2" i="14" s="1"/>
  <c r="W2" i="14"/>
  <c r="E26" i="14"/>
  <c r="E38" i="14"/>
  <c r="E50" i="14"/>
  <c r="E98" i="14"/>
  <c r="E62" i="14"/>
  <c r="E74" i="14"/>
  <c r="E14" i="14"/>
  <c r="E86" i="14"/>
  <c r="V17" i="13"/>
  <c r="T26" i="13"/>
  <c r="Q92" i="4" l="1"/>
  <c r="Q36" i="4"/>
  <c r="C3" i="15"/>
  <c r="E6" i="15"/>
  <c r="F6" i="15" s="1"/>
  <c r="G6" i="15" s="1"/>
  <c r="E4" i="15"/>
  <c r="F4" i="15" s="1"/>
  <c r="G4" i="15" s="1"/>
  <c r="E6" i="14"/>
  <c r="E16" i="14" s="1"/>
  <c r="D40" i="14"/>
  <c r="D76" i="14"/>
  <c r="D52" i="14"/>
  <c r="D88" i="14"/>
  <c r="D28" i="14"/>
  <c r="D64" i="14"/>
  <c r="D16" i="14"/>
  <c r="R43" i="13"/>
  <c r="X34" i="13"/>
  <c r="X43" i="13" s="1"/>
  <c r="V26" i="13"/>
  <c r="X17" i="13"/>
  <c r="X26" i="13" s="1"/>
  <c r="F74" i="14"/>
  <c r="F38" i="14"/>
  <c r="F14" i="14"/>
  <c r="F6" i="14" s="1"/>
  <c r="F62" i="14"/>
  <c r="F98" i="14"/>
  <c r="F50" i="14"/>
  <c r="F86" i="14"/>
  <c r="F26" i="14"/>
  <c r="E64" i="14" l="1"/>
  <c r="E52" i="14"/>
  <c r="E88" i="14"/>
  <c r="E28" i="14"/>
  <c r="E40" i="14"/>
  <c r="Q94" i="4"/>
  <c r="C7" i="15"/>
  <c r="E3" i="15"/>
  <c r="E76" i="14"/>
  <c r="H76" i="14" s="1"/>
  <c r="E100" i="14"/>
  <c r="G6" i="14"/>
  <c r="F28" i="14"/>
  <c r="F52" i="14"/>
  <c r="F88" i="14"/>
  <c r="H88" i="14" s="1"/>
  <c r="F76" i="14"/>
  <c r="F16" i="14"/>
  <c r="H16" i="14" s="1"/>
  <c r="F64" i="14"/>
  <c r="H64" i="14" s="1"/>
  <c r="F100" i="14"/>
  <c r="F40" i="14"/>
  <c r="Q97" i="4" l="1"/>
  <c r="Q99" i="4" s="1"/>
  <c r="Q101" i="4" s="1"/>
  <c r="E7" i="15"/>
  <c r="F3" i="15"/>
  <c r="Q104" i="4" l="1"/>
  <c r="G3" i="15"/>
  <c r="F7" i="15"/>
  <c r="B104" i="4" l="1"/>
  <c r="Q106" i="4"/>
  <c r="B106" i="4" s="1"/>
</calcChain>
</file>

<file path=xl/sharedStrings.xml><?xml version="1.0" encoding="utf-8"?>
<sst xmlns="http://schemas.openxmlformats.org/spreadsheetml/2006/main" count="1238" uniqueCount="365">
  <si>
    <t>Lecturer</t>
  </si>
  <si>
    <t>Name</t>
  </si>
  <si>
    <t>Total Cost</t>
  </si>
  <si>
    <t>Project Title</t>
  </si>
  <si>
    <t>Start Date</t>
  </si>
  <si>
    <t>End Date</t>
  </si>
  <si>
    <t>Duration</t>
  </si>
  <si>
    <t>Months</t>
  </si>
  <si>
    <t>Project Investigator</t>
  </si>
  <si>
    <t>Department</t>
  </si>
  <si>
    <t>Funding Source</t>
  </si>
  <si>
    <t>UK Based Charities</t>
  </si>
  <si>
    <t>EU Government Bodies</t>
  </si>
  <si>
    <t>EU Other</t>
  </si>
  <si>
    <t>HEFCE Funding</t>
  </si>
  <si>
    <t>Internal Allocation</t>
  </si>
  <si>
    <t>Other Overseas</t>
  </si>
  <si>
    <t>Other Sources</t>
  </si>
  <si>
    <t>Funding Scheme</t>
  </si>
  <si>
    <t>Category</t>
  </si>
  <si>
    <t>Consultancy</t>
  </si>
  <si>
    <t>Teaching</t>
  </si>
  <si>
    <t>Research</t>
  </si>
  <si>
    <t>Other</t>
  </si>
  <si>
    <t>SubCategory</t>
  </si>
  <si>
    <t>Laboratory Based</t>
  </si>
  <si>
    <t>Hours</t>
  </si>
  <si>
    <t>Weeks</t>
  </si>
  <si>
    <t>Days</t>
  </si>
  <si>
    <t>Time</t>
  </si>
  <si>
    <t>No. of Units</t>
  </si>
  <si>
    <t>Total FTE</t>
  </si>
  <si>
    <t>Effort Type</t>
  </si>
  <si>
    <t>Effort to FTE Calculator</t>
  </si>
  <si>
    <t>FTE to Effort Calculator</t>
  </si>
  <si>
    <t>Total No .of</t>
  </si>
  <si>
    <t>=</t>
  </si>
  <si>
    <t>FTE Related Costs</t>
  </si>
  <si>
    <t>Law</t>
  </si>
  <si>
    <t>VAT</t>
  </si>
  <si>
    <t>Research Fellow</t>
  </si>
  <si>
    <t>Senior Lecturer</t>
  </si>
  <si>
    <t>Incurred Payscale</t>
  </si>
  <si>
    <t>Allocated Payscale</t>
  </si>
  <si>
    <t>Research Associate</t>
  </si>
  <si>
    <t>FT Equivalent</t>
  </si>
  <si>
    <t>Yes</t>
  </si>
  <si>
    <t>No</t>
  </si>
  <si>
    <t>Travel &amp; Subsistence</t>
  </si>
  <si>
    <t>Equipment</t>
  </si>
  <si>
    <t>Indirect Costs</t>
  </si>
  <si>
    <t>Total</t>
  </si>
  <si>
    <t>Estates Charge</t>
  </si>
  <si>
    <t>Year 1</t>
  </si>
  <si>
    <t>Directly Allocated Costs</t>
  </si>
  <si>
    <t>Directly Incurred Costs</t>
  </si>
  <si>
    <t>Non Laboratory Based</t>
  </si>
  <si>
    <t>FTE fEC</t>
  </si>
  <si>
    <t>Currency</t>
  </si>
  <si>
    <t>GBP</t>
  </si>
  <si>
    <t>Exempt</t>
  </si>
  <si>
    <t>Recoverable</t>
  </si>
  <si>
    <t>Mixed</t>
  </si>
  <si>
    <t>Unknown</t>
  </si>
  <si>
    <t>Start date</t>
  </si>
  <si>
    <t>Start</t>
  </si>
  <si>
    <t xml:space="preserve"> To Aug Date</t>
  </si>
  <si>
    <t>Lecturer For 1 FTE</t>
  </si>
  <si>
    <t>Months To Aug</t>
  </si>
  <si>
    <t>Total Cost to Aug</t>
  </si>
  <si>
    <t>End of Project Year / End Date</t>
  </si>
  <si>
    <t>Months to end of Project Year / End Date</t>
  </si>
  <si>
    <t>Salary to End of Project Year</t>
  </si>
  <si>
    <t>Cost to End of Year</t>
  </si>
  <si>
    <t>Senior Lecturer For 1 FTE</t>
  </si>
  <si>
    <t>Standard Rated</t>
  </si>
  <si>
    <t>Exclude input VAT from costing.</t>
  </si>
  <si>
    <t>Please select Funding Source and Category.</t>
  </si>
  <si>
    <t>Include input VAT on purchases.</t>
  </si>
  <si>
    <t>Reference</t>
  </si>
  <si>
    <t>Description for non-staff costs</t>
  </si>
  <si>
    <t xml:space="preserve"> </t>
  </si>
  <si>
    <t>Description for project details</t>
  </si>
  <si>
    <t>Total Income</t>
  </si>
  <si>
    <t>Visiting Academic</t>
  </si>
  <si>
    <t>Laboratory Based for 1 FTE</t>
  </si>
  <si>
    <t>Non Laboratory Based for 1 FTE</t>
  </si>
  <si>
    <t>Enter Amounts calcualted from Sirius</t>
  </si>
  <si>
    <t>Indirect</t>
  </si>
  <si>
    <t>Estates</t>
  </si>
  <si>
    <t>Star Date + 5 years(+)</t>
  </si>
  <si>
    <t>EUR</t>
  </si>
  <si>
    <t>USD</t>
  </si>
  <si>
    <t>Research  Associate</t>
  </si>
  <si>
    <t>Snr Research Fellow</t>
  </si>
  <si>
    <t>Research Associate For 1 FTE</t>
  </si>
  <si>
    <t>Research Fellow For 1 FTE</t>
  </si>
  <si>
    <t>Senior Research Fellow For 1 FTE</t>
  </si>
  <si>
    <t>Sponsor</t>
  </si>
  <si>
    <t>Pay</t>
  </si>
  <si>
    <t>Grade</t>
  </si>
  <si>
    <t>Rate</t>
  </si>
  <si>
    <t>Cost  £</t>
  </si>
  <si>
    <t xml:space="preserve">VAT Status </t>
  </si>
  <si>
    <t>Please select</t>
  </si>
  <si>
    <t>Effort in</t>
  </si>
  <si>
    <t>Laboratory</t>
  </si>
  <si>
    <t>Non Laboratory</t>
  </si>
  <si>
    <t>Non-Pay</t>
  </si>
  <si>
    <t>Type</t>
  </si>
  <si>
    <t>Nature of Expenditure</t>
  </si>
  <si>
    <t>Sub Total Directly Allocated Costs</t>
  </si>
  <si>
    <t>Sub Total Directly Incurred Costs</t>
  </si>
  <si>
    <t>Total fEC</t>
  </si>
  <si>
    <t>Fee Income</t>
  </si>
  <si>
    <t>VAT (if applicable)</t>
  </si>
  <si>
    <t>Fee Amount</t>
  </si>
  <si>
    <t>or</t>
  </si>
  <si>
    <t>Fee %</t>
  </si>
  <si>
    <t>NonPay</t>
  </si>
  <si>
    <t>Hour</t>
  </si>
  <si>
    <t>Day</t>
  </si>
  <si>
    <t>Week</t>
  </si>
  <si>
    <t>Month</t>
  </si>
  <si>
    <t>Summary Table Used for Lookups within Directly Allocated Cost</t>
  </si>
  <si>
    <t>Summary Table Used for Lookups for FTE Related Costs</t>
  </si>
  <si>
    <t>UK Ind, Commerce and Public Corps</t>
  </si>
  <si>
    <t>UK Cen Govn/Local and Health Auth</t>
  </si>
  <si>
    <t>Exceptional Items</t>
  </si>
  <si>
    <t>FOR PROJECTS LESS THAN ONE YEAR DURATION</t>
  </si>
  <si>
    <t>SMALL VALUE RESEARCH / CONSULTANCY FORM</t>
  </si>
  <si>
    <t>These figures are only used if the project period is greater than the the months</t>
  </si>
  <si>
    <t>to August figure</t>
  </si>
  <si>
    <t>Details of payroll costs for UWE staff carrying out work within their normal timetable.</t>
  </si>
  <si>
    <t>Details of anticipated payments to be made to UWE staff for work outside normal hours, visiting academics etc.</t>
  </si>
  <si>
    <t>Details of external consultants, travel &amp; subsistence, consumables, equipment etc.</t>
  </si>
  <si>
    <t>Link to Salary Tables</t>
  </si>
  <si>
    <t>Sub-Category</t>
  </si>
  <si>
    <t>Full Economic Costing Form – Guidelines</t>
  </si>
  <si>
    <t>Some fields on the Costing Form have been designed to be automatically populated according to information provided in associated fields. Therefore it is important that users are aware of the need to complete all fields within the form correctly.</t>
  </si>
  <si>
    <t>To assist staff in completing the costing form the following user guide has been developed.</t>
  </si>
  <si>
    <t>Project Proposal – Full Economic Cost Summary For A Small Value Research or Consultancy Projects (Of Less Than One Year)</t>
  </si>
  <si>
    <t>Project Details</t>
  </si>
  <si>
    <r>
      <t>Project Title</t>
    </r>
    <r>
      <rPr>
        <sz val="10"/>
        <rFont val="Times New Roman"/>
        <family val="1"/>
      </rPr>
      <t>: Enter the project title</t>
    </r>
  </si>
  <si>
    <r>
      <t>Reference</t>
    </r>
    <r>
      <rPr>
        <sz val="10"/>
        <rFont val="Times New Roman"/>
        <family val="1"/>
      </rPr>
      <t>: This field is for Faculty/Service Area use – this will enable faculties to provide their own unique references for their projects</t>
    </r>
  </si>
  <si>
    <r>
      <t>Start Date &amp; End Date</t>
    </r>
    <r>
      <rPr>
        <sz val="10"/>
        <rFont val="Times New Roman"/>
        <family val="1"/>
      </rPr>
      <t xml:space="preserve">: You should enter these fields as follows – </t>
    </r>
    <r>
      <rPr>
        <sz val="10"/>
        <color indexed="10"/>
        <rFont val="Times New Roman"/>
        <family val="1"/>
      </rPr>
      <t>dd/mm/yyyy</t>
    </r>
  </si>
  <si>
    <r>
      <t>Duration</t>
    </r>
    <r>
      <rPr>
        <sz val="10"/>
        <rFont val="Times New Roman"/>
        <family val="1"/>
      </rPr>
      <t>: This is a field that is automatically populated after you have enter start and end dates</t>
    </r>
  </si>
  <si>
    <r>
      <t>Project Investigator</t>
    </r>
    <r>
      <rPr>
        <sz val="10"/>
        <rFont val="Times New Roman"/>
        <family val="1"/>
      </rPr>
      <t>: Enter the name of the Project Investigator</t>
    </r>
  </si>
  <si>
    <r>
      <t>Faculty/Service</t>
    </r>
    <r>
      <rPr>
        <sz val="10"/>
        <rFont val="Times New Roman"/>
        <family val="1"/>
      </rPr>
      <t>: Use the drop down box to select the Faculty or Service Area for the Project Investigator</t>
    </r>
  </si>
  <si>
    <r>
      <t>Funding Source</t>
    </r>
    <r>
      <rPr>
        <sz val="10"/>
        <rFont val="Times New Roman"/>
        <family val="1"/>
      </rPr>
      <t>: Select Funding Source from the drop down list</t>
    </r>
  </si>
  <si>
    <r>
      <t>Sponsor</t>
    </r>
    <r>
      <rPr>
        <sz val="10"/>
        <rFont val="Times New Roman"/>
        <family val="1"/>
      </rPr>
      <t>: Enter Sponsor’s details</t>
    </r>
  </si>
  <si>
    <r>
      <t>Category</t>
    </r>
    <r>
      <rPr>
        <sz val="10"/>
        <rFont val="Times New Roman"/>
        <family val="1"/>
      </rPr>
      <t>: Enter category from drop down list – note this in conjunction with the ‘Funder Source’ will automatically determine the VAT status and calculate/enter the VAT amount in the “Price” Section of the form if appropriate.</t>
    </r>
  </si>
  <si>
    <r>
      <t>VAT Status</t>
    </r>
    <r>
      <rPr>
        <sz val="10"/>
        <rFont val="Times New Roman"/>
        <family val="1"/>
      </rPr>
      <t>: This field is automatically populated using the information supplied in the ‘Funding Source’ and ‘Category’ fields.</t>
    </r>
  </si>
  <si>
    <t>Please Note: This section should only be completed for UWE staff carrying out work within their normal timetable.</t>
  </si>
  <si>
    <r>
      <t>Name</t>
    </r>
    <r>
      <rPr>
        <sz val="10"/>
        <rFont val="Times New Roman"/>
        <family val="1"/>
      </rPr>
      <t>: Enter the name of the Principal Investigator and Co-Investigators in the fields provided.</t>
    </r>
  </si>
  <si>
    <r>
      <t>Faculty/Service</t>
    </r>
    <r>
      <rPr>
        <sz val="10"/>
        <rFont val="Times New Roman"/>
        <family val="1"/>
      </rPr>
      <t>: Use the drop down box to select the Faculty or Service Area</t>
    </r>
  </si>
  <si>
    <r>
      <t>Grade</t>
    </r>
    <r>
      <rPr>
        <sz val="10"/>
        <rFont val="Times New Roman"/>
        <family val="1"/>
      </rPr>
      <t>: Select the appropriate UWE Grade from the drop down list</t>
    </r>
  </si>
  <si>
    <r>
      <t>Effort In</t>
    </r>
    <r>
      <rPr>
        <sz val="10"/>
        <rFont val="Times New Roman"/>
        <family val="1"/>
      </rPr>
      <t xml:space="preserve">: Select whether you wish to enter the ‘Effort’ in Hours, Days, Weeks. Months. Then enter the number of units of your selected type i.e. 10 weeks or 30 hours etc.  </t>
    </r>
  </si>
  <si>
    <r>
      <t>Rate</t>
    </r>
    <r>
      <rPr>
        <sz val="10"/>
        <rFont val="Times New Roman"/>
        <family val="1"/>
      </rPr>
      <t>: This value is automatically populated once you have selected the appropriate ‘Grade’</t>
    </r>
  </si>
  <si>
    <r>
      <t>Cost £</t>
    </r>
    <r>
      <rPr>
        <sz val="10"/>
        <rFont val="Times New Roman"/>
        <family val="1"/>
      </rPr>
      <t>: This value is automatically populated once you have entered the ‘Effort In’ Hours, Days,  Weeks or Months and you have selected the appropriate ‘Grade’.</t>
    </r>
  </si>
  <si>
    <t>Please Note: This section should only be completed where it is anticipated that payments will be made to UWE staff for work outside normal hours, visiting academics etc.</t>
  </si>
  <si>
    <r>
      <t>Name</t>
    </r>
    <r>
      <rPr>
        <sz val="10"/>
        <rFont val="Times New Roman"/>
        <family val="1"/>
      </rPr>
      <t>: Enter name if known – if unknown enter ‘Unnamed’</t>
    </r>
  </si>
  <si>
    <r>
      <t>Effort In</t>
    </r>
    <r>
      <rPr>
        <sz val="10"/>
        <rFont val="Times New Roman"/>
        <family val="1"/>
      </rPr>
      <t xml:space="preserve">: Enter the number of units of your selected type. You will note that you are unable to change the Unit Type i.e. if you have selected ‘Hours’ in the Directly Allocated Costs Section then ‘Hours’ will become the default Unit Type in the Directly Incurred Costs section. The Unit Types in both sections must be the same.    </t>
    </r>
  </si>
  <si>
    <r>
      <t>Rate</t>
    </r>
    <r>
      <rPr>
        <sz val="10"/>
        <rFont val="Times New Roman"/>
        <family val="1"/>
      </rPr>
      <t xml:space="preserve">: This field is </t>
    </r>
    <r>
      <rPr>
        <b/>
        <sz val="10"/>
        <rFont val="Times New Roman"/>
        <family val="1"/>
      </rPr>
      <t>NOT</t>
    </r>
    <r>
      <rPr>
        <sz val="10"/>
        <rFont val="Times New Roman"/>
        <family val="1"/>
      </rPr>
      <t xml:space="preserve"> automatically populated. You need to enter the appropriate rate according to the unit type you have selected i.e. hourly rate, daily rate etc. A link to UWE Salary Tables has been provided (just below the Heading ‘Directly Incurred Costs’ ) to assist with establishing the correct rate.  </t>
    </r>
  </si>
  <si>
    <r>
      <t>Cost £</t>
    </r>
    <r>
      <rPr>
        <sz val="10"/>
        <rFont val="Times New Roman"/>
        <family val="1"/>
      </rPr>
      <t>: This value is automatically populated once you have entered the ‘Effort In’ Hours, Weeks Months or Years and you have entered  the appropriate ‘Rate’.</t>
    </r>
  </si>
  <si>
    <r>
      <t>Type</t>
    </r>
    <r>
      <rPr>
        <sz val="10"/>
        <rFont val="Times New Roman"/>
        <family val="1"/>
      </rPr>
      <t>: Select from the drop down box the Type of non-pay costs you wish to detail.</t>
    </r>
  </si>
  <si>
    <r>
      <t>Nature of Expenditure</t>
    </r>
    <r>
      <rPr>
        <sz val="10"/>
        <rFont val="Times New Roman"/>
        <family val="1"/>
      </rPr>
      <t>: Describe the item of expenditure</t>
    </r>
  </si>
  <si>
    <r>
      <t>Cost £</t>
    </r>
    <r>
      <rPr>
        <sz val="10"/>
        <rFont val="Times New Roman"/>
        <family val="1"/>
      </rPr>
      <t>: Enter the cost of the item of expenditure</t>
    </r>
  </si>
  <si>
    <r>
      <t>Estates Charge</t>
    </r>
    <r>
      <rPr>
        <sz val="10"/>
        <rFont val="Times New Roman"/>
        <family val="1"/>
      </rPr>
      <t>: The Estates Charge lines are automatically populated.  The form adds together the ‘Effort In’ values from both the Directly Allocated section and the Directly Incurred section and places them in Laboratory or Non-Laboratory line (this is why the ‘unit types’ used in these two sections must be the same).</t>
    </r>
  </si>
  <si>
    <t>The rate is automatically entered according to the ‘unit type’ you select for the ‘Effort In’ entries.</t>
  </si>
  <si>
    <t>The cost is automatically entered by calculating the rate by the number of units</t>
  </si>
  <si>
    <r>
      <t>Indirect Costs</t>
    </r>
    <r>
      <rPr>
        <sz val="10"/>
        <rFont val="Times New Roman"/>
        <family val="1"/>
      </rPr>
      <t>: The Indirect Costs are calculated on the same basis as the Estates Charge</t>
    </r>
  </si>
  <si>
    <r>
      <t>Total fEC</t>
    </r>
    <r>
      <rPr>
        <sz val="10"/>
        <rFont val="Times New Roman"/>
        <family val="1"/>
      </rPr>
      <t>: The form automatically calculates the Full Economic Costs</t>
    </r>
  </si>
  <si>
    <r>
      <t>Fee Income</t>
    </r>
    <r>
      <rPr>
        <sz val="10"/>
        <rFont val="Times New Roman"/>
        <family val="1"/>
      </rPr>
      <t xml:space="preserve">: Fee Income or ‘price’ can be entered by one of two methods. Either an amount can be entered or a % of the Full Economic Cost.  </t>
    </r>
  </si>
  <si>
    <r>
      <t>VAT</t>
    </r>
    <r>
      <rPr>
        <sz val="10"/>
        <rFont val="Times New Roman"/>
        <family val="1"/>
      </rPr>
      <t>: VAT will be automatically entered according to your selections made at ‘Funding Source’ and ‘Category’</t>
    </r>
  </si>
  <si>
    <r>
      <t>Total Income</t>
    </r>
    <r>
      <rPr>
        <sz val="10"/>
        <rFont val="Times New Roman"/>
        <family val="1"/>
      </rPr>
      <t>: This field is automatically populated adding together the ‘Fee Income’ and any ‘VAT’.</t>
    </r>
  </si>
  <si>
    <r>
      <t>Project Surplus/Subsidy</t>
    </r>
    <r>
      <rPr>
        <sz val="10"/>
        <rFont val="Times New Roman"/>
        <family val="1"/>
      </rPr>
      <t>: This field is automatically populated by subtracting the Fee Income or price from the Full Economic Cost. If the resultant calculation provides a positive figure then the line below will show the value of the surplus achieved by the project. If the resultant calculation provides a negative figure then the line below will show the value of the subsidy required by the project.</t>
    </r>
  </si>
  <si>
    <t>______________________________________________________________________</t>
  </si>
  <si>
    <t xml:space="preserve"> To Feb Date</t>
  </si>
  <si>
    <t>FTE To Feb</t>
  </si>
  <si>
    <t>Months To Feb</t>
  </si>
  <si>
    <t>Total Cost to Feb</t>
  </si>
  <si>
    <t>Enter Basic Salary Amounts calcualted from Sirius</t>
  </si>
  <si>
    <t>Enter Pension Amounts calcualted from Sirius</t>
  </si>
  <si>
    <t>Enter NI Amounts calcualted from Sirius</t>
  </si>
  <si>
    <t>Basic Salary</t>
  </si>
  <si>
    <t>Pension</t>
  </si>
  <si>
    <t>NI</t>
  </si>
  <si>
    <t>Basic Salary Cost to Aug</t>
  </si>
  <si>
    <t>Pension Cost to Aug</t>
  </si>
  <si>
    <t>NI Cost to Aug</t>
  </si>
  <si>
    <t>Basic Cost to End of Project Year</t>
  </si>
  <si>
    <t>Pension Cost to End of Project</t>
  </si>
  <si>
    <t>NI Cost to End of Project</t>
  </si>
  <si>
    <t>Basic Salary to End of Year</t>
  </si>
  <si>
    <t>Pension to End of Year</t>
  </si>
  <si>
    <t>NI to End of Year</t>
  </si>
  <si>
    <t>Total Gross to Yearly</t>
  </si>
  <si>
    <t>Basic Gross to Yearly</t>
  </si>
  <si>
    <t>Pension Gross to Yearly</t>
  </si>
  <si>
    <t>NI Gross to Yearly</t>
  </si>
  <si>
    <t>Total Months For Year</t>
  </si>
  <si>
    <t>Basic Salary Table Used for Lookups</t>
  </si>
  <si>
    <t>Pension Salary Table Used for Lookups</t>
  </si>
  <si>
    <t>Basic</t>
  </si>
  <si>
    <t>N.Ins</t>
  </si>
  <si>
    <t>Totals</t>
  </si>
  <si>
    <t>Total Rate in</t>
  </si>
  <si>
    <t>PGR Student</t>
  </si>
  <si>
    <t>Academic</t>
  </si>
  <si>
    <t>Student</t>
  </si>
  <si>
    <t>PGR Student Rates - Percetages to be used for FTE Related Costs - used in Project Years sheet</t>
  </si>
  <si>
    <t>Non-Laboratory</t>
  </si>
  <si>
    <t>NI Salary Table Used for Lookups</t>
  </si>
  <si>
    <t>Staff Analysis (DA)</t>
  </si>
  <si>
    <t>Directly Allocated Staff Costs:-</t>
  </si>
  <si>
    <t>Directly Incurred Staff Costs:-</t>
  </si>
  <si>
    <t>Non Pay Costs:-</t>
  </si>
  <si>
    <t>FTE Related  Costs:-</t>
  </si>
  <si>
    <t>This schedule is populated automatically and provides a breakdown of  costs between basic pay and employers national insurance and superannuation by individual for Directly Allocated staff only.</t>
  </si>
  <si>
    <t>Full Time Equivalent Costing Calculators</t>
  </si>
  <si>
    <t>Please Select</t>
  </si>
  <si>
    <t>Please Enter</t>
  </si>
  <si>
    <t>Consistent Effort Over Period to FTE/Effort Calculator</t>
  </si>
  <si>
    <t>Year</t>
  </si>
  <si>
    <t>Effort</t>
  </si>
  <si>
    <t>per</t>
  </si>
  <si>
    <t>n/a</t>
  </si>
  <si>
    <t>Over</t>
  </si>
  <si>
    <t>Years</t>
  </si>
  <si>
    <t>Off Campus</t>
  </si>
  <si>
    <t>Inflation Rate for last 3 years</t>
  </si>
  <si>
    <t>(do not overtype as formulas)</t>
  </si>
  <si>
    <t>Current Pay</t>
  </si>
  <si>
    <t>Incl. Pay Modernisation</t>
  </si>
  <si>
    <t>Lab Technician</t>
  </si>
  <si>
    <t>Senior Lab Technician</t>
  </si>
  <si>
    <t>Lab Technician For 1 FTE</t>
  </si>
  <si>
    <t>Senior Lab Technician For 1 FTE</t>
  </si>
  <si>
    <r>
      <t>Grade</t>
    </r>
    <r>
      <rPr>
        <sz val="10"/>
        <rFont val="Times New Roman"/>
        <family val="1"/>
      </rPr>
      <t>: Select the appropriate staff category from the drop down list. Please note that with effect from 1st February 2007 the salary cost of ‘Pooled Technicians’ within Laboratory Departments i.e. technical staff who are not appointed to work on a specific project, will no longer be included within the Directly Allocated (DA) Estates Charge. These staff costs will still be treated as a DA cost, however, the Research Councils now require institutions to split the charge in the commentary supporting the research application between (a) direct effort on the project e.g. sample analysis and (b) general infrastructure support e.g. health &amp; safety, laboratory equipment maintenance etc.</t>
    </r>
  </si>
  <si>
    <t>Therefore the following costing method must be applied for Laboratory Projects for the use of 'Pooled Technicians':-</t>
  </si>
  <si>
    <t>Research Councils (OSI)</t>
  </si>
  <si>
    <t>RBI</t>
  </si>
  <si>
    <t>J</t>
  </si>
  <si>
    <t>I</t>
  </si>
  <si>
    <t>H</t>
  </si>
  <si>
    <t>G</t>
  </si>
  <si>
    <t>F</t>
  </si>
  <si>
    <t>E</t>
  </si>
  <si>
    <t>D</t>
  </si>
  <si>
    <t>C</t>
  </si>
  <si>
    <t>B</t>
  </si>
  <si>
    <t>A</t>
  </si>
  <si>
    <t xml:space="preserve">i) Direct effort (a) - Principal Investigators will need to estimate the amount of time required from these staff as they do now for themselves and enter this time  in the Directly Allocated Staff Costs area on the costing spreadsheet. The spreadsheet will then automatically calculate this element of the cost based on a salary banding for Technical staff.
ii) General Infrastructure (b) – this second element of the charge will automatically be calculated by the spreadsheet on the same basis as the current Estates charge i.e. on a £ per academic/research staff FTE and will be identified separately.
iii) The two figures should then be added together for inclusion on the JES application form under other directly allocated costs (shared staff costs) with the split of (a) and (b) plus justification provided in the supporting commentary. For example, a £7k DA charge on a project might be justified by the following statement: "£2k for pool technician as part of the research infrastructure charged across all projects; plus £5k for a technician working for two hours per week on sample analysis - this is needed because..........."
Dedicated Technicians i.e. those who are appointed to work on a specific project will continue to be treated as a Directly Incurred cost and charged to the project on an actual basis.
                                                               </t>
  </si>
  <si>
    <t>Irrecoverable</t>
  </si>
  <si>
    <t>European Commission Other</t>
  </si>
  <si>
    <r>
      <t>NOTE</t>
    </r>
    <r>
      <rPr>
        <sz val="10"/>
        <rFont val="Times New Roman"/>
        <family val="1"/>
      </rPr>
      <t>: Travel and subsistence claims are always paid at UWE rates even though the sponsor may be offering T&amp;S rates at a higher or lower rate than ours. If the sponsor is offering a higher rate than ours then the maximum you can claim in the proposal is the UWE rate. If the sponsor is offering a lower rate than ours then approval will have to be sought through your faculty or service area to receive approval that the shortfall will be met by the faculty.</t>
    </r>
  </si>
  <si>
    <t>VAT Rate</t>
  </si>
  <si>
    <t>Enter Amounts calculated</t>
  </si>
  <si>
    <t>Knowledge Transfer Partnership</t>
  </si>
  <si>
    <t>Bristol Institute of Legal Practice</t>
  </si>
  <si>
    <t>Engineering Design &amp; Mathematics</t>
  </si>
  <si>
    <t xml:space="preserve">Business &amp; Management </t>
  </si>
  <si>
    <t>Education</t>
  </si>
  <si>
    <t xml:space="preserve">Allied Health Professions </t>
  </si>
  <si>
    <t>Faculty</t>
  </si>
  <si>
    <t>Please select from list</t>
  </si>
  <si>
    <t>Faculty of Business &amp; Law</t>
  </si>
  <si>
    <t xml:space="preserve">Faculty of Environment &amp; Technology </t>
  </si>
  <si>
    <t>Other Service Departments</t>
  </si>
  <si>
    <t>Deptartment.</t>
  </si>
  <si>
    <r>
      <rPr>
        <b/>
        <sz val="10"/>
        <rFont val="Times New Roman"/>
        <family val="1"/>
      </rPr>
      <t xml:space="preserve">Department: </t>
    </r>
    <r>
      <rPr>
        <sz val="10"/>
        <rFont val="Times New Roman"/>
        <family val="1"/>
      </rPr>
      <t>Use the drop down box to select the Department for the Project Investigator</t>
    </r>
  </si>
  <si>
    <r>
      <t>Staff should be aware that as of the 1</t>
    </r>
    <r>
      <rPr>
        <vertAlign val="superscript"/>
        <sz val="10"/>
        <rFont val="Times New Roman"/>
        <family val="1"/>
      </rPr>
      <t>st</t>
    </r>
    <r>
      <rPr>
        <sz val="10"/>
        <rFont val="Times New Roman"/>
        <family val="1"/>
      </rPr>
      <t xml:space="preserve"> September 2005 all research and consultancy proposals must be accompanied by a Full Economic Costing.  It is recognised that many staff undertake small research or consultancy projects where the completion of a full economic costing form is inappropriate. The attached costing form is therefore intended to assist staff in preparing the cost and price for a small value project that is no more than one year in duration. Please note that this form is intended for internal costing purposes only and it should not be submitted to sponsors.  However, if appropriate, the information provided on this form can be used to complete the financial section within the sponsors’ application forms. </t>
    </r>
  </si>
  <si>
    <t>faculty short name</t>
  </si>
  <si>
    <t>FBL</t>
  </si>
  <si>
    <t>FET</t>
  </si>
  <si>
    <t>Accounting, Economics &amp; Finance</t>
  </si>
  <si>
    <t>Geography &amp; Environmental Manage.</t>
  </si>
  <si>
    <t>Nursing &amp; Midwifery</t>
  </si>
  <si>
    <t>% cost</t>
  </si>
  <si>
    <t>FTE</t>
  </si>
  <si>
    <t>WLB</t>
  </si>
  <si>
    <t>recovered</t>
  </si>
  <si>
    <t>Equivalent</t>
  </si>
  <si>
    <t>WLB Rates</t>
  </si>
  <si>
    <t>DA Staff</t>
  </si>
  <si>
    <t>DI Staff</t>
  </si>
  <si>
    <t>start</t>
  </si>
  <si>
    <t>end</t>
  </si>
  <si>
    <t>End</t>
  </si>
  <si>
    <t>first academic year date</t>
  </si>
  <si>
    <t>last academic date</t>
  </si>
  <si>
    <t>year 1 calc</t>
  </si>
  <si>
    <t>year1</t>
  </si>
  <si>
    <t>year2</t>
  </si>
  <si>
    <t>year3</t>
  </si>
  <si>
    <t>year4</t>
  </si>
  <si>
    <t>year5</t>
  </si>
  <si>
    <t>year6</t>
  </si>
  <si>
    <t>year7</t>
  </si>
  <si>
    <t>project months project FTE</t>
  </si>
  <si>
    <t>academic months Academic fte</t>
  </si>
  <si>
    <t>Year 2</t>
  </si>
  <si>
    <t>Year 3</t>
  </si>
  <si>
    <t>Year 4</t>
  </si>
  <si>
    <t>Year 5</t>
  </si>
  <si>
    <t>Year 6</t>
  </si>
  <si>
    <t>Academic year 1</t>
  </si>
  <si>
    <t>Academic year 2</t>
  </si>
  <si>
    <t>Academic year 3</t>
  </si>
  <si>
    <t>Academic year 4</t>
  </si>
  <si>
    <t>Academic year 5</t>
  </si>
  <si>
    <t>Academic year 6</t>
  </si>
  <si>
    <t>check</t>
  </si>
  <si>
    <t>new formula</t>
  </si>
  <si>
    <t>project Year 1</t>
  </si>
  <si>
    <t>project Year 2</t>
  </si>
  <si>
    <t>Project Year 3</t>
  </si>
  <si>
    <t>Project Year 4</t>
  </si>
  <si>
    <t>Project Year 5</t>
  </si>
  <si>
    <t>CS</t>
  </si>
  <si>
    <t>Computer Science &amp; Creative Technologies</t>
  </si>
  <si>
    <t>Geography &amp; Environmental Management</t>
  </si>
  <si>
    <t>WLM</t>
  </si>
  <si>
    <t>This schedule is populated automatically and provides an analysis of time based upon the Academic Workload Model.</t>
  </si>
  <si>
    <r>
      <t xml:space="preserve">Sub Category: </t>
    </r>
    <r>
      <rPr>
        <sz val="10"/>
        <rFont val="Times New Roman"/>
        <family val="1"/>
      </rPr>
      <t xml:space="preserve">Select a sub category from the drop down list – note this, will automatically predetermine the appropriate Estates Charge Rate applied to the costing (the indirect rate is the same whichever sub category is selected). The laboratory rate only applies to CSCT, EDM, DAS and AAD departments. However CSCT, EDM, DAS and AAD department staff should select the non-laboratory rate if they are working on a project which is wholly desk based. All other faculties should use the non-laboratory rate. Where a project is over six months in duration and an individual spends some time 'on campus' and </t>
    </r>
    <r>
      <rPr>
        <b/>
        <sz val="10"/>
        <rFont val="Times New Roman"/>
        <family val="1"/>
      </rPr>
      <t>at</t>
    </r>
    <r>
      <rPr>
        <sz val="10"/>
        <rFont val="Times New Roman"/>
        <family val="1"/>
      </rPr>
      <t xml:space="preserve"> </t>
    </r>
    <r>
      <rPr>
        <b/>
        <sz val="10"/>
        <rFont val="Times New Roman"/>
        <family val="1"/>
      </rPr>
      <t>least</t>
    </r>
    <r>
      <rPr>
        <sz val="10"/>
        <rFont val="Times New Roman"/>
        <family val="1"/>
      </rPr>
      <t xml:space="preserve"> six months in aggregate 'off campus', it will be necessary to calculate the separate elements by using two costing lines (one for the 'on campus' period and one for the 'off campus' period). No estates charge will be applied to the 'off campus' period. However, a direct cost may or may not be charged to UWE from the 'off campus' facilities provider.</t>
    </r>
  </si>
  <si>
    <t>Inflation Rate for year 2</t>
  </si>
  <si>
    <t>Faculty of Arts, Creative Industries &amp; Education</t>
  </si>
  <si>
    <t>ACE</t>
  </si>
  <si>
    <t>Associate HoD/Portfolio Leader</t>
  </si>
  <si>
    <t>Academic Director/Professor</t>
  </si>
  <si>
    <t>Associate Professor</t>
  </si>
  <si>
    <t>Exec Dean/Associate Dean/HoD</t>
  </si>
  <si>
    <t>Associate HoD/Portfolio Leader For 1 FTE</t>
  </si>
  <si>
    <t>Academic Director/Professor For 1 FTE</t>
  </si>
  <si>
    <t>Exec Dean/Associate Dean/HoD For 1FTE</t>
  </si>
  <si>
    <t>Associate Professor For 1 FTE</t>
  </si>
  <si>
    <t>Faculty of Health &amp; Sciences</t>
  </si>
  <si>
    <t>Architecture &amp; Built Environment</t>
  </si>
  <si>
    <t>Health &amp; Social Sciences</t>
  </si>
  <si>
    <t>Please select/ contact Costing and Pricing for advice</t>
  </si>
  <si>
    <t>HAS</t>
  </si>
  <si>
    <t>European Commission Horizon 2020</t>
  </si>
  <si>
    <t>Department of Arts, &amp; Cultural Industries</t>
  </si>
  <si>
    <t>Department of Art &amp; Design</t>
  </si>
  <si>
    <t>Department of Film &amp; Jounalism</t>
  </si>
  <si>
    <t>Applied Sciences</t>
  </si>
  <si>
    <r>
      <t xml:space="preserve">Sub Category: </t>
    </r>
    <r>
      <rPr>
        <sz val="10"/>
        <rFont val="Times New Roman"/>
        <family val="1"/>
      </rPr>
      <t xml:space="preserve">Select a sub category from the drop down list – note this, will automatically predetermine the appropriate Estates Charge Rate applied to the costing (the indirect rate is the same whichever sub category is selected). The laboratory rate only applies to EDM, DAS and AAD departments. However  EDM, DAS and AAD staff should select the non-laboratory rate if they are working on a project which is wholly desk based. All other faculties should use the non-laboratory rate. Where a project is over six months in duration and an individual spends some time 'on campus' and </t>
    </r>
    <r>
      <rPr>
        <b/>
        <sz val="10"/>
        <rFont val="Times New Roman"/>
        <family val="1"/>
      </rPr>
      <t>at</t>
    </r>
    <r>
      <rPr>
        <sz val="10"/>
        <rFont val="Times New Roman"/>
        <family val="1"/>
      </rPr>
      <t xml:space="preserve"> </t>
    </r>
    <r>
      <rPr>
        <b/>
        <sz val="10"/>
        <rFont val="Times New Roman"/>
        <family val="1"/>
      </rPr>
      <t>least</t>
    </r>
    <r>
      <rPr>
        <sz val="10"/>
        <rFont val="Times New Roman"/>
        <family val="1"/>
      </rPr>
      <t xml:space="preserve"> six months in aggregate 'off campus', it will be necessary to calculate the separate elements by using two costing lines (one for the 'on campus' period and one for the 'off campus' period). No estates charge will be applied to the 'off campus' period. However, a direct cost may or may not be charged to UWE from the 'off campus' facilities provider.</t>
    </r>
  </si>
  <si>
    <t>Time treated as scholarly Academic staff only</t>
  </si>
  <si>
    <t>where Academic input to be carried out in scholarly time, please state % within WLM sheet</t>
  </si>
  <si>
    <t xml:space="preserve">FTE Related Lab General Infrastructure </t>
  </si>
  <si>
    <t>General Infrastructure</t>
  </si>
  <si>
    <t>Indirects</t>
  </si>
  <si>
    <t>Lab Tech</t>
  </si>
  <si>
    <t>TOTAL</t>
  </si>
  <si>
    <t>Salary Cost</t>
  </si>
  <si>
    <t>Overhead</t>
  </si>
  <si>
    <t>Overhead Days</t>
  </si>
  <si>
    <t>Overhead Per day</t>
  </si>
  <si>
    <t>FEC total</t>
  </si>
  <si>
    <t>Price Total</t>
  </si>
  <si>
    <t>Day Rate</t>
  </si>
  <si>
    <t>Research Projects/Consultancies Form</t>
  </si>
  <si>
    <t>Small value of 1 years duration or less</t>
  </si>
  <si>
    <t>Version 1.44 28.01.2020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</si>
</sst>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quot;£&quot;* #,##0.00_-;_-&quot;£&quot;* &quot;-&quot;??_-;_-@_-"/>
    <numFmt numFmtId="164" formatCode="dd/mm/yyyy;@"/>
    <numFmt numFmtId="165" formatCode="0.0000_ ;[Red]\-0.0000\ "/>
    <numFmt numFmtId="166" formatCode="#,##0.00_ ;[Red]\-#,##0.00\ "/>
    <numFmt numFmtId="167" formatCode=";;;"/>
    <numFmt numFmtId="168" formatCode="#,##0_ ;[Red]\-#,##0\ "/>
    <numFmt numFmtId="169" formatCode="0.0000"/>
    <numFmt numFmtId="170" formatCode="#,##0.000000_ ;[Red]\-#,##0.000000\ "/>
    <numFmt numFmtId="171" formatCode="0.00000"/>
    <numFmt numFmtId="172" formatCode="0%;[Red]\-0%"/>
    <numFmt numFmtId="173" formatCode="&quot;£&quot;#,##0"/>
    <numFmt numFmtId="174" formatCode="&quot;£&quot;#,##0.00"/>
  </numFmts>
  <fonts count="30" x14ac:knownFonts="1">
    <font>
      <sz val="10"/>
      <name val="Arial"/>
    </font>
    <font>
      <sz val="10"/>
      <name val="Arial"/>
      <family val="2"/>
    </font>
    <font>
      <sz val="8"/>
      <name val="Arial"/>
      <family val="2"/>
    </font>
    <font>
      <b/>
      <sz val="10"/>
      <name val="Arial"/>
      <family val="2"/>
    </font>
    <font>
      <b/>
      <sz val="10"/>
      <name val="Arial"/>
      <family val="2"/>
    </font>
    <font>
      <sz val="10"/>
      <name val="Arial"/>
      <family val="2"/>
    </font>
    <font>
      <b/>
      <sz val="14"/>
      <name val="Arial"/>
      <family val="2"/>
    </font>
    <font>
      <sz val="10"/>
      <color indexed="8"/>
      <name val="Arial"/>
      <family val="2"/>
    </font>
    <font>
      <sz val="12"/>
      <name val="Arial"/>
      <family val="2"/>
    </font>
    <font>
      <b/>
      <sz val="14"/>
      <name val="Arial"/>
      <family val="2"/>
    </font>
    <font>
      <sz val="11"/>
      <name val="Arial"/>
      <family val="2"/>
    </font>
    <font>
      <b/>
      <sz val="11"/>
      <name val="Arial"/>
      <family val="2"/>
    </font>
    <font>
      <b/>
      <sz val="11"/>
      <name val="Arial"/>
      <family val="2"/>
    </font>
    <font>
      <sz val="10"/>
      <color indexed="10"/>
      <name val="Arial"/>
      <family val="2"/>
    </font>
    <font>
      <sz val="10"/>
      <color indexed="10"/>
      <name val="Arial"/>
      <family val="2"/>
    </font>
    <font>
      <sz val="10"/>
      <name val="Arial"/>
      <family val="2"/>
    </font>
    <font>
      <b/>
      <sz val="12"/>
      <name val="Arial"/>
      <family val="2"/>
    </font>
    <font>
      <sz val="10"/>
      <color indexed="44"/>
      <name val="Arial"/>
      <family val="2"/>
    </font>
    <font>
      <b/>
      <sz val="10"/>
      <color indexed="10"/>
      <name val="Arial"/>
      <family val="2"/>
    </font>
    <font>
      <u/>
      <sz val="9.5"/>
      <color indexed="12"/>
      <name val="Arial"/>
      <family val="2"/>
    </font>
    <font>
      <sz val="10"/>
      <name val="Times New Roman"/>
      <family val="1"/>
    </font>
    <font>
      <b/>
      <sz val="10"/>
      <name val="Times New Roman"/>
      <family val="1"/>
    </font>
    <font>
      <b/>
      <sz val="12"/>
      <name val="Times New Roman"/>
      <family val="1"/>
    </font>
    <font>
      <vertAlign val="superscript"/>
      <sz val="10"/>
      <name val="Times New Roman"/>
      <family val="1"/>
    </font>
    <font>
      <b/>
      <sz val="10"/>
      <color indexed="12"/>
      <name val="Times New Roman"/>
      <family val="1"/>
    </font>
    <font>
      <sz val="10"/>
      <color indexed="10"/>
      <name val="Times New Roman"/>
      <family val="1"/>
    </font>
    <font>
      <b/>
      <sz val="10"/>
      <color indexed="10"/>
      <name val="Times New Roman"/>
      <family val="1"/>
    </font>
    <font>
      <b/>
      <sz val="9"/>
      <color indexed="10"/>
      <name val="Arial"/>
      <family val="2"/>
    </font>
    <font>
      <b/>
      <sz val="14"/>
      <color indexed="10"/>
      <name val="Arial"/>
      <family val="2"/>
    </font>
    <font>
      <u/>
      <sz val="9.5"/>
      <name val="Arial"/>
      <family val="2"/>
    </font>
  </fonts>
  <fills count="15">
    <fill>
      <patternFill patternType="none"/>
    </fill>
    <fill>
      <patternFill patternType="gray125"/>
    </fill>
    <fill>
      <patternFill patternType="solid">
        <fgColor indexed="44"/>
        <bgColor indexed="64"/>
      </patternFill>
    </fill>
    <fill>
      <patternFill patternType="solid">
        <fgColor indexed="44"/>
        <bgColor indexed="43"/>
      </patternFill>
    </fill>
    <fill>
      <patternFill patternType="solid">
        <fgColor indexed="43"/>
        <bgColor indexed="64"/>
      </patternFill>
    </fill>
    <fill>
      <patternFill patternType="solid">
        <fgColor indexed="22"/>
        <bgColor indexed="64"/>
      </patternFill>
    </fill>
    <fill>
      <patternFill patternType="solid">
        <fgColor indexed="22"/>
        <bgColor indexed="8"/>
      </patternFill>
    </fill>
    <fill>
      <patternFill patternType="solid">
        <fgColor indexed="22"/>
        <bgColor indexed="0"/>
      </patternFill>
    </fill>
    <fill>
      <patternFill patternType="solid">
        <fgColor indexed="26"/>
        <bgColor indexed="64"/>
      </patternFill>
    </fill>
    <fill>
      <patternFill patternType="solid">
        <fgColor indexed="41"/>
        <bgColor indexed="64"/>
      </patternFill>
    </fill>
    <fill>
      <patternFill patternType="solid">
        <fgColor theme="0"/>
        <bgColor indexed="43"/>
      </patternFill>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8" tint="0.79998168889431442"/>
        <bgColor indexed="64"/>
      </patternFill>
    </fill>
  </fills>
  <borders count="44">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double">
        <color indexed="64"/>
      </bottom>
      <diagonal/>
    </border>
    <border>
      <left style="medium">
        <color indexed="10"/>
      </left>
      <right/>
      <top style="medium">
        <color indexed="10"/>
      </top>
      <bottom/>
      <diagonal/>
    </border>
    <border>
      <left/>
      <right/>
      <top style="medium">
        <color indexed="10"/>
      </top>
      <bottom/>
      <diagonal/>
    </border>
    <border>
      <left/>
      <right style="medium">
        <color indexed="10"/>
      </right>
      <top style="medium">
        <color indexed="10"/>
      </top>
      <bottom/>
      <diagonal/>
    </border>
    <border>
      <left style="medium">
        <color indexed="10"/>
      </left>
      <right/>
      <top/>
      <bottom style="medium">
        <color indexed="10"/>
      </bottom>
      <diagonal/>
    </border>
    <border>
      <left/>
      <right/>
      <top/>
      <bottom style="medium">
        <color indexed="10"/>
      </bottom>
      <diagonal/>
    </border>
    <border>
      <left/>
      <right style="medium">
        <color indexed="10"/>
      </right>
      <top/>
      <bottom style="medium">
        <color indexed="10"/>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s>
  <cellStyleXfs count="7">
    <xf numFmtId="0" fontId="0" fillId="0" borderId="0"/>
    <xf numFmtId="44" fontId="1" fillId="0" borderId="0" applyFont="0" applyFill="0" applyBorder="0" applyAlignment="0" applyProtection="0"/>
    <xf numFmtId="0" fontId="19" fillId="0" borderId="0" applyNumberFormat="0" applyFill="0" applyBorder="0" applyAlignment="0" applyProtection="0">
      <alignment vertical="top"/>
      <protection locked="0"/>
    </xf>
    <xf numFmtId="0" fontId="7" fillId="0" borderId="0"/>
    <xf numFmtId="0" fontId="7" fillId="0" borderId="0"/>
    <xf numFmtId="0" fontId="1" fillId="0" borderId="0"/>
    <xf numFmtId="0" fontId="1" fillId="0" borderId="0"/>
  </cellStyleXfs>
  <cellXfs count="344">
    <xf numFmtId="0" fontId="0" fillId="0" borderId="0" xfId="0"/>
    <xf numFmtId="0" fontId="10" fillId="0" borderId="0" xfId="0" applyFont="1" applyFill="1" applyBorder="1" applyAlignment="1">
      <alignment horizontal="left"/>
    </xf>
    <xf numFmtId="0" fontId="0" fillId="0" borderId="0" xfId="0" applyFill="1"/>
    <xf numFmtId="0" fontId="0" fillId="2" borderId="0" xfId="0" applyFill="1"/>
    <xf numFmtId="0" fontId="0" fillId="2" borderId="0" xfId="0" applyFill="1" applyAlignment="1">
      <alignment horizontal="left"/>
    </xf>
    <xf numFmtId="0" fontId="0" fillId="2" borderId="2" xfId="0" applyFill="1" applyBorder="1"/>
    <xf numFmtId="0" fontId="0" fillId="2" borderId="3" xfId="0" applyFill="1" applyBorder="1"/>
    <xf numFmtId="0" fontId="0" fillId="2" borderId="3" xfId="0" applyFill="1" applyBorder="1" applyAlignment="1">
      <alignment horizontal="left"/>
    </xf>
    <xf numFmtId="0" fontId="0" fillId="2" borderId="4" xfId="0" applyFill="1" applyBorder="1"/>
    <xf numFmtId="0" fontId="6" fillId="2" borderId="5" xfId="0" applyFont="1" applyFill="1" applyBorder="1" applyAlignment="1">
      <alignment horizontal="center"/>
    </xf>
    <xf numFmtId="0" fontId="6" fillId="2" borderId="0" xfId="0" applyFont="1" applyFill="1" applyBorder="1" applyAlignment="1">
      <alignment horizontal="center"/>
    </xf>
    <xf numFmtId="0" fontId="0" fillId="2" borderId="5" xfId="0" applyFill="1" applyBorder="1"/>
    <xf numFmtId="0" fontId="0" fillId="2" borderId="0" xfId="0" applyFill="1" applyBorder="1"/>
    <xf numFmtId="0" fontId="0" fillId="2" borderId="0" xfId="0" applyFill="1" applyBorder="1" applyAlignment="1">
      <alignment horizontal="left"/>
    </xf>
    <xf numFmtId="0" fontId="0" fillId="2" borderId="6" xfId="0" applyFill="1" applyBorder="1"/>
    <xf numFmtId="0" fontId="10" fillId="2" borderId="5" xfId="0" applyFont="1" applyFill="1" applyBorder="1"/>
    <xf numFmtId="0" fontId="10" fillId="2" borderId="0" xfId="0" applyFont="1" applyFill="1" applyBorder="1"/>
    <xf numFmtId="0" fontId="10" fillId="2" borderId="0" xfId="0" applyFont="1" applyFill="1" applyBorder="1" applyAlignment="1">
      <alignment horizontal="left"/>
    </xf>
    <xf numFmtId="0" fontId="11" fillId="2" borderId="0" xfId="0" applyFont="1" applyFill="1" applyBorder="1"/>
    <xf numFmtId="0" fontId="14" fillId="2" borderId="0" xfId="0" applyFont="1" applyFill="1" applyBorder="1"/>
    <xf numFmtId="0" fontId="13" fillId="2" borderId="0" xfId="0" applyFont="1" applyFill="1" applyBorder="1"/>
    <xf numFmtId="0" fontId="9" fillId="2" borderId="0" xfId="0" applyFont="1" applyFill="1" applyBorder="1"/>
    <xf numFmtId="0" fontId="8" fillId="2" borderId="0" xfId="0" applyFont="1" applyFill="1" applyBorder="1"/>
    <xf numFmtId="0" fontId="0" fillId="2" borderId="0" xfId="0" quotePrefix="1" applyFill="1" applyBorder="1"/>
    <xf numFmtId="0" fontId="6" fillId="2" borderId="0" xfId="0" applyFont="1" applyFill="1" applyBorder="1" applyAlignment="1">
      <alignment horizontal="left"/>
    </xf>
    <xf numFmtId="0" fontId="6" fillId="2" borderId="0" xfId="0" applyFont="1" applyFill="1" applyBorder="1"/>
    <xf numFmtId="0" fontId="0" fillId="2" borderId="7" xfId="0" applyFill="1" applyBorder="1"/>
    <xf numFmtId="166" fontId="9" fillId="2" borderId="8" xfId="0" applyNumberFormat="1" applyFont="1" applyFill="1" applyBorder="1" applyAlignment="1" applyProtection="1">
      <alignment horizontal="left"/>
      <protection hidden="1"/>
    </xf>
    <xf numFmtId="0" fontId="0" fillId="2" borderId="9" xfId="0" applyFill="1" applyBorder="1"/>
    <xf numFmtId="0" fontId="0" fillId="2" borderId="10" xfId="0" applyFill="1" applyBorder="1"/>
    <xf numFmtId="0" fontId="0" fillId="2" borderId="11" xfId="0" applyFill="1" applyBorder="1"/>
    <xf numFmtId="0" fontId="0" fillId="2" borderId="4" xfId="0" applyFill="1" applyBorder="1" applyAlignment="1">
      <alignment horizontal="left"/>
    </xf>
    <xf numFmtId="0" fontId="0" fillId="2" borderId="6" xfId="0" applyFill="1" applyBorder="1" applyAlignment="1">
      <alignment horizontal="left"/>
    </xf>
    <xf numFmtId="0" fontId="0" fillId="2" borderId="11" xfId="0" applyFill="1" applyBorder="1" applyAlignment="1">
      <alignment horizontal="left"/>
    </xf>
    <xf numFmtId="0" fontId="0" fillId="3" borderId="0" xfId="0" applyFill="1"/>
    <xf numFmtId="0" fontId="6" fillId="3" borderId="0" xfId="0" applyFont="1" applyFill="1" applyAlignment="1">
      <alignment horizontal="center"/>
    </xf>
    <xf numFmtId="0" fontId="1" fillId="3" borderId="0" xfId="0" applyFont="1" applyFill="1"/>
    <xf numFmtId="0" fontId="1" fillId="3" borderId="2" xfId="0" applyFont="1" applyFill="1" applyBorder="1"/>
    <xf numFmtId="0" fontId="1" fillId="3" borderId="3" xfId="0" applyFont="1" applyFill="1" applyBorder="1"/>
    <xf numFmtId="0" fontId="1" fillId="3" borderId="4" xfId="0" applyFont="1" applyFill="1" applyBorder="1"/>
    <xf numFmtId="0" fontId="4" fillId="3" borderId="5" xfId="0" applyFont="1" applyFill="1" applyBorder="1"/>
    <xf numFmtId="0" fontId="5" fillId="3" borderId="0" xfId="0" applyFont="1" applyFill="1" applyBorder="1"/>
    <xf numFmtId="0" fontId="5" fillId="3" borderId="6" xfId="0" applyFont="1" applyFill="1" applyBorder="1"/>
    <xf numFmtId="0" fontId="5" fillId="3" borderId="0" xfId="0" applyFont="1" applyFill="1"/>
    <xf numFmtId="0" fontId="5" fillId="3" borderId="5" xfId="0" applyFont="1" applyFill="1" applyBorder="1"/>
    <xf numFmtId="0" fontId="3" fillId="3" borderId="5" xfId="0" applyFont="1" applyFill="1" applyBorder="1"/>
    <xf numFmtId="0" fontId="3" fillId="3" borderId="0" xfId="0" applyFont="1" applyFill="1" applyBorder="1"/>
    <xf numFmtId="0" fontId="3" fillId="3" borderId="6" xfId="0" applyFont="1" applyFill="1" applyBorder="1"/>
    <xf numFmtId="0" fontId="2" fillId="3" borderId="0" xfId="0" applyFont="1" applyFill="1" applyBorder="1"/>
    <xf numFmtId="0" fontId="3" fillId="3" borderId="0" xfId="0" applyFont="1" applyFill="1" applyBorder="1" applyAlignment="1">
      <alignment horizontal="left"/>
    </xf>
    <xf numFmtId="0" fontId="5" fillId="3" borderId="10" xfId="0" applyFont="1" applyFill="1" applyBorder="1"/>
    <xf numFmtId="0" fontId="5" fillId="3" borderId="11" xfId="0" applyFont="1" applyFill="1" applyBorder="1"/>
    <xf numFmtId="0" fontId="3" fillId="3" borderId="0" xfId="0" applyFont="1" applyFill="1"/>
    <xf numFmtId="3" fontId="3" fillId="0" borderId="0" xfId="0" applyNumberFormat="1" applyFont="1"/>
    <xf numFmtId="0" fontId="3" fillId="0" borderId="0" xfId="0" applyFont="1" applyAlignment="1">
      <alignment horizontal="center" wrapText="1"/>
    </xf>
    <xf numFmtId="0" fontId="5" fillId="3" borderId="0" xfId="0" applyFont="1" applyFill="1" applyBorder="1" applyProtection="1">
      <protection hidden="1"/>
    </xf>
    <xf numFmtId="164" fontId="0" fillId="0" borderId="0" xfId="0" applyNumberFormat="1"/>
    <xf numFmtId="3" fontId="0" fillId="0" borderId="0" xfId="0" applyNumberFormat="1"/>
    <xf numFmtId="0" fontId="3" fillId="0" borderId="0" xfId="0" applyFont="1"/>
    <xf numFmtId="167" fontId="17" fillId="2" borderId="0" xfId="0" applyNumberFormat="1" applyFont="1" applyFill="1"/>
    <xf numFmtId="3" fontId="0" fillId="0" borderId="0" xfId="0" applyNumberFormat="1" applyBorder="1"/>
    <xf numFmtId="0" fontId="0" fillId="0" borderId="0" xfId="0" applyBorder="1"/>
    <xf numFmtId="164" fontId="3" fillId="4" borderId="10" xfId="0" applyNumberFormat="1" applyFont="1" applyFill="1" applyBorder="1"/>
    <xf numFmtId="0" fontId="18" fillId="0" borderId="0" xfId="0" applyFont="1"/>
    <xf numFmtId="0" fontId="3" fillId="4" borderId="12" xfId="0" applyFont="1" applyFill="1" applyBorder="1"/>
    <xf numFmtId="164" fontId="3" fillId="4" borderId="13" xfId="0" applyNumberFormat="1" applyFont="1" applyFill="1" applyBorder="1"/>
    <xf numFmtId="14" fontId="3" fillId="4" borderId="13" xfId="0" applyNumberFormat="1" applyFont="1" applyFill="1" applyBorder="1"/>
    <xf numFmtId="14" fontId="3" fillId="4" borderId="14" xfId="0" applyNumberFormat="1" applyFont="1" applyFill="1" applyBorder="1"/>
    <xf numFmtId="0" fontId="3" fillId="4" borderId="15" xfId="0" applyFont="1" applyFill="1" applyBorder="1"/>
    <xf numFmtId="164" fontId="3" fillId="4" borderId="16" xfId="0" applyNumberFormat="1" applyFont="1" applyFill="1" applyBorder="1"/>
    <xf numFmtId="0" fontId="0" fillId="0" borderId="17" xfId="0" applyBorder="1"/>
    <xf numFmtId="0" fontId="0" fillId="0" borderId="18" xfId="0" applyBorder="1"/>
    <xf numFmtId="3" fontId="0" fillId="0" borderId="19" xfId="0" applyNumberFormat="1" applyBorder="1"/>
    <xf numFmtId="3" fontId="0" fillId="0" borderId="19" xfId="0" applyNumberFormat="1" applyFill="1" applyBorder="1"/>
    <xf numFmtId="0" fontId="0" fillId="0" borderId="19" xfId="0" applyBorder="1"/>
    <xf numFmtId="0" fontId="0" fillId="0" borderId="20" xfId="0" applyBorder="1"/>
    <xf numFmtId="168" fontId="6" fillId="3" borderId="0" xfId="0" applyNumberFormat="1" applyFont="1" applyFill="1"/>
    <xf numFmtId="0" fontId="6" fillId="3" borderId="0" xfId="0" applyFont="1" applyFill="1"/>
    <xf numFmtId="0" fontId="3" fillId="3" borderId="9" xfId="0" applyFont="1" applyFill="1" applyBorder="1"/>
    <xf numFmtId="0" fontId="0" fillId="0" borderId="21" xfId="0" applyBorder="1"/>
    <xf numFmtId="10" fontId="3" fillId="4" borderId="22" xfId="0" applyNumberFormat="1" applyFont="1" applyFill="1" applyBorder="1"/>
    <xf numFmtId="0" fontId="3" fillId="0" borderId="0" xfId="0" applyFont="1" applyAlignment="1">
      <alignment horizontal="center"/>
    </xf>
    <xf numFmtId="0" fontId="3" fillId="3" borderId="0" xfId="0" applyFont="1" applyFill="1" applyAlignment="1">
      <alignment horizontal="right"/>
    </xf>
    <xf numFmtId="0" fontId="4" fillId="5" borderId="0" xfId="0" applyFont="1" applyFill="1"/>
    <xf numFmtId="0" fontId="5" fillId="0" borderId="0" xfId="0" applyFont="1"/>
    <xf numFmtId="0" fontId="5" fillId="0" borderId="1" xfId="3" applyFont="1" applyFill="1" applyBorder="1" applyAlignment="1">
      <alignment wrapText="1"/>
    </xf>
    <xf numFmtId="0" fontId="5" fillId="0" borderId="0" xfId="3" applyFont="1" applyFill="1" applyBorder="1" applyAlignment="1">
      <alignment wrapText="1"/>
    </xf>
    <xf numFmtId="0" fontId="5" fillId="0" borderId="0" xfId="0" quotePrefix="1" applyFont="1"/>
    <xf numFmtId="0" fontId="4" fillId="6" borderId="1" xfId="3" applyFont="1" applyFill="1" applyBorder="1" applyAlignment="1">
      <alignment wrapText="1"/>
    </xf>
    <xf numFmtId="0" fontId="4" fillId="7" borderId="25" xfId="4" applyFont="1" applyFill="1" applyBorder="1" applyAlignment="1">
      <alignment horizontal="center"/>
    </xf>
    <xf numFmtId="0" fontId="5" fillId="0" borderId="1" xfId="4" applyFont="1" applyFill="1" applyBorder="1" applyAlignment="1">
      <alignment wrapText="1"/>
    </xf>
    <xf numFmtId="0" fontId="5" fillId="0" borderId="0" xfId="4" applyFont="1" applyFill="1" applyBorder="1" applyAlignment="1">
      <alignment wrapText="1"/>
    </xf>
    <xf numFmtId="0" fontId="1" fillId="0" borderId="0" xfId="0" applyFont="1"/>
    <xf numFmtId="3" fontId="0" fillId="0" borderId="0" xfId="0" applyNumberFormat="1" applyFill="1" applyBorder="1"/>
    <xf numFmtId="0" fontId="0" fillId="0" borderId="17" xfId="0" applyFill="1" applyBorder="1"/>
    <xf numFmtId="0" fontId="0" fillId="0" borderId="18" xfId="0" applyFill="1" applyBorder="1"/>
    <xf numFmtId="0" fontId="0" fillId="4" borderId="26" xfId="0" applyFill="1" applyBorder="1"/>
    <xf numFmtId="0" fontId="3" fillId="4" borderId="27" xfId="0" applyFont="1" applyFill="1" applyBorder="1" applyAlignment="1">
      <alignment horizontal="center"/>
    </xf>
    <xf numFmtId="0" fontId="3" fillId="4" borderId="28" xfId="0" applyFont="1" applyFill="1" applyBorder="1" applyAlignment="1">
      <alignment horizontal="center"/>
    </xf>
    <xf numFmtId="0" fontId="3" fillId="4" borderId="29" xfId="0" applyFont="1" applyFill="1" applyBorder="1" applyAlignment="1">
      <alignment horizontal="center"/>
    </xf>
    <xf numFmtId="0" fontId="3" fillId="4" borderId="30" xfId="0" applyFont="1" applyFill="1" applyBorder="1"/>
    <xf numFmtId="0" fontId="3" fillId="4" borderId="31" xfId="0" applyFont="1" applyFill="1" applyBorder="1"/>
    <xf numFmtId="0" fontId="3" fillId="3" borderId="0" xfId="0" applyFont="1" applyFill="1" applyAlignment="1">
      <alignment horizontal="center"/>
    </xf>
    <xf numFmtId="0" fontId="3" fillId="0" borderId="0" xfId="0" applyFont="1" applyFill="1"/>
    <xf numFmtId="0" fontId="3" fillId="3" borderId="0" xfId="0" applyFont="1" applyFill="1" applyBorder="1" applyAlignment="1">
      <alignment horizontal="right"/>
    </xf>
    <xf numFmtId="0" fontId="3" fillId="0" borderId="22" xfId="0" applyFont="1" applyFill="1" applyBorder="1" applyAlignment="1">
      <alignment horizontal="center"/>
    </xf>
    <xf numFmtId="0" fontId="16" fillId="3" borderId="0" xfId="0" applyFont="1" applyFill="1" applyBorder="1"/>
    <xf numFmtId="0" fontId="3" fillId="3" borderId="3" xfId="0" applyFont="1" applyFill="1" applyBorder="1"/>
    <xf numFmtId="4" fontId="0" fillId="0" borderId="0" xfId="0" applyNumberFormat="1" applyBorder="1"/>
    <xf numFmtId="4" fontId="0" fillId="0" borderId="14" xfId="0" applyNumberFormat="1" applyBorder="1"/>
    <xf numFmtId="4" fontId="0" fillId="0" borderId="24" xfId="0" applyNumberFormat="1" applyBorder="1"/>
    <xf numFmtId="4" fontId="0" fillId="0" borderId="19" xfId="0" applyNumberFormat="1" applyBorder="1"/>
    <xf numFmtId="4" fontId="0" fillId="0" borderId="20" xfId="0" applyNumberFormat="1" applyBorder="1"/>
    <xf numFmtId="166" fontId="0" fillId="3" borderId="0" xfId="0" applyNumberFormat="1" applyFill="1"/>
    <xf numFmtId="166" fontId="1" fillId="0" borderId="0" xfId="0" applyNumberFormat="1" applyFont="1" applyFill="1"/>
    <xf numFmtId="166" fontId="0" fillId="0" borderId="0" xfId="0" applyNumberFormat="1" applyFill="1"/>
    <xf numFmtId="168" fontId="0" fillId="3" borderId="0" xfId="0" applyNumberFormat="1" applyFill="1"/>
    <xf numFmtId="168" fontId="3" fillId="3" borderId="3" xfId="0" applyNumberFormat="1" applyFont="1" applyFill="1" applyBorder="1"/>
    <xf numFmtId="0" fontId="3" fillId="2" borderId="22" xfId="0" applyFont="1" applyFill="1" applyBorder="1" applyAlignment="1">
      <alignment horizontal="center"/>
    </xf>
    <xf numFmtId="168" fontId="3" fillId="3" borderId="32" xfId="0" applyNumberFormat="1" applyFont="1" applyFill="1" applyBorder="1"/>
    <xf numFmtId="3" fontId="0" fillId="3" borderId="0" xfId="0" applyNumberFormat="1" applyFill="1"/>
    <xf numFmtId="168" fontId="0" fillId="0" borderId="0" xfId="0" applyNumberFormat="1" applyFill="1"/>
    <xf numFmtId="0" fontId="15" fillId="0" borderId="0" xfId="0" applyFont="1" applyFill="1"/>
    <xf numFmtId="10" fontId="0" fillId="0" borderId="0" xfId="0" applyNumberFormat="1" applyFill="1"/>
    <xf numFmtId="3" fontId="3" fillId="3" borderId="0" xfId="0" applyNumberFormat="1" applyFont="1" applyFill="1"/>
    <xf numFmtId="3" fontId="3" fillId="3" borderId="0" xfId="0" applyNumberFormat="1" applyFont="1" applyFill="1" applyBorder="1"/>
    <xf numFmtId="167" fontId="5" fillId="3" borderId="0" xfId="0" applyNumberFormat="1" applyFont="1" applyFill="1"/>
    <xf numFmtId="167" fontId="0" fillId="3" borderId="0" xfId="0" applyNumberFormat="1" applyFill="1"/>
    <xf numFmtId="0" fontId="18" fillId="3" borderId="0" xfId="0" applyFont="1" applyFill="1" applyAlignment="1">
      <alignment horizontal="left"/>
    </xf>
    <xf numFmtId="0" fontId="18" fillId="3" borderId="0" xfId="0" applyFont="1" applyFill="1" applyBorder="1"/>
    <xf numFmtId="0" fontId="18" fillId="3" borderId="0" xfId="0" applyFont="1" applyFill="1"/>
    <xf numFmtId="3" fontId="0" fillId="0" borderId="18" xfId="0" applyNumberFormat="1" applyBorder="1"/>
    <xf numFmtId="0" fontId="0" fillId="8" borderId="33" xfId="0" applyFill="1" applyBorder="1"/>
    <xf numFmtId="3" fontId="0" fillId="8" borderId="34" xfId="0" applyNumberFormat="1" applyFill="1" applyBorder="1"/>
    <xf numFmtId="0" fontId="0" fillId="8" borderId="34" xfId="0" applyFill="1" applyBorder="1"/>
    <xf numFmtId="0" fontId="0" fillId="8" borderId="35" xfId="0" applyFill="1" applyBorder="1"/>
    <xf numFmtId="0" fontId="0" fillId="8" borderId="36" xfId="0" applyFill="1" applyBorder="1"/>
    <xf numFmtId="0" fontId="0" fillId="8" borderId="37" xfId="0" applyFill="1" applyBorder="1"/>
    <xf numFmtId="3" fontId="0" fillId="8" borderId="37" xfId="0" applyNumberFormat="1" applyFill="1" applyBorder="1"/>
    <xf numFmtId="0" fontId="0" fillId="8" borderId="38" xfId="0" applyFill="1" applyBorder="1"/>
    <xf numFmtId="0" fontId="19" fillId="3" borderId="0" xfId="2" applyFill="1" applyBorder="1" applyAlignment="1" applyProtection="1"/>
    <xf numFmtId="0" fontId="20" fillId="2" borderId="0" xfId="0" applyFont="1" applyFill="1" applyAlignment="1">
      <alignment horizontal="justify"/>
    </xf>
    <xf numFmtId="0" fontId="22" fillId="2" borderId="0" xfId="0" applyFont="1" applyFill="1" applyAlignment="1">
      <alignment horizontal="center" wrapText="1"/>
    </xf>
    <xf numFmtId="0" fontId="20" fillId="2" borderId="0" xfId="0" applyFont="1" applyFill="1" applyAlignment="1">
      <alignment horizontal="justify" wrapText="1"/>
    </xf>
    <xf numFmtId="0" fontId="21" fillId="2" borderId="0" xfId="0" applyFont="1" applyFill="1" applyAlignment="1">
      <alignment horizontal="center" wrapText="1"/>
    </xf>
    <xf numFmtId="0" fontId="24" fillId="2" borderId="0" xfId="0" applyFont="1" applyFill="1" applyAlignment="1">
      <alignment horizontal="justify" wrapText="1"/>
    </xf>
    <xf numFmtId="0" fontId="21" fillId="2" borderId="0" xfId="0" applyFont="1" applyFill="1" applyAlignment="1">
      <alignment horizontal="justify" wrapText="1"/>
    </xf>
    <xf numFmtId="0" fontId="0" fillId="2" borderId="0" xfId="0" applyFill="1" applyAlignment="1">
      <alignment wrapText="1"/>
    </xf>
    <xf numFmtId="0" fontId="26" fillId="2" borderId="0" xfId="0" applyFont="1" applyFill="1" applyAlignment="1">
      <alignment horizontal="justify" wrapText="1"/>
    </xf>
    <xf numFmtId="0" fontId="0" fillId="2" borderId="0" xfId="0" applyFill="1" applyBorder="1" applyAlignment="1">
      <alignment horizontal="center"/>
    </xf>
    <xf numFmtId="168" fontId="3" fillId="3" borderId="0" xfId="0" applyNumberFormat="1" applyFont="1" applyFill="1" applyBorder="1"/>
    <xf numFmtId="0" fontId="0" fillId="0" borderId="0" xfId="0" applyNumberFormat="1"/>
    <xf numFmtId="0" fontId="3" fillId="0" borderId="0" xfId="0" applyFont="1" applyFill="1" applyBorder="1"/>
    <xf numFmtId="0" fontId="1" fillId="3" borderId="0" xfId="0" applyFont="1" applyFill="1" applyBorder="1"/>
    <xf numFmtId="0" fontId="4" fillId="3" borderId="0" xfId="0" applyFont="1" applyFill="1" applyBorder="1"/>
    <xf numFmtId="0" fontId="18" fillId="3" borderId="0" xfId="0" applyFont="1" applyFill="1" applyBorder="1" applyAlignment="1">
      <alignment horizontal="left"/>
    </xf>
    <xf numFmtId="0" fontId="3" fillId="2" borderId="0" xfId="0" applyFont="1" applyFill="1"/>
    <xf numFmtId="0" fontId="3" fillId="2" borderId="0" xfId="0" applyFont="1" applyFill="1" applyAlignment="1">
      <alignment horizontal="center"/>
    </xf>
    <xf numFmtId="166" fontId="0" fillId="2" borderId="0" xfId="0" applyNumberFormat="1" applyFill="1"/>
    <xf numFmtId="0" fontId="3" fillId="2" borderId="32" xfId="0" applyFont="1" applyFill="1" applyBorder="1"/>
    <xf numFmtId="166" fontId="3" fillId="2" borderId="32" xfId="0" applyNumberFormat="1" applyFont="1" applyFill="1" applyBorder="1"/>
    <xf numFmtId="10" fontId="0" fillId="0" borderId="0" xfId="0" applyNumberFormat="1"/>
    <xf numFmtId="166" fontId="3" fillId="2" borderId="0" xfId="0" applyNumberFormat="1" applyFont="1" applyFill="1"/>
    <xf numFmtId="168" fontId="3" fillId="2" borderId="32" xfId="0" applyNumberFormat="1" applyFont="1" applyFill="1" applyBorder="1"/>
    <xf numFmtId="0" fontId="15" fillId="2" borderId="0" xfId="0" applyFont="1" applyFill="1" applyBorder="1" applyAlignment="1"/>
    <xf numFmtId="0" fontId="3" fillId="2" borderId="0" xfId="0" applyFont="1" applyFill="1" applyBorder="1" applyAlignment="1"/>
    <xf numFmtId="164" fontId="3" fillId="2" borderId="0" xfId="0" applyNumberFormat="1" applyFont="1" applyFill="1" applyBorder="1" applyAlignment="1"/>
    <xf numFmtId="0" fontId="5" fillId="2" borderId="0" xfId="0" applyFont="1" applyFill="1" applyBorder="1" applyAlignment="1"/>
    <xf numFmtId="168" fontId="0" fillId="2" borderId="0" xfId="0" applyNumberFormat="1" applyFill="1"/>
    <xf numFmtId="0" fontId="16" fillId="3" borderId="0" xfId="0" applyFont="1" applyFill="1"/>
    <xf numFmtId="0" fontId="1" fillId="0" borderId="1" xfId="3" applyFont="1" applyFill="1" applyBorder="1" applyAlignment="1">
      <alignment wrapText="1"/>
    </xf>
    <xf numFmtId="0" fontId="1" fillId="0" borderId="0" xfId="3" applyFont="1" applyFill="1" applyBorder="1" applyAlignment="1">
      <alignment wrapText="1"/>
    </xf>
    <xf numFmtId="0" fontId="0" fillId="3" borderId="0" xfId="0" applyNumberFormat="1" applyFill="1"/>
    <xf numFmtId="0" fontId="10" fillId="2" borderId="9" xfId="0" applyFont="1" applyFill="1" applyBorder="1"/>
    <xf numFmtId="0" fontId="27" fillId="2" borderId="3" xfId="0" applyFont="1" applyFill="1" applyBorder="1"/>
    <xf numFmtId="0" fontId="28" fillId="2" borderId="7" xfId="0" applyFont="1" applyFill="1" applyBorder="1"/>
    <xf numFmtId="165" fontId="6" fillId="2" borderId="8" xfId="0" applyNumberFormat="1" applyFont="1" applyFill="1" applyBorder="1" applyAlignment="1" applyProtection="1">
      <alignment horizontal="left"/>
      <protection hidden="1"/>
    </xf>
    <xf numFmtId="0" fontId="10" fillId="2" borderId="10" xfId="0" applyFont="1" applyFill="1" applyBorder="1"/>
    <xf numFmtId="0" fontId="10" fillId="2" borderId="10" xfId="0" applyFont="1" applyFill="1" applyBorder="1" applyAlignment="1">
      <alignment horizontal="left"/>
    </xf>
    <xf numFmtId="0" fontId="14" fillId="2" borderId="10" xfId="0" applyFont="1" applyFill="1" applyBorder="1"/>
    <xf numFmtId="0" fontId="0" fillId="2" borderId="22" xfId="0" applyFill="1" applyBorder="1"/>
    <xf numFmtId="0" fontId="0" fillId="2" borderId="39" xfId="0" applyFill="1" applyBorder="1"/>
    <xf numFmtId="0" fontId="0" fillId="2" borderId="8" xfId="0" applyFill="1" applyBorder="1"/>
    <xf numFmtId="0" fontId="3" fillId="2" borderId="0" xfId="0" applyFont="1" applyFill="1" applyBorder="1" applyAlignment="1">
      <alignment horizontal="center"/>
    </xf>
    <xf numFmtId="167" fontId="0" fillId="2" borderId="0" xfId="0" applyNumberFormat="1" applyFill="1" applyBorder="1"/>
    <xf numFmtId="0" fontId="15" fillId="2" borderId="40" xfId="0" applyFont="1" applyFill="1" applyBorder="1"/>
    <xf numFmtId="0" fontId="15" fillId="2" borderId="0" xfId="0" applyFont="1" applyFill="1" applyBorder="1"/>
    <xf numFmtId="0" fontId="15" fillId="2" borderId="6" xfId="0" applyFont="1" applyFill="1" applyBorder="1"/>
    <xf numFmtId="0" fontId="27" fillId="2" borderId="0" xfId="0" applyFont="1" applyFill="1" applyBorder="1"/>
    <xf numFmtId="0" fontId="12" fillId="2" borderId="0" xfId="0" applyFont="1" applyFill="1" applyBorder="1"/>
    <xf numFmtId="165" fontId="6" fillId="2" borderId="10" xfId="0" applyNumberFormat="1" applyFont="1" applyFill="1" applyBorder="1" applyAlignment="1" applyProtection="1">
      <alignment horizontal="center"/>
      <protection hidden="1"/>
    </xf>
    <xf numFmtId="0" fontId="12" fillId="2" borderId="10" xfId="0" applyFont="1" applyFill="1" applyBorder="1"/>
    <xf numFmtId="167" fontId="0" fillId="2" borderId="10" xfId="0" applyNumberFormat="1" applyFill="1" applyBorder="1"/>
    <xf numFmtId="0" fontId="15" fillId="2" borderId="41" xfId="0" applyFont="1" applyFill="1" applyBorder="1"/>
    <xf numFmtId="0" fontId="15" fillId="2" borderId="9" xfId="0" applyFont="1" applyFill="1" applyBorder="1"/>
    <xf numFmtId="0" fontId="15" fillId="2" borderId="10" xfId="0" applyFont="1" applyFill="1" applyBorder="1"/>
    <xf numFmtId="0" fontId="15" fillId="2" borderId="11" xfId="0" applyFont="1" applyFill="1" applyBorder="1"/>
    <xf numFmtId="3" fontId="0" fillId="9" borderId="0" xfId="0" applyNumberFormat="1" applyFill="1" applyBorder="1"/>
    <xf numFmtId="3" fontId="0" fillId="9" borderId="23" xfId="0" applyNumberFormat="1" applyFill="1" applyBorder="1"/>
    <xf numFmtId="3" fontId="0" fillId="9" borderId="24" xfId="0" applyNumberFormat="1" applyFill="1" applyBorder="1"/>
    <xf numFmtId="3" fontId="0" fillId="9" borderId="19" xfId="0" applyNumberFormat="1" applyFill="1" applyBorder="1"/>
    <xf numFmtId="3" fontId="0" fillId="9" borderId="20" xfId="0" applyNumberFormat="1" applyFill="1" applyBorder="1"/>
    <xf numFmtId="3" fontId="0" fillId="0" borderId="20" xfId="0" applyNumberFormat="1" applyBorder="1"/>
    <xf numFmtId="10" fontId="0" fillId="9" borderId="0" xfId="0" applyNumberFormat="1" applyFill="1"/>
    <xf numFmtId="14" fontId="3" fillId="4" borderId="42" xfId="0" applyNumberFormat="1" applyFont="1" applyFill="1" applyBorder="1"/>
    <xf numFmtId="3" fontId="0" fillId="0" borderId="30" xfId="0" applyNumberFormat="1" applyBorder="1"/>
    <xf numFmtId="3" fontId="0" fillId="0" borderId="31" xfId="0" applyNumberFormat="1" applyBorder="1"/>
    <xf numFmtId="3" fontId="0" fillId="0" borderId="17" xfId="0" applyNumberFormat="1" applyBorder="1"/>
    <xf numFmtId="0" fontId="20" fillId="2" borderId="0" xfId="0" applyFont="1" applyFill="1" applyAlignment="1">
      <alignment horizontal="left" vertical="top" wrapText="1"/>
    </xf>
    <xf numFmtId="10" fontId="1" fillId="0" borderId="0" xfId="0" applyNumberFormat="1" applyFont="1"/>
    <xf numFmtId="3" fontId="0" fillId="0" borderId="43" xfId="0" applyNumberFormat="1" applyBorder="1"/>
    <xf numFmtId="3" fontId="0" fillId="0" borderId="30" xfId="0" applyNumberFormat="1" applyFill="1" applyBorder="1"/>
    <xf numFmtId="3" fontId="0" fillId="0" borderId="31" xfId="0" applyNumberFormat="1" applyFill="1" applyBorder="1"/>
    <xf numFmtId="164" fontId="3" fillId="4" borderId="30" xfId="0" applyNumberFormat="1" applyFont="1" applyFill="1" applyBorder="1"/>
    <xf numFmtId="3" fontId="0" fillId="0" borderId="42" xfId="0" applyNumberFormat="1" applyBorder="1"/>
    <xf numFmtId="3" fontId="0" fillId="0" borderId="42" xfId="0" applyNumberFormat="1" applyFill="1" applyBorder="1"/>
    <xf numFmtId="0" fontId="3" fillId="5" borderId="0" xfId="0" applyFont="1" applyFill="1"/>
    <xf numFmtId="0" fontId="3" fillId="3" borderId="10" xfId="0" applyFont="1" applyFill="1" applyBorder="1"/>
    <xf numFmtId="0" fontId="5" fillId="3" borderId="3" xfId="0" applyFont="1" applyFill="1" applyBorder="1"/>
    <xf numFmtId="0" fontId="29" fillId="3" borderId="0" xfId="2" applyFont="1" applyFill="1" applyBorder="1" applyAlignment="1" applyProtection="1"/>
    <xf numFmtId="0" fontId="0" fillId="10" borderId="0" xfId="0" applyFill="1"/>
    <xf numFmtId="0" fontId="5" fillId="10" borderId="0" xfId="0" applyFont="1" applyFill="1"/>
    <xf numFmtId="0" fontId="16" fillId="3" borderId="0" xfId="0" applyFont="1" applyFill="1" applyBorder="1" applyProtection="1">
      <protection hidden="1"/>
    </xf>
    <xf numFmtId="0" fontId="0" fillId="2" borderId="0" xfId="0" applyFill="1" applyProtection="1">
      <protection hidden="1"/>
    </xf>
    <xf numFmtId="0" fontId="3" fillId="2" borderId="0" xfId="0" applyFont="1" applyFill="1" applyProtection="1">
      <protection hidden="1"/>
    </xf>
    <xf numFmtId="4" fontId="0" fillId="2" borderId="0" xfId="0" applyNumberFormat="1" applyFill="1" applyProtection="1">
      <protection hidden="1"/>
    </xf>
    <xf numFmtId="4" fontId="3" fillId="2" borderId="0" xfId="0" applyNumberFormat="1" applyFont="1" applyFill="1" applyAlignment="1">
      <alignment horizontal="center" wrapText="1"/>
    </xf>
    <xf numFmtId="4" fontId="3" fillId="2" borderId="0" xfId="0" applyNumberFormat="1" applyFont="1" applyFill="1" applyAlignment="1" applyProtection="1">
      <alignment horizontal="center" wrapText="1"/>
      <protection hidden="1"/>
    </xf>
    <xf numFmtId="2" fontId="3" fillId="2" borderId="0" xfId="0" applyNumberFormat="1" applyFont="1" applyFill="1" applyAlignment="1" applyProtection="1">
      <alignment wrapText="1"/>
      <protection hidden="1"/>
    </xf>
    <xf numFmtId="0" fontId="3" fillId="2" borderId="0" xfId="0" applyFont="1" applyFill="1" applyAlignment="1">
      <alignment wrapText="1"/>
    </xf>
    <xf numFmtId="167" fontId="0" fillId="2" borderId="0" xfId="0" applyNumberFormat="1" applyFill="1" applyProtection="1">
      <protection hidden="1"/>
    </xf>
    <xf numFmtId="10" fontId="0" fillId="2" borderId="0" xfId="0" applyNumberFormat="1" applyFill="1"/>
    <xf numFmtId="0" fontId="3" fillId="2" borderId="0" xfId="0" applyFont="1" applyFill="1" applyAlignment="1" applyProtection="1">
      <alignment horizontal="center"/>
      <protection hidden="1"/>
    </xf>
    <xf numFmtId="0" fontId="0" fillId="11" borderId="0" xfId="0" applyFill="1"/>
    <xf numFmtId="14" fontId="0" fillId="0" borderId="0" xfId="0" quotePrefix="1" applyNumberFormat="1"/>
    <xf numFmtId="14" fontId="0" fillId="0" borderId="0" xfId="0" applyNumberFormat="1"/>
    <xf numFmtId="0" fontId="0" fillId="0" borderId="0" xfId="0" quotePrefix="1"/>
    <xf numFmtId="0" fontId="5" fillId="11" borderId="0" xfId="0" applyFont="1" applyFill="1"/>
    <xf numFmtId="169" fontId="0" fillId="0" borderId="0" xfId="0" applyNumberFormat="1"/>
    <xf numFmtId="171" fontId="0" fillId="0" borderId="0" xfId="0" applyNumberFormat="1"/>
    <xf numFmtId="0" fontId="0" fillId="12" borderId="0" xfId="0" applyFill="1"/>
    <xf numFmtId="166" fontId="3" fillId="2" borderId="0" xfId="0" applyNumberFormat="1" applyFont="1" applyFill="1" applyAlignment="1" applyProtection="1">
      <alignment wrapText="1"/>
      <protection hidden="1"/>
    </xf>
    <xf numFmtId="167" fontId="5" fillId="3" borderId="0" xfId="0" applyNumberFormat="1" applyFont="1" applyFill="1" applyBorder="1" applyProtection="1">
      <protection hidden="1"/>
    </xf>
    <xf numFmtId="0" fontId="0" fillId="3" borderId="0" xfId="0" applyFill="1" applyProtection="1">
      <protection hidden="1"/>
    </xf>
    <xf numFmtId="0" fontId="6" fillId="3" borderId="0" xfId="0" applyFont="1" applyFill="1" applyAlignment="1" applyProtection="1">
      <alignment horizontal="center"/>
      <protection hidden="1"/>
    </xf>
    <xf numFmtId="166" fontId="0" fillId="2" borderId="0" xfId="0" applyNumberFormat="1" applyFill="1" applyProtection="1">
      <protection hidden="1"/>
    </xf>
    <xf numFmtId="0" fontId="18" fillId="3" borderId="0" xfId="0" applyFont="1" applyFill="1" applyAlignment="1" applyProtection="1">
      <alignment horizontal="left"/>
      <protection hidden="1"/>
    </xf>
    <xf numFmtId="0" fontId="1" fillId="3" borderId="0" xfId="0" applyFont="1" applyFill="1" applyProtection="1">
      <protection hidden="1"/>
    </xf>
    <xf numFmtId="0" fontId="1" fillId="3" borderId="0" xfId="0" applyFont="1" applyFill="1" applyBorder="1" applyProtection="1">
      <protection hidden="1"/>
    </xf>
    <xf numFmtId="0" fontId="4" fillId="3" borderId="0" xfId="0" applyFont="1" applyFill="1" applyBorder="1" applyProtection="1">
      <protection hidden="1"/>
    </xf>
    <xf numFmtId="0" fontId="3" fillId="3" borderId="0" xfId="0" applyFont="1" applyFill="1" applyBorder="1" applyAlignment="1" applyProtection="1">
      <protection hidden="1"/>
    </xf>
    <xf numFmtId="0" fontId="5" fillId="2" borderId="0" xfId="0" applyFont="1" applyFill="1" applyBorder="1" applyAlignment="1" applyProtection="1">
      <protection hidden="1"/>
    </xf>
    <xf numFmtId="0" fontId="5" fillId="3" borderId="0" xfId="0" applyFont="1" applyFill="1" applyProtection="1">
      <protection hidden="1"/>
    </xf>
    <xf numFmtId="0" fontId="3" fillId="3" borderId="0" xfId="0" applyFont="1" applyFill="1" applyBorder="1" applyProtection="1">
      <protection hidden="1"/>
    </xf>
    <xf numFmtId="164" fontId="3" fillId="2" borderId="0" xfId="0" applyNumberFormat="1" applyFont="1" applyFill="1" applyBorder="1" applyAlignment="1" applyProtection="1">
      <protection hidden="1"/>
    </xf>
    <xf numFmtId="0" fontId="15" fillId="2" borderId="0" xfId="0" applyFont="1" applyFill="1" applyBorder="1" applyAlignment="1" applyProtection="1">
      <protection hidden="1"/>
    </xf>
    <xf numFmtId="0" fontId="3" fillId="2" borderId="0" xfId="0" applyFont="1" applyFill="1" applyBorder="1" applyAlignment="1" applyProtection="1">
      <protection hidden="1"/>
    </xf>
    <xf numFmtId="0" fontId="3" fillId="3" borderId="0" xfId="0" applyFont="1" applyFill="1" applyBorder="1" applyAlignment="1" applyProtection="1">
      <alignment horizontal="left"/>
      <protection hidden="1"/>
    </xf>
    <xf numFmtId="0" fontId="18" fillId="3" borderId="0" xfId="0" applyFont="1" applyFill="1" applyBorder="1" applyProtection="1">
      <protection hidden="1"/>
    </xf>
    <xf numFmtId="0" fontId="3" fillId="3" borderId="0" xfId="0" applyFont="1" applyFill="1" applyProtection="1">
      <protection hidden="1"/>
    </xf>
    <xf numFmtId="0" fontId="3" fillId="3" borderId="0" xfId="0" applyFont="1" applyFill="1" applyAlignment="1" applyProtection="1">
      <alignment horizontal="center"/>
      <protection hidden="1"/>
    </xf>
    <xf numFmtId="0" fontId="3" fillId="3" borderId="0" xfId="0" applyFont="1" applyFill="1" applyAlignment="1" applyProtection="1">
      <alignment horizontal="right"/>
      <protection hidden="1"/>
    </xf>
    <xf numFmtId="167" fontId="5" fillId="3" borderId="0" xfId="0" applyNumberFormat="1" applyFont="1" applyFill="1" applyProtection="1">
      <protection hidden="1"/>
    </xf>
    <xf numFmtId="170" fontId="0" fillId="3" borderId="0" xfId="0" applyNumberFormat="1" applyFill="1" applyProtection="1">
      <protection hidden="1"/>
    </xf>
    <xf numFmtId="165" fontId="0" fillId="3" borderId="0" xfId="0" applyNumberFormat="1" applyFill="1" applyProtection="1">
      <protection hidden="1"/>
    </xf>
    <xf numFmtId="166" fontId="0" fillId="3" borderId="0" xfId="0" applyNumberFormat="1" applyFill="1" applyProtection="1">
      <protection hidden="1"/>
    </xf>
    <xf numFmtId="165" fontId="0" fillId="2" borderId="0" xfId="0" applyNumberFormat="1" applyFill="1" applyProtection="1">
      <protection hidden="1"/>
    </xf>
    <xf numFmtId="166" fontId="3" fillId="2" borderId="0" xfId="0" applyNumberFormat="1" applyFont="1" applyFill="1" applyProtection="1">
      <protection hidden="1"/>
    </xf>
    <xf numFmtId="170" fontId="0" fillId="2" borderId="0" xfId="0" applyNumberFormat="1" applyFill="1" applyProtection="1">
      <protection hidden="1"/>
    </xf>
    <xf numFmtId="168" fontId="3" fillId="2" borderId="0" xfId="0" applyNumberFormat="1" applyFont="1" applyFill="1" applyProtection="1">
      <protection hidden="1"/>
    </xf>
    <xf numFmtId="4" fontId="3" fillId="2" borderId="32" xfId="0" applyNumberFormat="1" applyFont="1" applyFill="1" applyBorder="1" applyProtection="1">
      <protection hidden="1"/>
    </xf>
    <xf numFmtId="167" fontId="3" fillId="2" borderId="0" xfId="0" applyNumberFormat="1" applyFont="1" applyFill="1" applyProtection="1">
      <protection hidden="1"/>
    </xf>
    <xf numFmtId="170" fontId="3" fillId="2" borderId="32" xfId="0" applyNumberFormat="1" applyFont="1" applyFill="1" applyBorder="1" applyProtection="1">
      <protection hidden="1"/>
    </xf>
    <xf numFmtId="166" fontId="3" fillId="2" borderId="32" xfId="0" applyNumberFormat="1" applyFont="1" applyFill="1" applyBorder="1" applyProtection="1">
      <protection hidden="1"/>
    </xf>
    <xf numFmtId="168" fontId="0" fillId="2" borderId="0" xfId="0" applyNumberFormat="1" applyFill="1" applyProtection="1">
      <protection hidden="1"/>
    </xf>
    <xf numFmtId="4" fontId="5" fillId="3" borderId="0" xfId="0" applyNumberFormat="1" applyFont="1" applyFill="1" applyBorder="1" applyProtection="1">
      <protection hidden="1"/>
    </xf>
    <xf numFmtId="4" fontId="3" fillId="3" borderId="0" xfId="0" applyNumberFormat="1" applyFont="1" applyFill="1" applyAlignment="1" applyProtection="1">
      <alignment horizontal="center"/>
      <protection hidden="1"/>
    </xf>
    <xf numFmtId="167" fontId="3" fillId="3" borderId="0" xfId="0" applyNumberFormat="1" applyFont="1" applyFill="1" applyProtection="1">
      <protection hidden="1"/>
    </xf>
    <xf numFmtId="4" fontId="3" fillId="3" borderId="0" xfId="0" applyNumberFormat="1" applyFont="1" applyFill="1" applyProtection="1">
      <protection hidden="1"/>
    </xf>
    <xf numFmtId="166" fontId="3" fillId="2" borderId="0" xfId="0" applyNumberFormat="1" applyFont="1" applyFill="1" applyBorder="1" applyProtection="1">
      <protection hidden="1"/>
    </xf>
    <xf numFmtId="10" fontId="5" fillId="0" borderId="0" xfId="0" applyNumberFormat="1" applyFont="1" applyFill="1"/>
    <xf numFmtId="164" fontId="5"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10" fontId="0" fillId="13" borderId="0" xfId="0" applyNumberFormat="1" applyFill="1"/>
    <xf numFmtId="3" fontId="0" fillId="13" borderId="0" xfId="0" applyNumberFormat="1" applyFill="1" applyBorder="1"/>
    <xf numFmtId="3" fontId="0" fillId="13" borderId="19" xfId="0" applyNumberFormat="1" applyFill="1" applyBorder="1"/>
    <xf numFmtId="3" fontId="0" fillId="14" borderId="0" xfId="0" applyNumberFormat="1" applyFill="1" applyBorder="1"/>
    <xf numFmtId="3" fontId="0" fillId="14" borderId="23" xfId="0" applyNumberFormat="1" applyFill="1" applyBorder="1"/>
    <xf numFmtId="3" fontId="0" fillId="14" borderId="24" xfId="0" applyNumberFormat="1" applyFill="1" applyBorder="1"/>
    <xf numFmtId="164" fontId="3" fillId="4" borderId="14" xfId="0" applyNumberFormat="1" applyFont="1" applyFill="1" applyBorder="1"/>
    <xf numFmtId="0" fontId="1" fillId="0" borderId="1" xfId="4" applyFont="1" applyFill="1" applyBorder="1" applyAlignment="1">
      <alignment wrapText="1"/>
    </xf>
    <xf numFmtId="172" fontId="6" fillId="3" borderId="0" xfId="0" applyNumberFormat="1" applyFont="1" applyFill="1" applyAlignment="1">
      <alignment horizontal="right"/>
    </xf>
    <xf numFmtId="3" fontId="1" fillId="0" borderId="0" xfId="0" applyNumberFormat="1" applyFont="1" applyFill="1" applyBorder="1"/>
    <xf numFmtId="3" fontId="1" fillId="0" borderId="0" xfId="5" applyNumberFormat="1" applyFont="1" applyFill="1" applyBorder="1"/>
    <xf numFmtId="3" fontId="1" fillId="0" borderId="3" xfId="0" applyNumberFormat="1" applyFont="1" applyFill="1" applyBorder="1"/>
    <xf numFmtId="3" fontId="1" fillId="0" borderId="24" xfId="0" applyNumberFormat="1" applyFont="1" applyFill="1" applyBorder="1"/>
    <xf numFmtId="3" fontId="0" fillId="0" borderId="20" xfId="0" applyNumberFormat="1" applyFill="1" applyBorder="1"/>
    <xf numFmtId="3" fontId="1" fillId="9" borderId="0" xfId="0" applyNumberFormat="1" applyFont="1" applyFill="1" applyBorder="1"/>
    <xf numFmtId="3" fontId="1" fillId="0" borderId="0" xfId="6" applyNumberFormat="1" applyFont="1" applyBorder="1"/>
    <xf numFmtId="3" fontId="1" fillId="13" borderId="0" xfId="0" applyNumberFormat="1" applyFont="1" applyFill="1" applyBorder="1"/>
    <xf numFmtId="3" fontId="0" fillId="0" borderId="23" xfId="0" applyNumberFormat="1" applyFill="1" applyBorder="1"/>
    <xf numFmtId="3" fontId="0" fillId="0" borderId="24" xfId="0" applyNumberFormat="1" applyFill="1" applyBorder="1"/>
    <xf numFmtId="0" fontId="0" fillId="0" borderId="0" xfId="0" applyFill="1" applyProtection="1"/>
    <xf numFmtId="0" fontId="0" fillId="10" borderId="0" xfId="0" applyFill="1" applyProtection="1"/>
    <xf numFmtId="2" fontId="0" fillId="0" borderId="0" xfId="0" applyNumberFormat="1" applyBorder="1"/>
    <xf numFmtId="2" fontId="0" fillId="0" borderId="14" xfId="0" applyNumberFormat="1" applyBorder="1"/>
    <xf numFmtId="2" fontId="0" fillId="0" borderId="24" xfId="0" applyNumberFormat="1" applyBorder="1"/>
    <xf numFmtId="2" fontId="0" fillId="0" borderId="17" xfId="0" applyNumberFormat="1" applyBorder="1"/>
    <xf numFmtId="2" fontId="0" fillId="0" borderId="18" xfId="0" applyNumberFormat="1" applyBorder="1"/>
    <xf numFmtId="2" fontId="0" fillId="0" borderId="19" xfId="0" applyNumberFormat="1" applyBorder="1"/>
    <xf numFmtId="2" fontId="0" fillId="0" borderId="20" xfId="0" applyNumberFormat="1" applyBorder="1"/>
    <xf numFmtId="173" fontId="0" fillId="0" borderId="0" xfId="0" applyNumberFormat="1"/>
    <xf numFmtId="173" fontId="3" fillId="0" borderId="0" xfId="0" applyNumberFormat="1" applyFont="1"/>
    <xf numFmtId="174" fontId="0" fillId="0" borderId="0" xfId="0" applyNumberFormat="1"/>
    <xf numFmtId="0" fontId="1" fillId="0" borderId="0" xfId="0" applyFont="1" applyFill="1" applyAlignment="1">
      <alignment horizontal="left"/>
    </xf>
    <xf numFmtId="0" fontId="0" fillId="0" borderId="0" xfId="0" applyFill="1" applyAlignment="1">
      <alignment horizontal="left"/>
    </xf>
    <xf numFmtId="168" fontId="0" fillId="0" borderId="0" xfId="0" applyNumberFormat="1" applyFill="1" applyAlignment="1">
      <alignment horizontal="right"/>
    </xf>
    <xf numFmtId="0" fontId="3" fillId="3" borderId="0" xfId="0" applyFont="1" applyFill="1" applyAlignment="1">
      <alignment horizontal="center"/>
    </xf>
    <xf numFmtId="44" fontId="0" fillId="0" borderId="0" xfId="1" applyFont="1" applyFill="1" applyAlignment="1">
      <alignment horizontal="left"/>
    </xf>
    <xf numFmtId="0" fontId="3" fillId="3" borderId="0" xfId="0" applyFont="1" applyFill="1" applyAlignment="1">
      <alignment horizontal="left"/>
    </xf>
    <xf numFmtId="0" fontId="3" fillId="3" borderId="0" xfId="0" applyFont="1" applyFill="1" applyBorder="1" applyAlignment="1">
      <alignment horizontal="right"/>
    </xf>
    <xf numFmtId="0" fontId="1" fillId="0" borderId="0" xfId="0" applyFont="1" applyFill="1" applyBorder="1" applyAlignment="1">
      <alignment horizontal="left"/>
    </xf>
    <xf numFmtId="0" fontId="5" fillId="0" borderId="0" xfId="0" applyFont="1" applyFill="1" applyBorder="1" applyAlignment="1">
      <alignment horizontal="left"/>
    </xf>
    <xf numFmtId="44" fontId="0" fillId="0" borderId="0" xfId="1" applyFont="1" applyFill="1" applyAlignment="1" applyProtection="1">
      <alignment horizontal="left"/>
    </xf>
    <xf numFmtId="0" fontId="5" fillId="10" borderId="0" xfId="0" applyFont="1" applyFill="1" applyBorder="1" applyAlignment="1" applyProtection="1">
      <alignment horizontal="left"/>
      <protection locked="0"/>
    </xf>
    <xf numFmtId="0" fontId="5" fillId="0" borderId="0" xfId="0" quotePrefix="1" applyFont="1" applyFill="1" applyBorder="1" applyAlignment="1">
      <alignment horizontal="left"/>
    </xf>
    <xf numFmtId="0" fontId="18" fillId="3" borderId="0" xfId="0" applyFont="1" applyFill="1" applyBorder="1" applyAlignment="1" applyProtection="1">
      <alignment horizontal="left"/>
      <protection hidden="1"/>
    </xf>
    <xf numFmtId="0" fontId="18" fillId="3" borderId="6" xfId="0" applyFont="1" applyFill="1" applyBorder="1" applyAlignment="1" applyProtection="1">
      <alignment horizontal="left"/>
      <protection hidden="1"/>
    </xf>
    <xf numFmtId="0" fontId="6" fillId="3" borderId="0" xfId="0" applyFont="1" applyFill="1" applyAlignment="1">
      <alignment horizontal="center"/>
    </xf>
    <xf numFmtId="0" fontId="15" fillId="0" borderId="0" xfId="0" applyFont="1" applyFill="1" applyBorder="1" applyAlignment="1">
      <alignment horizontal="left"/>
    </xf>
    <xf numFmtId="0" fontId="3" fillId="2" borderId="0" xfId="0" applyFont="1" applyFill="1" applyBorder="1" applyAlignment="1">
      <alignment horizontal="left"/>
    </xf>
    <xf numFmtId="4" fontId="3" fillId="2" borderId="0" xfId="0" applyNumberFormat="1" applyFont="1" applyFill="1" applyAlignment="1">
      <alignment horizontal="center" wrapText="1"/>
    </xf>
    <xf numFmtId="0" fontId="3" fillId="3" borderId="0" xfId="0" applyFont="1" applyFill="1" applyAlignment="1" applyProtection="1">
      <alignment horizontal="center"/>
      <protection hidden="1"/>
    </xf>
    <xf numFmtId="0" fontId="5" fillId="2" borderId="0" xfId="0" applyFont="1" applyFill="1" applyBorder="1" applyAlignment="1" applyProtection="1">
      <alignment horizontal="left"/>
      <protection hidden="1"/>
    </xf>
    <xf numFmtId="0" fontId="6" fillId="3" borderId="0" xfId="0" applyFont="1" applyFill="1" applyAlignment="1" applyProtection="1">
      <alignment horizontal="center"/>
      <protection hidden="1"/>
    </xf>
    <xf numFmtId="0" fontId="3" fillId="2" borderId="0" xfId="0" applyFont="1" applyFill="1" applyBorder="1" applyAlignment="1" applyProtection="1">
      <alignment horizontal="left"/>
      <protection hidden="1"/>
    </xf>
    <xf numFmtId="0" fontId="12" fillId="2" borderId="7" xfId="0" applyFont="1" applyFill="1" applyBorder="1" applyAlignment="1">
      <alignment horizontal="center"/>
    </xf>
    <xf numFmtId="0" fontId="12" fillId="2" borderId="39" xfId="0" applyFont="1" applyFill="1" applyBorder="1" applyAlignment="1">
      <alignment horizontal="center"/>
    </xf>
    <xf numFmtId="0" fontId="12" fillId="2" borderId="8" xfId="0" applyFont="1" applyFill="1" applyBorder="1" applyAlignment="1">
      <alignment horizontal="center"/>
    </xf>
    <xf numFmtId="165" fontId="6" fillId="2" borderId="7" xfId="0" applyNumberFormat="1" applyFont="1" applyFill="1" applyBorder="1" applyAlignment="1" applyProtection="1">
      <alignment horizontal="center"/>
      <protection hidden="1"/>
    </xf>
    <xf numFmtId="165" fontId="6" fillId="2" borderId="8" xfId="0" applyNumberFormat="1" applyFont="1" applyFill="1" applyBorder="1" applyAlignment="1" applyProtection="1">
      <alignment horizontal="center"/>
      <protection hidden="1"/>
    </xf>
    <xf numFmtId="0" fontId="6" fillId="2" borderId="5" xfId="0" applyFont="1" applyFill="1" applyBorder="1" applyAlignment="1">
      <alignment horizontal="center"/>
    </xf>
    <xf numFmtId="0" fontId="6" fillId="2" borderId="0" xfId="0" applyFont="1" applyFill="1" applyBorder="1" applyAlignment="1">
      <alignment horizontal="center"/>
    </xf>
    <xf numFmtId="0" fontId="6" fillId="2" borderId="6" xfId="0" applyFont="1" applyFill="1" applyBorder="1" applyAlignment="1">
      <alignment horizontal="center"/>
    </xf>
  </cellXfs>
  <cellStyles count="7">
    <cellStyle name="Currency" xfId="1" builtinId="4"/>
    <cellStyle name="Hyperlink" xfId="2" builtinId="8"/>
    <cellStyle name="Normal" xfId="0" builtinId="0"/>
    <cellStyle name="Normal 2" xfId="6" xr:uid="{00000000-0005-0000-0000-000003000000}"/>
    <cellStyle name="Normal 3" xfId="5" xr:uid="{00000000-0005-0000-0000-000004000000}"/>
    <cellStyle name="Normal_lists" xfId="3" xr:uid="{00000000-0005-0000-0000-000005000000}"/>
    <cellStyle name="Normal_Sheet2" xfId="4" xr:uid="{00000000-0005-0000-0000-000006000000}"/>
  </cellStyles>
  <dxfs count="2">
    <dxf>
      <font>
        <strike val="0"/>
        <condense val="0"/>
        <extend val="0"/>
        <color indexed="10"/>
      </font>
    </dxf>
    <dxf>
      <font>
        <strike val="0"/>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9E2F9"/>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http://www.uwe.ac.uk/finance/pix/uweblock.gi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http://www.uwe.ac.uk/finance/pix/uweblock.gif"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http://www.uwe.ac.uk/finance/pix/uweblock.gif"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http://www.uwe.ac.uk/finance/pix/uweblock.gi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1</xdr:col>
      <xdr:colOff>571500</xdr:colOff>
      <xdr:row>3</xdr:row>
      <xdr:rowOff>133350</xdr:rowOff>
    </xdr:to>
    <xdr:pic>
      <xdr:nvPicPr>
        <xdr:cNvPr id="2247" name="Picture 14" descr="UWE logo">
          <a:extLst>
            <a:ext uri="{FF2B5EF4-FFF2-40B4-BE49-F238E27FC236}">
              <a16:creationId xmlns:a16="http://schemas.microsoft.com/office/drawing/2014/main" id="{00000000-0008-0000-0100-0000C708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9525" y="19050"/>
          <a:ext cx="714375" cy="800100"/>
        </a:xfrm>
        <a:prstGeom prst="rect">
          <a:avLst/>
        </a:prstGeom>
        <a:solidFill>
          <a:srgbClr val="99CC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581025</xdr:colOff>
      <xdr:row>3</xdr:row>
      <xdr:rowOff>123825</xdr:rowOff>
    </xdr:to>
    <xdr:pic>
      <xdr:nvPicPr>
        <xdr:cNvPr id="6206" name="Picture 3" descr="UWE logo">
          <a:extLst>
            <a:ext uri="{FF2B5EF4-FFF2-40B4-BE49-F238E27FC236}">
              <a16:creationId xmlns:a16="http://schemas.microsoft.com/office/drawing/2014/main" id="{00000000-0008-0000-0200-00003E18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9525" y="9525"/>
          <a:ext cx="714375" cy="800100"/>
        </a:xfrm>
        <a:prstGeom prst="rect">
          <a:avLst/>
        </a:prstGeom>
        <a:solidFill>
          <a:srgbClr val="99CCFF"/>
        </a:solid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581025</xdr:colOff>
      <xdr:row>3</xdr:row>
      <xdr:rowOff>123825</xdr:rowOff>
    </xdr:to>
    <xdr:pic>
      <xdr:nvPicPr>
        <xdr:cNvPr id="2" name="Picture 3" descr="UWE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9525" y="9525"/>
          <a:ext cx="714375" cy="800100"/>
        </a:xfrm>
        <a:prstGeom prst="rect">
          <a:avLst/>
        </a:prstGeom>
        <a:solidFill>
          <a:srgbClr val="99CCFF"/>
        </a:solid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19050</xdr:colOff>
      <xdr:row>1</xdr:row>
      <xdr:rowOff>9525</xdr:rowOff>
    </xdr:from>
    <xdr:to>
      <xdr:col>3</xdr:col>
      <xdr:colOff>76200</xdr:colOff>
      <xdr:row>4</xdr:row>
      <xdr:rowOff>190500</xdr:rowOff>
    </xdr:to>
    <xdr:pic>
      <xdr:nvPicPr>
        <xdr:cNvPr id="3205" name="Picture 11" descr="UWE logo">
          <a:extLst>
            <a:ext uri="{FF2B5EF4-FFF2-40B4-BE49-F238E27FC236}">
              <a16:creationId xmlns:a16="http://schemas.microsoft.com/office/drawing/2014/main" id="{00000000-0008-0000-0400-0000850C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152400" y="85725"/>
          <a:ext cx="552450" cy="800100"/>
        </a:xfrm>
        <a:prstGeom prst="rect">
          <a:avLst/>
        </a:prstGeom>
        <a:solidFill>
          <a:srgbClr val="99CCFF"/>
        </a:solidFill>
        <a:ln w="9525">
          <a:noFill/>
          <a:miter lim="800000"/>
          <a:headEnd/>
          <a:tailEnd/>
        </a:ln>
      </xdr:spPr>
    </xdr:pic>
    <xdr:clientData/>
  </xdr:twoCellAnchor>
  <xdr:twoCellAnchor>
    <xdr:from>
      <xdr:col>1</xdr:col>
      <xdr:colOff>9525</xdr:colOff>
      <xdr:row>1</xdr:row>
      <xdr:rowOff>9525</xdr:rowOff>
    </xdr:from>
    <xdr:to>
      <xdr:col>3</xdr:col>
      <xdr:colOff>219075</xdr:colOff>
      <xdr:row>4</xdr:row>
      <xdr:rowOff>190500</xdr:rowOff>
    </xdr:to>
    <xdr:pic>
      <xdr:nvPicPr>
        <xdr:cNvPr id="3206" name="Picture 20" descr="UWE logo">
          <a:extLst>
            <a:ext uri="{FF2B5EF4-FFF2-40B4-BE49-F238E27FC236}">
              <a16:creationId xmlns:a16="http://schemas.microsoft.com/office/drawing/2014/main" id="{00000000-0008-0000-0400-0000860C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142875" y="85725"/>
          <a:ext cx="704850" cy="800100"/>
        </a:xfrm>
        <a:prstGeom prst="rect">
          <a:avLst/>
        </a:prstGeom>
        <a:solidFill>
          <a:srgbClr val="99CC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FIN\Finance\FBS%20Costing%20and%20Pricing\RESEARCH\Tools\Internet%20Live\Research%20and%20Consultancy%20FEC_single_v1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Project Details"/>
      <sheetName val="Staff Costs"/>
      <sheetName val="Staff Analysis (DA)"/>
      <sheetName val="Non-Staff Costs"/>
      <sheetName val="Project Years"/>
      <sheetName val="WLM"/>
      <sheetName val="FTE Calculators"/>
      <sheetName val="lists"/>
      <sheetName val="fte costs"/>
      <sheetName val="staff calcs"/>
      <sheetName val="wlm calcs old"/>
      <sheetName val="wlm calc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B3" t="str">
            <v>Dean/Assoc Dean</v>
          </cell>
          <cell r="C3">
            <v>1</v>
          </cell>
          <cell r="D3">
            <v>0</v>
          </cell>
        </row>
        <row r="4">
          <cell r="B4" t="str">
            <v>Professor/Head of Department</v>
          </cell>
          <cell r="C4">
            <v>1</v>
          </cell>
          <cell r="D4">
            <v>0</v>
          </cell>
        </row>
        <row r="5">
          <cell r="B5" t="str">
            <v>Principal Lecturer</v>
          </cell>
          <cell r="C5">
            <v>1</v>
          </cell>
          <cell r="D5">
            <v>0</v>
          </cell>
        </row>
        <row r="6">
          <cell r="B6" t="str">
            <v>Senior Lecturer</v>
          </cell>
          <cell r="C6">
            <v>1</v>
          </cell>
          <cell r="D6">
            <v>0</v>
          </cell>
        </row>
        <row r="7">
          <cell r="B7" t="str">
            <v>Lecturer</v>
          </cell>
          <cell r="C7">
            <v>1</v>
          </cell>
          <cell r="D7">
            <v>0</v>
          </cell>
        </row>
        <row r="8">
          <cell r="B8" t="str">
            <v>Visiting Academic</v>
          </cell>
          <cell r="C8">
            <v>1</v>
          </cell>
          <cell r="D8">
            <v>0</v>
          </cell>
        </row>
        <row r="9">
          <cell r="B9" t="str">
            <v>Research Reader</v>
          </cell>
          <cell r="C9">
            <v>1</v>
          </cell>
          <cell r="D9">
            <v>1</v>
          </cell>
        </row>
        <row r="10">
          <cell r="B10" t="str">
            <v>Senior Research Fellow</v>
          </cell>
          <cell r="C10">
            <v>1</v>
          </cell>
          <cell r="D10">
            <v>1</v>
          </cell>
        </row>
        <row r="11">
          <cell r="B11" t="str">
            <v>Research Fellow</v>
          </cell>
          <cell r="C11">
            <v>1</v>
          </cell>
          <cell r="D11">
            <v>1</v>
          </cell>
        </row>
        <row r="12">
          <cell r="B12" t="str">
            <v>Research Associate</v>
          </cell>
          <cell r="C12">
            <v>1</v>
          </cell>
          <cell r="D12">
            <v>1</v>
          </cell>
        </row>
        <row r="13">
          <cell r="B13" t="str">
            <v>Technician</v>
          </cell>
          <cell r="C13">
            <v>0</v>
          </cell>
          <cell r="D13">
            <v>0</v>
          </cell>
        </row>
        <row r="14">
          <cell r="B14" t="str">
            <v>PGR Student</v>
          </cell>
          <cell r="C14">
            <v>0</v>
          </cell>
          <cell r="D14">
            <v>0</v>
          </cell>
        </row>
        <row r="15">
          <cell r="B15" t="str">
            <v>J</v>
          </cell>
          <cell r="C15">
            <v>0</v>
          </cell>
          <cell r="D15">
            <v>0</v>
          </cell>
        </row>
        <row r="16">
          <cell r="B16" t="str">
            <v>I</v>
          </cell>
          <cell r="C16">
            <v>0</v>
          </cell>
          <cell r="D16">
            <v>0</v>
          </cell>
        </row>
        <row r="17">
          <cell r="B17" t="str">
            <v>H</v>
          </cell>
          <cell r="C17">
            <v>0</v>
          </cell>
          <cell r="D17">
            <v>0</v>
          </cell>
        </row>
        <row r="18">
          <cell r="B18" t="str">
            <v>G</v>
          </cell>
          <cell r="C18">
            <v>0</v>
          </cell>
          <cell r="D18">
            <v>0</v>
          </cell>
        </row>
        <row r="19">
          <cell r="B19" t="str">
            <v>F</v>
          </cell>
          <cell r="C19">
            <v>0</v>
          </cell>
          <cell r="D19">
            <v>0</v>
          </cell>
        </row>
        <row r="20">
          <cell r="B20" t="str">
            <v>E</v>
          </cell>
          <cell r="C20">
            <v>0</v>
          </cell>
          <cell r="D20">
            <v>0</v>
          </cell>
        </row>
        <row r="21">
          <cell r="B21" t="str">
            <v>D</v>
          </cell>
          <cell r="C21">
            <v>0</v>
          </cell>
          <cell r="D21">
            <v>0</v>
          </cell>
        </row>
        <row r="22">
          <cell r="B22" t="str">
            <v>C</v>
          </cell>
          <cell r="C22">
            <v>0</v>
          </cell>
          <cell r="D22">
            <v>0</v>
          </cell>
        </row>
        <row r="23">
          <cell r="B23" t="str">
            <v>B</v>
          </cell>
          <cell r="C23">
            <v>0</v>
          </cell>
          <cell r="D23">
            <v>0</v>
          </cell>
        </row>
        <row r="24">
          <cell r="B24" t="str">
            <v>A</v>
          </cell>
          <cell r="C24">
            <v>0</v>
          </cell>
          <cell r="D24">
            <v>0</v>
          </cell>
        </row>
      </sheetData>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docs.uwe.ac.uk/ou/finance/Documents/Costing-Pricing/Salary%20Costing%20Booklet.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C135"/>
  <sheetViews>
    <sheetView showRowColHeaders="0" workbookViewId="0">
      <selection activeCell="A6" sqref="A6"/>
    </sheetView>
  </sheetViews>
  <sheetFormatPr defaultColWidth="9.1796875" defaultRowHeight="12.5" x14ac:dyDescent="0.25"/>
  <cols>
    <col min="1" max="1" width="137.81640625" style="147" customWidth="1"/>
    <col min="2" max="16384" width="9.1796875" style="3"/>
  </cols>
  <sheetData>
    <row r="1" spans="1:1" ht="15" x14ac:dyDescent="0.3">
      <c r="A1" s="142" t="s">
        <v>138</v>
      </c>
    </row>
    <row r="2" spans="1:1" ht="15" x14ac:dyDescent="0.3">
      <c r="A2" s="142" t="s">
        <v>362</v>
      </c>
    </row>
    <row r="3" spans="1:1" ht="15" x14ac:dyDescent="0.3">
      <c r="A3" s="142" t="s">
        <v>363</v>
      </c>
    </row>
    <row r="4" spans="1:1" ht="15" x14ac:dyDescent="0.3">
      <c r="A4" s="142"/>
    </row>
    <row r="5" spans="1:1" ht="15" x14ac:dyDescent="0.3">
      <c r="A5" s="142"/>
    </row>
    <row r="6" spans="1:1" ht="54.5" x14ac:dyDescent="0.3">
      <c r="A6" s="143" t="s">
        <v>272</v>
      </c>
    </row>
    <row r="7" spans="1:1" ht="13" x14ac:dyDescent="0.3">
      <c r="A7" s="143"/>
    </row>
    <row r="8" spans="1:1" ht="26" x14ac:dyDescent="0.3">
      <c r="A8" s="143" t="s">
        <v>139</v>
      </c>
    </row>
    <row r="9" spans="1:1" ht="13" x14ac:dyDescent="0.3">
      <c r="A9" s="143"/>
    </row>
    <row r="10" spans="1:1" ht="13" x14ac:dyDescent="0.3">
      <c r="A10" s="143" t="s">
        <v>140</v>
      </c>
    </row>
    <row r="11" spans="1:1" ht="13" x14ac:dyDescent="0.3">
      <c r="A11" s="143"/>
    </row>
    <row r="12" spans="1:1" ht="13" x14ac:dyDescent="0.3">
      <c r="A12" s="144" t="s">
        <v>141</v>
      </c>
    </row>
    <row r="13" spans="1:1" ht="13" x14ac:dyDescent="0.3">
      <c r="A13" s="143"/>
    </row>
    <row r="14" spans="1:1" ht="13" x14ac:dyDescent="0.3">
      <c r="A14" s="145" t="s">
        <v>142</v>
      </c>
    </row>
    <row r="15" spans="1:1" ht="13" x14ac:dyDescent="0.3">
      <c r="A15" s="143"/>
    </row>
    <row r="16" spans="1:1" ht="13" x14ac:dyDescent="0.3">
      <c r="A16" s="146" t="s">
        <v>143</v>
      </c>
    </row>
    <row r="17" spans="1:1" ht="13" x14ac:dyDescent="0.3">
      <c r="A17" s="143"/>
    </row>
    <row r="18" spans="1:1" ht="13" x14ac:dyDescent="0.3">
      <c r="A18" s="146" t="s">
        <v>144</v>
      </c>
    </row>
    <row r="19" spans="1:1" ht="13" x14ac:dyDescent="0.3">
      <c r="A19" s="143"/>
    </row>
    <row r="20" spans="1:1" ht="13" x14ac:dyDescent="0.3">
      <c r="A20" s="146" t="s">
        <v>145</v>
      </c>
    </row>
    <row r="21" spans="1:1" ht="13" x14ac:dyDescent="0.3">
      <c r="A21" s="143"/>
    </row>
    <row r="22" spans="1:1" ht="13" x14ac:dyDescent="0.3">
      <c r="A22" s="146" t="s">
        <v>146</v>
      </c>
    </row>
    <row r="23" spans="1:1" ht="13" x14ac:dyDescent="0.3">
      <c r="A23" s="143"/>
    </row>
    <row r="24" spans="1:1" ht="13" x14ac:dyDescent="0.3">
      <c r="A24" s="146" t="s">
        <v>147</v>
      </c>
    </row>
    <row r="25" spans="1:1" ht="13" x14ac:dyDescent="0.3">
      <c r="A25" s="143"/>
    </row>
    <row r="26" spans="1:1" ht="13" x14ac:dyDescent="0.3">
      <c r="A26" s="146" t="s">
        <v>148</v>
      </c>
    </row>
    <row r="27" spans="1:1" ht="13" x14ac:dyDescent="0.3">
      <c r="A27" s="146"/>
    </row>
    <row r="28" spans="1:1" ht="13" x14ac:dyDescent="0.3">
      <c r="A28" s="143" t="s">
        <v>271</v>
      </c>
    </row>
    <row r="29" spans="1:1" ht="13" x14ac:dyDescent="0.3">
      <c r="A29" s="143"/>
    </row>
    <row r="30" spans="1:1" ht="13" x14ac:dyDescent="0.3">
      <c r="A30" s="146" t="s">
        <v>149</v>
      </c>
    </row>
    <row r="31" spans="1:1" ht="13" x14ac:dyDescent="0.3">
      <c r="A31" s="143"/>
    </row>
    <row r="32" spans="1:1" ht="13" x14ac:dyDescent="0.3">
      <c r="A32" s="146" t="s">
        <v>150</v>
      </c>
    </row>
    <row r="33" spans="1:3" ht="13" x14ac:dyDescent="0.3">
      <c r="A33" s="143"/>
    </row>
    <row r="34" spans="1:3" ht="26" x14ac:dyDescent="0.3">
      <c r="A34" s="146" t="s">
        <v>151</v>
      </c>
    </row>
    <row r="35" spans="1:3" ht="13" x14ac:dyDescent="0.3">
      <c r="A35" s="143"/>
    </row>
    <row r="36" spans="1:3" ht="13" x14ac:dyDescent="0.3">
      <c r="A36" s="146" t="s">
        <v>152</v>
      </c>
    </row>
    <row r="37" spans="1:3" ht="13" x14ac:dyDescent="0.3">
      <c r="A37" s="143"/>
    </row>
    <row r="38" spans="1:3" ht="13" x14ac:dyDescent="0.3">
      <c r="A38" s="149" t="s">
        <v>177</v>
      </c>
      <c r="C38" s="141"/>
    </row>
    <row r="39" spans="1:3" ht="13" x14ac:dyDescent="0.3">
      <c r="A39" s="145"/>
    </row>
    <row r="40" spans="1:3" ht="13" x14ac:dyDescent="0.3">
      <c r="A40" s="145"/>
    </row>
    <row r="41" spans="1:3" ht="13" x14ac:dyDescent="0.3">
      <c r="A41" s="146" t="s">
        <v>215</v>
      </c>
    </row>
    <row r="42" spans="1:3" ht="13" x14ac:dyDescent="0.3">
      <c r="A42" s="146"/>
    </row>
    <row r="43" spans="1:3" ht="13" x14ac:dyDescent="0.3">
      <c r="A43" s="148" t="s">
        <v>153</v>
      </c>
    </row>
    <row r="44" spans="1:3" ht="13" x14ac:dyDescent="0.3">
      <c r="A44" s="143"/>
    </row>
    <row r="45" spans="1:3" ht="13" x14ac:dyDescent="0.3">
      <c r="A45" s="146" t="s">
        <v>154</v>
      </c>
    </row>
    <row r="46" spans="1:3" ht="13" x14ac:dyDescent="0.3">
      <c r="A46" s="143"/>
    </row>
    <row r="47" spans="1:3" ht="13" x14ac:dyDescent="0.3">
      <c r="A47" s="146" t="s">
        <v>155</v>
      </c>
    </row>
    <row r="48" spans="1:3" ht="13" x14ac:dyDescent="0.3">
      <c r="A48" s="143"/>
    </row>
    <row r="49" spans="1:1" ht="78" x14ac:dyDescent="0.3">
      <c r="A49" s="146" t="s">
        <v>347</v>
      </c>
    </row>
    <row r="50" spans="1:1" ht="13" x14ac:dyDescent="0.3">
      <c r="A50" s="146"/>
    </row>
    <row r="51" spans="1:1" ht="52" x14ac:dyDescent="0.3">
      <c r="A51" s="146" t="s">
        <v>239</v>
      </c>
    </row>
    <row r="52" spans="1:1" ht="13" x14ac:dyDescent="0.3">
      <c r="A52" s="146"/>
    </row>
    <row r="53" spans="1:1" ht="13" x14ac:dyDescent="0.3">
      <c r="A53" s="143" t="s">
        <v>240</v>
      </c>
    </row>
    <row r="54" spans="1:1" ht="13" x14ac:dyDescent="0.3">
      <c r="A54" s="146"/>
    </row>
    <row r="55" spans="1:1" ht="156" x14ac:dyDescent="0.25">
      <c r="A55" s="208" t="s">
        <v>253</v>
      </c>
    </row>
    <row r="56" spans="1:1" ht="13" x14ac:dyDescent="0.3">
      <c r="A56" s="146"/>
    </row>
    <row r="57" spans="1:1" ht="13" x14ac:dyDescent="0.3">
      <c r="A57" s="146" t="s">
        <v>157</v>
      </c>
    </row>
    <row r="58" spans="1:1" ht="13" x14ac:dyDescent="0.3">
      <c r="A58" s="143"/>
    </row>
    <row r="59" spans="1:1" ht="13" x14ac:dyDescent="0.3">
      <c r="A59" s="146" t="s">
        <v>158</v>
      </c>
    </row>
    <row r="60" spans="1:1" ht="13" x14ac:dyDescent="0.3">
      <c r="A60" s="143"/>
    </row>
    <row r="61" spans="1:1" ht="13" x14ac:dyDescent="0.3">
      <c r="A61" s="146" t="s">
        <v>159</v>
      </c>
    </row>
    <row r="62" spans="1:1" ht="13" x14ac:dyDescent="0.3">
      <c r="A62" s="143"/>
    </row>
    <row r="63" spans="1:1" ht="13" x14ac:dyDescent="0.3">
      <c r="A63" s="146" t="s">
        <v>216</v>
      </c>
    </row>
    <row r="64" spans="1:1" ht="13" x14ac:dyDescent="0.3">
      <c r="A64" s="143"/>
    </row>
    <row r="65" spans="1:3" ht="13" x14ac:dyDescent="0.3">
      <c r="A65" s="148" t="s">
        <v>160</v>
      </c>
    </row>
    <row r="66" spans="1:3" ht="13" x14ac:dyDescent="0.3">
      <c r="A66" s="143"/>
    </row>
    <row r="67" spans="1:3" ht="13" x14ac:dyDescent="0.3">
      <c r="A67" s="146" t="s">
        <v>161</v>
      </c>
    </row>
    <row r="68" spans="1:3" ht="13" x14ac:dyDescent="0.3">
      <c r="A68" s="143"/>
    </row>
    <row r="69" spans="1:3" ht="13" x14ac:dyDescent="0.3">
      <c r="A69" s="146" t="s">
        <v>155</v>
      </c>
    </row>
    <row r="70" spans="1:3" ht="13" x14ac:dyDescent="0.3">
      <c r="A70" s="143"/>
    </row>
    <row r="71" spans="1:3" ht="78" x14ac:dyDescent="0.3">
      <c r="A71" s="146" t="s">
        <v>325</v>
      </c>
    </row>
    <row r="72" spans="1:3" ht="13" x14ac:dyDescent="0.3">
      <c r="A72" s="143"/>
    </row>
    <row r="73" spans="1:3" ht="13" x14ac:dyDescent="0.3">
      <c r="A73" s="146" t="s">
        <v>156</v>
      </c>
    </row>
    <row r="74" spans="1:3" ht="13" x14ac:dyDescent="0.3">
      <c r="A74" s="143"/>
    </row>
    <row r="75" spans="1:3" ht="26" x14ac:dyDescent="0.3">
      <c r="A75" s="146" t="s">
        <v>162</v>
      </c>
    </row>
    <row r="76" spans="1:3" ht="13" x14ac:dyDescent="0.3">
      <c r="A76" s="143"/>
    </row>
    <row r="77" spans="1:3" ht="26" x14ac:dyDescent="0.3">
      <c r="A77" s="146" t="s">
        <v>163</v>
      </c>
      <c r="C77" s="141"/>
    </row>
    <row r="78" spans="1:3" ht="13" x14ac:dyDescent="0.3">
      <c r="A78" s="143"/>
    </row>
    <row r="79" spans="1:3" ht="13" x14ac:dyDescent="0.3">
      <c r="A79" s="146" t="s">
        <v>164</v>
      </c>
    </row>
    <row r="80" spans="1:3" ht="13" x14ac:dyDescent="0.3">
      <c r="A80" s="143"/>
    </row>
    <row r="81" spans="1:3" x14ac:dyDescent="0.25">
      <c r="A81" s="149" t="s">
        <v>177</v>
      </c>
    </row>
    <row r="82" spans="1:3" ht="13" x14ac:dyDescent="0.3">
      <c r="A82" s="143"/>
    </row>
    <row r="83" spans="1:3" ht="13" x14ac:dyDescent="0.3">
      <c r="A83" s="143"/>
    </row>
    <row r="84" spans="1:3" ht="13" x14ac:dyDescent="0.3">
      <c r="A84" s="146" t="s">
        <v>217</v>
      </c>
    </row>
    <row r="85" spans="1:3" ht="13" x14ac:dyDescent="0.3">
      <c r="A85" s="143"/>
    </row>
    <row r="86" spans="1:3" ht="13" x14ac:dyDescent="0.3">
      <c r="A86" s="146" t="s">
        <v>165</v>
      </c>
    </row>
    <row r="87" spans="1:3" ht="13" x14ac:dyDescent="0.3">
      <c r="A87" s="143"/>
    </row>
    <row r="88" spans="1:3" ht="13" x14ac:dyDescent="0.3">
      <c r="A88" s="146" t="s">
        <v>166</v>
      </c>
      <c r="C88" s="141"/>
    </row>
    <row r="89" spans="1:3" ht="13" x14ac:dyDescent="0.3">
      <c r="A89" s="143"/>
      <c r="C89" s="141"/>
    </row>
    <row r="90" spans="1:3" ht="13" x14ac:dyDescent="0.3">
      <c r="A90" s="146" t="s">
        <v>167</v>
      </c>
    </row>
    <row r="91" spans="1:3" ht="45" customHeight="1" x14ac:dyDescent="0.3">
      <c r="A91" s="146" t="s">
        <v>256</v>
      </c>
    </row>
    <row r="92" spans="1:3" ht="12" customHeight="1" x14ac:dyDescent="0.3">
      <c r="A92" s="143"/>
    </row>
    <row r="93" spans="1:3" ht="13" x14ac:dyDescent="0.3">
      <c r="A93" s="146" t="s">
        <v>218</v>
      </c>
    </row>
    <row r="94" spans="1:3" ht="13" x14ac:dyDescent="0.3">
      <c r="A94" s="143"/>
    </row>
    <row r="95" spans="1:3" ht="26" x14ac:dyDescent="0.3">
      <c r="A95" s="146" t="s">
        <v>168</v>
      </c>
    </row>
    <row r="96" spans="1:3" ht="13" x14ac:dyDescent="0.3">
      <c r="A96" s="143"/>
    </row>
    <row r="97" spans="1:3" ht="13" x14ac:dyDescent="0.3">
      <c r="A97" s="143" t="s">
        <v>169</v>
      </c>
    </row>
    <row r="98" spans="1:3" ht="13" x14ac:dyDescent="0.3">
      <c r="A98" s="143"/>
    </row>
    <row r="99" spans="1:3" ht="13" x14ac:dyDescent="0.3">
      <c r="A99" s="143" t="s">
        <v>170</v>
      </c>
      <c r="C99" s="141"/>
    </row>
    <row r="100" spans="1:3" ht="13" x14ac:dyDescent="0.3">
      <c r="A100" s="143"/>
      <c r="C100" s="141"/>
    </row>
    <row r="101" spans="1:3" ht="13" x14ac:dyDescent="0.3">
      <c r="A101" s="146" t="s">
        <v>171</v>
      </c>
    </row>
    <row r="102" spans="1:3" ht="13" x14ac:dyDescent="0.3">
      <c r="A102" s="143"/>
    </row>
    <row r="103" spans="1:3" x14ac:dyDescent="0.25">
      <c r="A103" s="149" t="s">
        <v>177</v>
      </c>
    </row>
    <row r="104" spans="1:3" x14ac:dyDescent="0.25">
      <c r="A104" s="149"/>
    </row>
    <row r="105" spans="1:3" ht="13" x14ac:dyDescent="0.3">
      <c r="A105" s="143"/>
    </row>
    <row r="106" spans="1:3" ht="13" x14ac:dyDescent="0.3">
      <c r="A106" s="146" t="s">
        <v>172</v>
      </c>
    </row>
    <row r="107" spans="1:3" ht="13" x14ac:dyDescent="0.3">
      <c r="A107" s="143"/>
    </row>
    <row r="108" spans="1:3" ht="13" x14ac:dyDescent="0.3">
      <c r="A108" s="146" t="s">
        <v>173</v>
      </c>
    </row>
    <row r="109" spans="1:3" ht="13" x14ac:dyDescent="0.3">
      <c r="A109" s="143"/>
    </row>
    <row r="110" spans="1:3" ht="13" x14ac:dyDescent="0.3">
      <c r="A110" s="146" t="s">
        <v>174</v>
      </c>
    </row>
    <row r="111" spans="1:3" ht="13" x14ac:dyDescent="0.3">
      <c r="A111" s="143"/>
    </row>
    <row r="112" spans="1:3" ht="13" x14ac:dyDescent="0.3">
      <c r="A112" s="146" t="s">
        <v>175</v>
      </c>
    </row>
    <row r="113" spans="1:1" ht="13" x14ac:dyDescent="0.3">
      <c r="A113" s="143"/>
    </row>
    <row r="114" spans="1:1" ht="39" x14ac:dyDescent="0.3">
      <c r="A114" s="146" t="s">
        <v>176</v>
      </c>
    </row>
    <row r="115" spans="1:1" ht="13" x14ac:dyDescent="0.3">
      <c r="A115" s="143"/>
    </row>
    <row r="116" spans="1:1" ht="13" x14ac:dyDescent="0.3">
      <c r="A116" s="143"/>
    </row>
    <row r="117" spans="1:1" ht="13" x14ac:dyDescent="0.3">
      <c r="A117" s="145" t="s">
        <v>214</v>
      </c>
    </row>
    <row r="118" spans="1:1" ht="13" x14ac:dyDescent="0.3">
      <c r="A118" s="143"/>
    </row>
    <row r="119" spans="1:1" ht="26" x14ac:dyDescent="0.3">
      <c r="A119" s="143" t="s">
        <v>219</v>
      </c>
    </row>
    <row r="120" spans="1:1" ht="13" x14ac:dyDescent="0.3">
      <c r="A120" s="143"/>
    </row>
    <row r="121" spans="1:1" ht="13" x14ac:dyDescent="0.3">
      <c r="A121" s="145" t="s">
        <v>323</v>
      </c>
    </row>
    <row r="122" spans="1:1" ht="13" x14ac:dyDescent="0.3">
      <c r="A122" s="143"/>
    </row>
    <row r="123" spans="1:1" ht="13" x14ac:dyDescent="0.3">
      <c r="A123" s="143" t="s">
        <v>324</v>
      </c>
    </row>
    <row r="124" spans="1:1" ht="13" x14ac:dyDescent="0.3">
      <c r="A124" s="143" t="s">
        <v>349</v>
      </c>
    </row>
    <row r="125" spans="1:1" ht="13" x14ac:dyDescent="0.3">
      <c r="A125" s="143"/>
    </row>
    <row r="126" spans="1:1" ht="13" x14ac:dyDescent="0.3">
      <c r="A126" s="143"/>
    </row>
    <row r="127" spans="1:1" ht="13" x14ac:dyDescent="0.3">
      <c r="A127" s="143"/>
    </row>
    <row r="128" spans="1:1" ht="13" x14ac:dyDescent="0.3">
      <c r="A128" s="143"/>
    </row>
    <row r="129" spans="1:1" ht="13" x14ac:dyDescent="0.3">
      <c r="A129" s="143"/>
    </row>
    <row r="130" spans="1:1" ht="13" x14ac:dyDescent="0.3">
      <c r="A130" s="143"/>
    </row>
    <row r="131" spans="1:1" ht="13" x14ac:dyDescent="0.3">
      <c r="A131" s="143"/>
    </row>
    <row r="132" spans="1:1" ht="13" x14ac:dyDescent="0.3">
      <c r="A132" s="143"/>
    </row>
    <row r="133" spans="1:1" ht="13" x14ac:dyDescent="0.3">
      <c r="A133" s="143"/>
    </row>
    <row r="134" spans="1:1" ht="13" x14ac:dyDescent="0.3">
      <c r="A134" s="143"/>
    </row>
    <row r="135" spans="1:1" ht="13" x14ac:dyDescent="0.3">
      <c r="A135" s="143"/>
    </row>
  </sheetData>
  <sheetProtection algorithmName="SHA-512" hashValue="BhWV8ZQLlv5oVrci/i0BWllbTO3cjvRddVHAU6fnL0sc2AMtL0Bn2oq3CbZDvvsTBOhGNKUrLuJfbINwsnX0Lg==" saltValue="DU80UqqcikSSBliEvj1/2A==" spinCount="100000" sheet="1" objects="1" scenarios="1"/>
  <phoneticPr fontId="2" type="noConversion"/>
  <pageMargins left="0.75" right="0.75" top="1" bottom="1" header="0.5" footer="0.5"/>
  <pageSetup paperSize="9" scale="63" fitToHeight="0" orientation="portrait" blackAndWhite="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Y106"/>
  <sheetViews>
    <sheetView showRowColHeaders="0" tabSelected="1" topLeftCell="A10" workbookViewId="0">
      <selection activeCell="K13" sqref="K13:P13"/>
    </sheetView>
  </sheetViews>
  <sheetFormatPr defaultColWidth="9.1796875" defaultRowHeight="12.5" x14ac:dyDescent="0.25"/>
  <cols>
    <col min="1" max="1" width="2.26953125" style="34" customWidth="1"/>
    <col min="2" max="2" width="27.26953125" style="34" customWidth="1"/>
    <col min="3" max="3" width="1.7265625" style="43" customWidth="1"/>
    <col min="4" max="4" width="20.1796875" style="34" customWidth="1"/>
    <col min="5" max="5" width="1.26953125" style="34" customWidth="1"/>
    <col min="6" max="6" width="31.7265625" style="34" customWidth="1"/>
    <col min="7" max="7" width="2.7265625" style="34" customWidth="1"/>
    <col min="8" max="8" width="10.7265625" style="34" customWidth="1"/>
    <col min="9" max="9" width="3.7265625" style="34" customWidth="1"/>
    <col min="10" max="10" width="2.7265625" style="34" customWidth="1"/>
    <col min="11" max="11" width="10.7265625" style="34" customWidth="1"/>
    <col min="12" max="12" width="9.7265625" style="34" customWidth="1"/>
    <col min="13" max="13" width="2.26953125" style="34" customWidth="1"/>
    <col min="14" max="14" width="9.7265625" style="34" customWidth="1"/>
    <col min="15" max="15" width="2.7265625" style="34" customWidth="1"/>
    <col min="16" max="16" width="9.7265625" style="34" customWidth="1"/>
    <col min="17" max="17" width="13" style="34" customWidth="1"/>
    <col min="18" max="18" width="2.54296875" style="34" customWidth="1"/>
    <col min="19" max="19" width="3" style="34" customWidth="1"/>
    <col min="20" max="16384" width="9.1796875" style="34"/>
  </cols>
  <sheetData>
    <row r="1" spans="1:19" ht="18" x14ac:dyDescent="0.4">
      <c r="A1" s="328" t="s">
        <v>130</v>
      </c>
      <c r="B1" s="328"/>
      <c r="C1" s="328"/>
      <c r="D1" s="328"/>
      <c r="E1" s="328"/>
      <c r="F1" s="328"/>
      <c r="G1" s="328"/>
      <c r="H1" s="328"/>
      <c r="I1" s="328"/>
      <c r="J1" s="328"/>
      <c r="K1" s="328"/>
      <c r="L1" s="328"/>
      <c r="M1" s="328"/>
      <c r="N1" s="328"/>
      <c r="O1" s="328"/>
      <c r="P1" s="328"/>
      <c r="Q1" s="328"/>
      <c r="R1" s="328"/>
    </row>
    <row r="2" spans="1:19" ht="18" customHeight="1" x14ac:dyDescent="0.4">
      <c r="A2" s="328" t="s">
        <v>129</v>
      </c>
      <c r="B2" s="328"/>
      <c r="C2" s="328"/>
      <c r="D2" s="328"/>
      <c r="E2" s="328"/>
      <c r="F2" s="328"/>
      <c r="G2" s="328"/>
      <c r="H2" s="328"/>
      <c r="I2" s="328"/>
      <c r="J2" s="328"/>
      <c r="K2" s="328"/>
      <c r="L2" s="328"/>
      <c r="M2" s="328"/>
      <c r="N2" s="328"/>
      <c r="O2" s="328"/>
      <c r="P2" s="328"/>
      <c r="Q2" s="328"/>
      <c r="R2" s="328"/>
    </row>
    <row r="3" spans="1:19" ht="18" x14ac:dyDescent="0.4">
      <c r="B3" s="35"/>
      <c r="C3" s="35"/>
      <c r="D3" s="35"/>
      <c r="E3" s="35"/>
      <c r="F3" s="35"/>
      <c r="G3" s="35"/>
      <c r="H3" s="35"/>
      <c r="I3" s="35"/>
      <c r="J3" s="35"/>
      <c r="K3" s="35"/>
      <c r="L3" s="35"/>
      <c r="M3" s="35"/>
      <c r="N3" s="35"/>
      <c r="O3" s="35"/>
      <c r="P3" s="35"/>
      <c r="Q3" s="35"/>
      <c r="R3" s="35"/>
    </row>
    <row r="4" spans="1:19" ht="18" x14ac:dyDescent="0.4">
      <c r="B4" s="35"/>
      <c r="C4" s="35"/>
      <c r="D4" s="35"/>
      <c r="E4" s="35"/>
      <c r="F4" s="35"/>
      <c r="G4" s="35"/>
      <c r="H4" s="35"/>
      <c r="I4" s="35"/>
      <c r="J4" s="35"/>
      <c r="K4" s="128" t="str">
        <f>IF(AND(P9&gt;12,P9&lt;&gt;""), "*  Duration must be less than 1 year","")</f>
        <v/>
      </c>
      <c r="L4" s="35"/>
      <c r="M4" s="35"/>
      <c r="N4" s="328" t="s">
        <v>364</v>
      </c>
      <c r="O4" s="328"/>
      <c r="P4" s="328"/>
      <c r="Q4" s="328"/>
      <c r="R4" s="328"/>
    </row>
    <row r="5" spans="1:19" ht="7.5" customHeight="1" x14ac:dyDescent="0.25">
      <c r="A5" s="36"/>
      <c r="B5" s="36"/>
      <c r="D5" s="36"/>
      <c r="E5" s="36"/>
      <c r="F5" s="36"/>
      <c r="G5" s="36"/>
      <c r="H5" s="36"/>
      <c r="I5" s="36"/>
      <c r="J5" s="36"/>
      <c r="K5" s="36"/>
      <c r="L5" s="36"/>
      <c r="M5" s="36"/>
      <c r="N5" s="36"/>
      <c r="O5" s="36"/>
      <c r="P5" s="36"/>
      <c r="Q5" s="36"/>
      <c r="R5" s="36"/>
      <c r="S5" s="36"/>
    </row>
    <row r="6" spans="1:19" ht="10" customHeight="1" x14ac:dyDescent="0.25">
      <c r="A6" s="36"/>
      <c r="B6" s="37"/>
      <c r="C6" s="218"/>
      <c r="D6" s="38"/>
      <c r="E6" s="38"/>
      <c r="F6" s="38"/>
      <c r="G6" s="38"/>
      <c r="H6" s="38"/>
      <c r="I6" s="38"/>
      <c r="J6" s="38"/>
      <c r="K6" s="38"/>
      <c r="L6" s="38"/>
      <c r="M6" s="38"/>
      <c r="N6" s="38"/>
      <c r="O6" s="38"/>
      <c r="P6" s="38"/>
      <c r="Q6" s="38"/>
      <c r="R6" s="39"/>
      <c r="S6" s="36"/>
    </row>
    <row r="7" spans="1:19" ht="15" customHeight="1" x14ac:dyDescent="0.3">
      <c r="A7" s="36"/>
      <c r="B7" s="40" t="s">
        <v>3</v>
      </c>
      <c r="C7" s="46"/>
      <c r="D7" s="321"/>
      <c r="E7" s="329"/>
      <c r="F7" s="329"/>
      <c r="G7" s="329"/>
      <c r="H7" s="329"/>
      <c r="I7" s="329"/>
      <c r="J7" s="329"/>
      <c r="K7" s="329"/>
      <c r="L7" s="41"/>
      <c r="M7" s="320" t="s">
        <v>79</v>
      </c>
      <c r="N7" s="320"/>
      <c r="O7" s="104"/>
      <c r="P7" s="321"/>
      <c r="Q7" s="322"/>
      <c r="R7" s="42"/>
      <c r="S7" s="43"/>
    </row>
    <row r="8" spans="1:19" ht="10" customHeight="1" x14ac:dyDescent="0.25">
      <c r="A8" s="43"/>
      <c r="B8" s="44"/>
      <c r="C8" s="41"/>
      <c r="D8" s="41"/>
      <c r="E8" s="41"/>
      <c r="F8" s="41"/>
      <c r="G8" s="41"/>
      <c r="H8" s="41"/>
      <c r="I8" s="41"/>
      <c r="J8" s="41"/>
      <c r="K8" s="41"/>
      <c r="L8" s="41"/>
      <c r="M8" s="41"/>
      <c r="N8" s="41"/>
      <c r="O8" s="41"/>
      <c r="P8" s="41"/>
      <c r="Q8" s="41"/>
      <c r="R8" s="42"/>
      <c r="S8" s="43"/>
    </row>
    <row r="9" spans="1:19" ht="15" customHeight="1" x14ac:dyDescent="0.3">
      <c r="A9" s="43"/>
      <c r="B9" s="45" t="s">
        <v>4</v>
      </c>
      <c r="C9" s="46"/>
      <c r="D9" s="281">
        <v>44013</v>
      </c>
      <c r="E9" s="41"/>
      <c r="F9" s="41"/>
      <c r="G9" s="46"/>
      <c r="H9" s="46" t="s">
        <v>5</v>
      </c>
      <c r="I9" s="41"/>
      <c r="J9" s="41"/>
      <c r="K9" s="282">
        <v>44013</v>
      </c>
      <c r="L9" s="41"/>
      <c r="M9" s="41"/>
      <c r="N9" s="49" t="s">
        <v>6</v>
      </c>
      <c r="O9" s="128" t="str">
        <f>IF(AND(P9&gt;12,P9&lt;&gt;""), "*","")</f>
        <v/>
      </c>
      <c r="P9" s="55">
        <f>IF(OR(,D9="",K9=""),"",ROUND((+K9-D9)/30.4,0))</f>
        <v>0</v>
      </c>
      <c r="Q9" s="46" t="s">
        <v>7</v>
      </c>
      <c r="R9" s="47"/>
      <c r="S9" s="43"/>
    </row>
    <row r="10" spans="1:19" ht="10" customHeight="1" x14ac:dyDescent="0.25">
      <c r="A10" s="43"/>
      <c r="B10" s="44"/>
      <c r="C10" s="41"/>
      <c r="D10" s="48"/>
      <c r="E10" s="48"/>
      <c r="F10" s="41"/>
      <c r="G10" s="41"/>
      <c r="H10" s="41"/>
      <c r="I10" s="41"/>
      <c r="J10" s="41"/>
      <c r="K10" s="41"/>
      <c r="L10" s="41"/>
      <c r="M10" s="41"/>
      <c r="N10" s="41"/>
      <c r="O10" s="41"/>
      <c r="P10" s="41"/>
      <c r="Q10" s="41"/>
      <c r="R10" s="42"/>
      <c r="S10" s="43"/>
    </row>
    <row r="11" spans="1:19" ht="15" customHeight="1" x14ac:dyDescent="0.3">
      <c r="A11" s="43"/>
      <c r="B11" s="45" t="s">
        <v>8</v>
      </c>
      <c r="C11" s="46"/>
      <c r="D11" s="321"/>
      <c r="E11" s="322"/>
      <c r="F11" s="322"/>
      <c r="G11" s="322"/>
      <c r="H11" s="320" t="s">
        <v>265</v>
      </c>
      <c r="I11" s="320"/>
      <c r="J11" s="320"/>
      <c r="K11" s="322"/>
      <c r="L11" s="322"/>
      <c r="M11" s="322"/>
      <c r="N11" s="322"/>
      <c r="O11" s="322"/>
      <c r="P11" s="322"/>
      <c r="Q11" s="41"/>
      <c r="R11" s="42"/>
      <c r="S11" s="43"/>
    </row>
    <row r="12" spans="1:19" ht="10" customHeight="1" x14ac:dyDescent="0.25">
      <c r="A12" s="43"/>
      <c r="B12" s="44"/>
      <c r="C12" s="41"/>
      <c r="D12" s="41"/>
      <c r="E12" s="41"/>
      <c r="F12" s="41"/>
      <c r="G12" s="41"/>
      <c r="H12" s="41"/>
      <c r="I12" s="41"/>
      <c r="J12" s="41"/>
      <c r="K12" s="242" t="str">
        <f>IF(K11&lt;&gt;"",VLOOKUP(K11,facshort,3,FALSE),"")</f>
        <v/>
      </c>
      <c r="L12" s="41"/>
      <c r="M12" s="41"/>
      <c r="N12" s="41"/>
      <c r="O12" s="41"/>
      <c r="P12" s="41"/>
      <c r="Q12" s="41"/>
      <c r="R12" s="42"/>
      <c r="S12" s="43"/>
    </row>
    <row r="13" spans="1:19" ht="15" customHeight="1" x14ac:dyDescent="0.3">
      <c r="A13" s="43"/>
      <c r="B13" s="45" t="s">
        <v>10</v>
      </c>
      <c r="C13" s="46"/>
      <c r="D13" s="321"/>
      <c r="E13" s="322"/>
      <c r="F13" s="322"/>
      <c r="G13" s="322"/>
      <c r="H13" s="320" t="s">
        <v>9</v>
      </c>
      <c r="I13" s="320"/>
      <c r="J13" s="320"/>
      <c r="K13" s="322"/>
      <c r="L13" s="322"/>
      <c r="M13" s="322"/>
      <c r="N13" s="322"/>
      <c r="O13" s="322"/>
      <c r="P13" s="322"/>
      <c r="Q13" s="46"/>
      <c r="R13" s="42"/>
      <c r="S13" s="43"/>
    </row>
    <row r="14" spans="1:19" ht="13" x14ac:dyDescent="0.3">
      <c r="A14" s="43"/>
      <c r="B14" s="44"/>
      <c r="C14" s="41"/>
      <c r="D14" s="41"/>
      <c r="E14" s="41"/>
      <c r="F14" s="41"/>
      <c r="G14" s="41"/>
      <c r="H14" s="41"/>
      <c r="I14" s="41"/>
      <c r="J14" s="41"/>
      <c r="K14" s="41"/>
      <c r="L14" s="41"/>
      <c r="M14" s="41"/>
      <c r="N14" s="41"/>
      <c r="O14" s="41"/>
      <c r="P14" s="41"/>
      <c r="Q14" s="46"/>
      <c r="R14" s="42"/>
      <c r="S14" s="43"/>
    </row>
    <row r="15" spans="1:19" ht="15" customHeight="1" x14ac:dyDescent="0.3">
      <c r="A15" s="43"/>
      <c r="B15" s="45" t="s">
        <v>98</v>
      </c>
      <c r="C15" s="46"/>
      <c r="D15" s="321"/>
      <c r="E15" s="325"/>
      <c r="F15" s="322"/>
      <c r="G15" s="322"/>
      <c r="H15" s="41"/>
      <c r="I15" s="46"/>
      <c r="J15" s="41"/>
      <c r="K15" s="41"/>
      <c r="L15" s="41"/>
      <c r="M15" s="41"/>
      <c r="N15" s="41"/>
      <c r="O15" s="41"/>
      <c r="P15" s="41"/>
      <c r="Q15" s="46"/>
      <c r="R15" s="42"/>
      <c r="S15" s="43"/>
    </row>
    <row r="16" spans="1:19" ht="15" customHeight="1" x14ac:dyDescent="0.25">
      <c r="A16" s="43"/>
      <c r="B16" s="44"/>
      <c r="C16" s="41"/>
      <c r="D16" s="41"/>
      <c r="E16" s="41"/>
      <c r="F16" s="41"/>
      <c r="G16" s="41"/>
      <c r="H16" s="41"/>
      <c r="I16" s="41"/>
      <c r="J16" s="41"/>
      <c r="K16" s="41"/>
      <c r="L16" s="41"/>
      <c r="M16" s="41"/>
      <c r="N16" s="41"/>
      <c r="O16" s="41"/>
      <c r="P16" s="41"/>
      <c r="Q16" s="41"/>
      <c r="R16" s="42"/>
      <c r="S16" s="43"/>
    </row>
    <row r="17" spans="1:22" ht="15" customHeight="1" x14ac:dyDescent="0.3">
      <c r="A17" s="43"/>
      <c r="B17" s="45" t="s">
        <v>19</v>
      </c>
      <c r="C17" s="46"/>
      <c r="D17" s="321"/>
      <c r="E17" s="322"/>
      <c r="F17" s="322"/>
      <c r="G17" s="322"/>
      <c r="H17" s="320" t="s">
        <v>103</v>
      </c>
      <c r="I17" s="320"/>
      <c r="J17" s="320"/>
      <c r="K17" s="324" t="s">
        <v>340</v>
      </c>
      <c r="L17" s="324"/>
      <c r="M17" s="324"/>
      <c r="N17" s="324"/>
      <c r="O17" s="324"/>
      <c r="P17" s="324"/>
      <c r="Q17" s="41"/>
      <c r="R17" s="42"/>
      <c r="S17" s="43"/>
    </row>
    <row r="18" spans="1:22" ht="17.25" customHeight="1" x14ac:dyDescent="0.3">
      <c r="A18" s="43"/>
      <c r="B18" s="44"/>
      <c r="C18" s="41"/>
      <c r="D18" s="41"/>
      <c r="E18" s="41"/>
      <c r="F18" s="41"/>
      <c r="G18" s="41"/>
      <c r="H18" s="41"/>
      <c r="I18" s="41"/>
      <c r="J18" s="41"/>
      <c r="K18" s="326" t="e">
        <f>VLOOKUP(K17,lists!K24:L30,2,FALSE)</f>
        <v>#N/A</v>
      </c>
      <c r="L18" s="326"/>
      <c r="M18" s="326"/>
      <c r="N18" s="326"/>
      <c r="O18" s="326"/>
      <c r="P18" s="326"/>
      <c r="Q18" s="326"/>
      <c r="R18" s="327"/>
      <c r="S18" s="43"/>
    </row>
    <row r="19" spans="1:22" ht="12.75" customHeight="1" x14ac:dyDescent="0.3">
      <c r="A19" s="43"/>
      <c r="B19" s="78"/>
      <c r="C19" s="217"/>
      <c r="D19" s="50"/>
      <c r="E19" s="50"/>
      <c r="F19" s="50"/>
      <c r="G19" s="50"/>
      <c r="H19" s="50"/>
      <c r="I19" s="50"/>
      <c r="J19" s="50"/>
      <c r="K19" s="50"/>
      <c r="L19" s="50"/>
      <c r="M19" s="50"/>
      <c r="N19" s="50"/>
      <c r="O19" s="50"/>
      <c r="P19" s="50"/>
      <c r="Q19" s="50"/>
      <c r="R19" s="51"/>
      <c r="S19" s="43"/>
    </row>
    <row r="20" spans="1:22" x14ac:dyDescent="0.25">
      <c r="A20" s="43"/>
      <c r="B20" s="41"/>
      <c r="C20" s="41"/>
      <c r="D20" s="41"/>
      <c r="E20" s="41"/>
      <c r="F20" s="41"/>
      <c r="G20" s="41"/>
      <c r="H20" s="41"/>
      <c r="I20" s="41"/>
      <c r="J20" s="41"/>
      <c r="K20" s="41"/>
      <c r="L20" s="41"/>
      <c r="M20" s="41"/>
      <c r="N20" s="41"/>
      <c r="O20" s="41"/>
      <c r="P20" s="41"/>
      <c r="Q20" s="41"/>
      <c r="R20" s="41"/>
      <c r="S20" s="43"/>
    </row>
    <row r="21" spans="1:22" ht="15.5" x14ac:dyDescent="0.35">
      <c r="A21" s="43"/>
      <c r="B21" s="106" t="s">
        <v>54</v>
      </c>
      <c r="C21" s="106"/>
      <c r="D21" s="41"/>
      <c r="E21" s="41"/>
      <c r="F21" s="129" t="s">
        <v>133</v>
      </c>
      <c r="G21" s="41"/>
      <c r="H21" s="41"/>
      <c r="I21" s="41"/>
      <c r="J21" s="41"/>
      <c r="K21" s="41"/>
      <c r="L21" s="41"/>
      <c r="M21" s="41"/>
      <c r="N21" s="41"/>
      <c r="O21" s="41"/>
      <c r="P21" s="41"/>
      <c r="Q21" s="41"/>
      <c r="R21" s="41"/>
      <c r="S21" s="43"/>
    </row>
    <row r="22" spans="1:22" ht="7.5" customHeight="1" x14ac:dyDescent="0.25">
      <c r="A22" s="43"/>
      <c r="B22" s="41"/>
      <c r="C22" s="41"/>
      <c r="D22" s="41"/>
      <c r="E22" s="41"/>
      <c r="F22" s="41"/>
      <c r="G22" s="41"/>
      <c r="H22" s="41"/>
      <c r="I22" s="41"/>
      <c r="J22" s="41"/>
      <c r="K22" s="41"/>
      <c r="L22" s="41"/>
      <c r="M22" s="41"/>
      <c r="N22" s="41"/>
      <c r="O22" s="41"/>
      <c r="P22" s="41"/>
      <c r="Q22" s="41"/>
      <c r="R22" s="41"/>
      <c r="S22" s="43"/>
    </row>
    <row r="23" spans="1:22" ht="13" x14ac:dyDescent="0.3">
      <c r="A23" s="43"/>
      <c r="B23" s="46" t="s">
        <v>99</v>
      </c>
      <c r="C23" s="46"/>
      <c r="D23" s="41"/>
      <c r="E23" s="41"/>
      <c r="F23" s="41"/>
      <c r="G23" s="41"/>
      <c r="H23" s="41"/>
      <c r="I23" s="41"/>
      <c r="J23" s="41"/>
      <c r="K23" s="41"/>
      <c r="L23" s="41"/>
      <c r="M23" s="41"/>
      <c r="N23" s="41"/>
      <c r="O23" s="41"/>
      <c r="P23" s="41"/>
      <c r="Q23" s="41"/>
      <c r="R23" s="41"/>
      <c r="S23" s="43"/>
    </row>
    <row r="24" spans="1:22" ht="7.5" customHeight="1" x14ac:dyDescent="0.25">
      <c r="A24" s="43"/>
      <c r="B24" s="43"/>
      <c r="D24" s="43"/>
      <c r="E24" s="43"/>
      <c r="F24" s="43"/>
      <c r="G24" s="43"/>
      <c r="H24" s="43"/>
      <c r="I24" s="43"/>
      <c r="J24" s="43"/>
      <c r="K24" s="43"/>
      <c r="L24" s="43"/>
      <c r="M24" s="43"/>
      <c r="N24" s="43"/>
      <c r="O24" s="43"/>
      <c r="P24" s="43"/>
      <c r="Q24" s="43"/>
      <c r="R24" s="43"/>
      <c r="S24" s="43"/>
    </row>
    <row r="25" spans="1:22" ht="13" x14ac:dyDescent="0.3">
      <c r="B25" s="52" t="s">
        <v>1</v>
      </c>
      <c r="C25" s="52"/>
      <c r="D25" s="52" t="s">
        <v>265</v>
      </c>
      <c r="E25" s="52"/>
      <c r="F25" s="52" t="s">
        <v>9</v>
      </c>
      <c r="H25" s="52" t="s">
        <v>137</v>
      </c>
      <c r="K25" s="52" t="s">
        <v>100</v>
      </c>
      <c r="L25" s="43"/>
      <c r="M25" s="52"/>
      <c r="N25" s="102" t="s">
        <v>105</v>
      </c>
      <c r="O25" s="43"/>
      <c r="P25" s="82" t="s">
        <v>101</v>
      </c>
      <c r="Q25" s="82" t="s">
        <v>102</v>
      </c>
    </row>
    <row r="26" spans="1:22" ht="13" x14ac:dyDescent="0.3">
      <c r="B26" s="52"/>
      <c r="C26" s="52"/>
      <c r="F26" s="52"/>
      <c r="H26" s="52"/>
      <c r="K26" s="52"/>
      <c r="L26" s="43"/>
      <c r="M26" s="52"/>
      <c r="N26" s="105" t="s">
        <v>28</v>
      </c>
      <c r="O26" s="126">
        <f>IF(N26="Hours",3,IF(N26="Days",4,IF(N26="Weeks",5,IF(N26="Months",6,0))))</f>
        <v>4</v>
      </c>
      <c r="P26" s="82"/>
      <c r="Q26" s="82"/>
    </row>
    <row r="27" spans="1:22" ht="7.5" customHeight="1" x14ac:dyDescent="0.3">
      <c r="B27" s="52"/>
      <c r="C27" s="52"/>
      <c r="L27" s="43"/>
      <c r="O27" s="43"/>
    </row>
    <row r="28" spans="1:22" ht="13" x14ac:dyDescent="0.3">
      <c r="B28" s="103"/>
      <c r="C28" s="52"/>
      <c r="D28" s="221" t="s">
        <v>275</v>
      </c>
      <c r="E28" s="52"/>
      <c r="F28" s="302" t="s">
        <v>261</v>
      </c>
      <c r="H28" s="323" t="s">
        <v>107</v>
      </c>
      <c r="I28" s="323"/>
      <c r="K28" s="314" t="s">
        <v>41</v>
      </c>
      <c r="L28" s="314"/>
      <c r="M28" s="59">
        <f>IF($K28= ""," ",VLOOKUP($K28,allstafffec,2,FALSE))</f>
        <v>1</v>
      </c>
      <c r="N28" s="302">
        <v>1</v>
      </c>
      <c r="O28" s="43"/>
      <c r="P28" s="113">
        <f>'Staff Analysis (DA)'!T19</f>
        <v>293.95</v>
      </c>
      <c r="Q28" s="116">
        <f>ROUND((N28*P28),0)</f>
        <v>294</v>
      </c>
      <c r="T28" s="127">
        <f>IF(AND(M28=1,H28="Laboratory"),N28,0)</f>
        <v>0</v>
      </c>
      <c r="U28" s="127">
        <f>IF(AND(M28=1,H28="Non Laboratory"),N28,0)</f>
        <v>1</v>
      </c>
      <c r="V28" s="127">
        <f>IF(AND(M28=1,H28="Off Campus"),N28,0)</f>
        <v>0</v>
      </c>
    </row>
    <row r="29" spans="1:22" ht="13" x14ac:dyDescent="0.3">
      <c r="B29" s="52"/>
      <c r="C29" s="52"/>
      <c r="L29" s="43"/>
      <c r="O29" s="43"/>
      <c r="P29" s="113"/>
      <c r="Q29" s="116"/>
      <c r="T29" s="127"/>
      <c r="U29" s="127"/>
      <c r="V29" s="127"/>
    </row>
    <row r="30" spans="1:22" ht="13" x14ac:dyDescent="0.3">
      <c r="B30" s="103"/>
      <c r="C30" s="52"/>
      <c r="D30" s="220" t="s">
        <v>266</v>
      </c>
      <c r="F30" s="2" t="s">
        <v>266</v>
      </c>
      <c r="H30" s="318" t="s">
        <v>104</v>
      </c>
      <c r="I30" s="318"/>
      <c r="K30" s="314" t="s">
        <v>104</v>
      </c>
      <c r="L30" s="314"/>
      <c r="M30" s="59">
        <f>IF($K30= ""," ",VLOOKUP($K30,allstafffec,2,FALSE))</f>
        <v>0</v>
      </c>
      <c r="N30" s="2"/>
      <c r="O30" s="43"/>
      <c r="P30" s="113">
        <f>'Staff Analysis (DA)'!T21</f>
        <v>0</v>
      </c>
      <c r="Q30" s="116">
        <f>ROUND((N30*P30),0)</f>
        <v>0</v>
      </c>
      <c r="T30" s="127">
        <f>IF(AND(M30=1,H30="Laboratory"),N30,0)</f>
        <v>0</v>
      </c>
      <c r="U30" s="127">
        <f>IF(AND(M30=1,H30="Non Laboratory"),N30,0)</f>
        <v>0</v>
      </c>
      <c r="V30" s="127">
        <f>IF(AND(M30=1,H30="Off Campus"),N30,0)</f>
        <v>0</v>
      </c>
    </row>
    <row r="31" spans="1:22" ht="13" x14ac:dyDescent="0.3">
      <c r="B31" s="52"/>
      <c r="C31" s="52"/>
      <c r="L31" s="43"/>
      <c r="O31" s="43"/>
      <c r="P31" s="113"/>
      <c r="Q31" s="116"/>
      <c r="T31" s="127"/>
      <c r="U31" s="127"/>
      <c r="V31" s="127"/>
    </row>
    <row r="32" spans="1:22" ht="13" x14ac:dyDescent="0.3">
      <c r="B32" s="103"/>
      <c r="C32" s="52"/>
      <c r="D32" s="220" t="s">
        <v>266</v>
      </c>
      <c r="F32" s="2" t="s">
        <v>266</v>
      </c>
      <c r="H32" s="318" t="s">
        <v>104</v>
      </c>
      <c r="I32" s="318"/>
      <c r="K32" s="314" t="s">
        <v>104</v>
      </c>
      <c r="L32" s="314"/>
      <c r="M32" s="59">
        <f>IF($K32= ""," ",VLOOKUP($K32,allstafffec,2,FALSE))</f>
        <v>0</v>
      </c>
      <c r="N32" s="2"/>
      <c r="O32" s="43"/>
      <c r="P32" s="113">
        <f>'Staff Analysis (DA)'!T23</f>
        <v>0</v>
      </c>
      <c r="Q32" s="116">
        <f>ROUND((N32*P32),0)</f>
        <v>0</v>
      </c>
      <c r="T32" s="127">
        <f>IF(AND(M32=1,H32="Laboratory"),N32,0)</f>
        <v>0</v>
      </c>
      <c r="U32" s="127">
        <f>IF(AND(M32=1,H32="Non Laboratory"),N32,0)</f>
        <v>0</v>
      </c>
      <c r="V32" s="127">
        <f>IF(AND(M32=1,H32="Off Campus"),N32,0)</f>
        <v>0</v>
      </c>
    </row>
    <row r="33" spans="1:25" ht="13" x14ac:dyDescent="0.3">
      <c r="B33" s="52"/>
      <c r="C33" s="52"/>
      <c r="L33" s="43"/>
      <c r="O33" s="43"/>
      <c r="P33" s="113"/>
      <c r="Q33" s="116"/>
      <c r="T33" s="127"/>
      <c r="U33" s="127"/>
      <c r="V33" s="127"/>
    </row>
    <row r="34" spans="1:25" ht="13" x14ac:dyDescent="0.3">
      <c r="B34" s="103"/>
      <c r="C34" s="52"/>
      <c r="D34" s="220" t="s">
        <v>266</v>
      </c>
      <c r="F34" s="2" t="s">
        <v>266</v>
      </c>
      <c r="H34" s="318" t="s">
        <v>104</v>
      </c>
      <c r="I34" s="318"/>
      <c r="K34" s="314" t="s">
        <v>104</v>
      </c>
      <c r="L34" s="314"/>
      <c r="M34" s="59">
        <f>IF($K34= ""," ",VLOOKUP($K34,allstafffec,2,FALSE))</f>
        <v>0</v>
      </c>
      <c r="N34" s="2"/>
      <c r="O34" s="43"/>
      <c r="P34" s="113">
        <f>'Staff Analysis (DA)'!T25</f>
        <v>0</v>
      </c>
      <c r="Q34" s="116">
        <f>ROUND((N34*P34),0)</f>
        <v>0</v>
      </c>
      <c r="T34" s="127">
        <f>IF(AND(M34=1,H34="Laboratory"),N34,0)</f>
        <v>0</v>
      </c>
      <c r="U34" s="127">
        <f>IF(AND(M34=1,H34="Non Laboratory"),N34,0)</f>
        <v>0</v>
      </c>
      <c r="V34" s="127">
        <f>IF(AND(M34=1,H34="Off Campus"),N34,0)</f>
        <v>0</v>
      </c>
    </row>
    <row r="35" spans="1:25" ht="13" x14ac:dyDescent="0.3">
      <c r="B35" s="52"/>
      <c r="C35" s="52"/>
      <c r="L35" s="43"/>
      <c r="O35" s="43"/>
      <c r="P35" s="113"/>
      <c r="Q35" s="116"/>
      <c r="T35" s="127"/>
      <c r="U35" s="127"/>
      <c r="V35" s="127"/>
    </row>
    <row r="36" spans="1:25" ht="13" x14ac:dyDescent="0.3">
      <c r="B36" s="52"/>
      <c r="C36" s="52"/>
      <c r="H36" s="52" t="s">
        <v>111</v>
      </c>
      <c r="K36" s="82"/>
      <c r="L36" s="43"/>
      <c r="N36" s="107">
        <f>SUM(N28+N30+N32+N34)</f>
        <v>1</v>
      </c>
      <c r="O36" s="43"/>
      <c r="P36" s="52"/>
      <c r="Q36" s="117">
        <f>SUM(Q28+Q30+Q32+Q34)</f>
        <v>294</v>
      </c>
      <c r="T36" s="127"/>
      <c r="U36" s="127"/>
      <c r="V36" s="127"/>
    </row>
    <row r="37" spans="1:25" ht="13" x14ac:dyDescent="0.3">
      <c r="B37" s="52"/>
      <c r="C37" s="52"/>
      <c r="L37" s="43"/>
      <c r="O37" s="43"/>
      <c r="T37" s="127"/>
      <c r="U37" s="127"/>
      <c r="V37" s="127"/>
    </row>
    <row r="38" spans="1:25" ht="15.5" x14ac:dyDescent="0.35">
      <c r="A38" s="43"/>
      <c r="B38" s="106" t="s">
        <v>55</v>
      </c>
      <c r="C38" s="106"/>
      <c r="D38" s="41"/>
      <c r="E38" s="41"/>
      <c r="F38" s="129" t="s">
        <v>134</v>
      </c>
      <c r="G38" s="41"/>
      <c r="H38" s="41"/>
      <c r="I38" s="41"/>
      <c r="J38" s="41"/>
      <c r="K38" s="41"/>
      <c r="L38" s="43"/>
      <c r="M38" s="41"/>
      <c r="N38" s="41"/>
      <c r="O38" s="43"/>
      <c r="P38" s="41"/>
      <c r="Q38" s="41"/>
      <c r="R38" s="41"/>
      <c r="S38" s="43"/>
      <c r="T38" s="127"/>
      <c r="U38" s="127"/>
      <c r="V38" s="127"/>
    </row>
    <row r="39" spans="1:25" x14ac:dyDescent="0.25">
      <c r="A39" s="43"/>
      <c r="B39" s="140" t="s">
        <v>136</v>
      </c>
      <c r="C39" s="219"/>
      <c r="D39" s="41"/>
      <c r="E39" s="41"/>
      <c r="F39" s="41"/>
      <c r="G39" s="41"/>
      <c r="H39" s="41"/>
      <c r="I39" s="41"/>
      <c r="J39" s="41"/>
      <c r="K39" s="41"/>
      <c r="L39" s="43"/>
      <c r="M39" s="41"/>
      <c r="N39" s="41"/>
      <c r="O39" s="43"/>
      <c r="P39" s="41"/>
      <c r="Q39" s="41"/>
      <c r="R39" s="41"/>
      <c r="S39" s="43"/>
      <c r="T39" s="127"/>
      <c r="U39" s="127"/>
      <c r="V39" s="127"/>
    </row>
    <row r="40" spans="1:25" ht="13" x14ac:dyDescent="0.3">
      <c r="A40" s="43"/>
      <c r="B40" s="46" t="s">
        <v>99</v>
      </c>
      <c r="C40" s="46"/>
      <c r="D40" s="41"/>
      <c r="E40" s="41"/>
      <c r="F40" s="41"/>
      <c r="G40" s="41"/>
      <c r="H40" s="41"/>
      <c r="I40" s="41"/>
      <c r="J40" s="41"/>
      <c r="K40" s="41"/>
      <c r="L40" s="43"/>
      <c r="M40" s="41"/>
      <c r="N40" s="41"/>
      <c r="O40" s="43"/>
      <c r="P40" s="41"/>
      <c r="Q40" s="41"/>
      <c r="R40" s="41"/>
      <c r="S40" s="43"/>
      <c r="T40" s="127"/>
      <c r="U40" s="127"/>
      <c r="V40" s="127"/>
    </row>
    <row r="41" spans="1:25" ht="7.5" customHeight="1" x14ac:dyDescent="0.25">
      <c r="A41" s="43"/>
      <c r="B41" s="43"/>
      <c r="D41" s="43"/>
      <c r="E41" s="43"/>
      <c r="F41" s="43"/>
      <c r="G41" s="43"/>
      <c r="H41" s="43"/>
      <c r="I41" s="43"/>
      <c r="J41" s="43"/>
      <c r="K41" s="43"/>
      <c r="L41" s="43"/>
      <c r="M41" s="43"/>
      <c r="N41" s="43"/>
      <c r="O41" s="43"/>
      <c r="P41" s="43"/>
      <c r="Q41" s="43"/>
      <c r="R41" s="43"/>
      <c r="S41" s="43"/>
      <c r="T41" s="127"/>
      <c r="U41" s="127"/>
      <c r="V41" s="127"/>
    </row>
    <row r="42" spans="1:25" ht="13" x14ac:dyDescent="0.3">
      <c r="B42" s="52" t="s">
        <v>1</v>
      </c>
      <c r="C42" s="52"/>
      <c r="D42" s="52" t="s">
        <v>265</v>
      </c>
      <c r="E42" s="52"/>
      <c r="F42" s="52" t="s">
        <v>9</v>
      </c>
      <c r="H42" s="52" t="s">
        <v>137</v>
      </c>
      <c r="K42" s="52" t="s">
        <v>100</v>
      </c>
      <c r="L42" s="43"/>
      <c r="M42" s="52"/>
      <c r="N42" s="102" t="s">
        <v>105</v>
      </c>
      <c r="O42" s="43"/>
      <c r="P42" s="82" t="s">
        <v>101</v>
      </c>
      <c r="Q42" s="82" t="s">
        <v>102</v>
      </c>
      <c r="T42" s="127"/>
      <c r="U42" s="127"/>
      <c r="V42" s="127"/>
    </row>
    <row r="43" spans="1:25" ht="13" x14ac:dyDescent="0.3">
      <c r="B43" s="52"/>
      <c r="C43" s="52"/>
      <c r="F43" s="52"/>
      <c r="H43" s="52"/>
      <c r="K43" s="52"/>
      <c r="L43" s="43"/>
      <c r="M43" s="52"/>
      <c r="N43" s="118" t="str">
        <f>N26</f>
        <v>Days</v>
      </c>
      <c r="O43" s="43"/>
      <c r="P43" s="82"/>
      <c r="Q43" s="82"/>
      <c r="T43" s="127"/>
      <c r="U43" s="127"/>
      <c r="V43" s="127"/>
    </row>
    <row r="44" spans="1:25" ht="7.5" customHeight="1" x14ac:dyDescent="0.3">
      <c r="B44" s="52"/>
      <c r="C44" s="52"/>
      <c r="L44" s="43"/>
      <c r="O44" s="43"/>
      <c r="T44" s="127"/>
      <c r="U44" s="127"/>
      <c r="V44" s="127"/>
    </row>
    <row r="45" spans="1:25" ht="13" x14ac:dyDescent="0.3">
      <c r="B45" s="103"/>
      <c r="C45" s="52"/>
      <c r="D45" s="303" t="s">
        <v>266</v>
      </c>
      <c r="F45" s="302" t="s">
        <v>266</v>
      </c>
      <c r="H45" s="318" t="s">
        <v>104</v>
      </c>
      <c r="I45" s="318"/>
      <c r="K45" s="314" t="s">
        <v>104</v>
      </c>
      <c r="L45" s="314"/>
      <c r="M45" s="59">
        <f>IF($K45= ""," ",VLOOKUP($K45,incstafffec,2,FALSE))</f>
        <v>0</v>
      </c>
      <c r="N45" s="302"/>
      <c r="O45" s="43"/>
      <c r="P45" s="114"/>
      <c r="Q45" s="120">
        <f>ROUND((N45*P45),0)</f>
        <v>0</v>
      </c>
      <c r="T45" s="127">
        <f>IF(AND(M45=1,H45="Laboratory"),N45,0)</f>
        <v>0</v>
      </c>
      <c r="U45" s="127">
        <f>IF(AND(M45=1,H45="Non Laboratory"),N45,0)</f>
        <v>0</v>
      </c>
      <c r="V45" s="127">
        <f>IF(AND(M45=1,H45="Off Campus"),N45,0)</f>
        <v>0</v>
      </c>
      <c r="W45" s="127">
        <f>IF(AND(K45="PGR Student",H45="Laboratory"),N45,0)</f>
        <v>0</v>
      </c>
      <c r="X45" s="127">
        <f>IF(AND(K45="PGR Student",H45="Non Laboratory"),N45,0)</f>
        <v>0</v>
      </c>
      <c r="Y45" s="127">
        <f>IF(AND(K45="PGR Student",H45="Off Campus"),N45,0)</f>
        <v>0</v>
      </c>
    </row>
    <row r="46" spans="1:25" ht="13" x14ac:dyDescent="0.3">
      <c r="B46" s="52"/>
      <c r="C46" s="52"/>
      <c r="L46" s="43"/>
      <c r="O46" s="43"/>
      <c r="P46" s="113"/>
      <c r="Q46" s="120"/>
      <c r="T46" s="127"/>
      <c r="U46" s="127"/>
      <c r="W46" s="127"/>
      <c r="X46" s="127"/>
    </row>
    <row r="47" spans="1:25" ht="13" x14ac:dyDescent="0.3">
      <c r="B47" s="103" t="s">
        <v>81</v>
      </c>
      <c r="C47" s="52"/>
      <c r="D47" s="303" t="s">
        <v>266</v>
      </c>
      <c r="F47" s="302" t="s">
        <v>266</v>
      </c>
      <c r="H47" s="318" t="s">
        <v>104</v>
      </c>
      <c r="I47" s="318"/>
      <c r="K47" s="314" t="s">
        <v>104</v>
      </c>
      <c r="L47" s="314"/>
      <c r="M47" s="59">
        <f>IF($K47= ""," ",VLOOKUP($K47,incstafffec,2,FALSE))</f>
        <v>0</v>
      </c>
      <c r="N47" s="302"/>
      <c r="O47" s="43"/>
      <c r="P47" s="115"/>
      <c r="Q47" s="120">
        <f>ROUND((N47*P47),0)</f>
        <v>0</v>
      </c>
      <c r="T47" s="127">
        <f>IF(AND(M47=1,H47="Laboratory"),N47,0)</f>
        <v>0</v>
      </c>
      <c r="U47" s="127">
        <f>IF(AND(M47=1,H47="Non Laboratory"),N47,0)</f>
        <v>0</v>
      </c>
      <c r="V47" s="127">
        <f>IF(AND(M47=1,H47="Off Campus"),N47,0)</f>
        <v>0</v>
      </c>
      <c r="W47" s="127">
        <f>IF(AND(K47="PGR Student",H47="Laboratory"),N47,0)</f>
        <v>0</v>
      </c>
      <c r="X47" s="127">
        <f>IF(AND(K47="PGR Student",H47="Non Laboratory"),N47,0)</f>
        <v>0</v>
      </c>
      <c r="Y47" s="127">
        <f>IF(AND(K47="PGR Student",H47="Off Campus"),N47,0)</f>
        <v>0</v>
      </c>
    </row>
    <row r="48" spans="1:25" ht="13" x14ac:dyDescent="0.3">
      <c r="B48" s="52"/>
      <c r="C48" s="52"/>
      <c r="L48" s="43"/>
      <c r="O48" s="43"/>
      <c r="P48" s="113"/>
      <c r="Q48" s="120"/>
      <c r="T48" s="127"/>
      <c r="U48" s="127"/>
    </row>
    <row r="49" spans="2:25" ht="13" x14ac:dyDescent="0.3">
      <c r="B49" s="103" t="s">
        <v>81</v>
      </c>
      <c r="C49" s="52"/>
      <c r="D49" s="303" t="s">
        <v>266</v>
      </c>
      <c r="F49" s="302" t="s">
        <v>266</v>
      </c>
      <c r="H49" s="318" t="s">
        <v>104</v>
      </c>
      <c r="I49" s="318"/>
      <c r="K49" s="314" t="s">
        <v>104</v>
      </c>
      <c r="L49" s="314"/>
      <c r="M49" s="59">
        <f>IF($K49= ""," ",VLOOKUP($K49,incstafffec,2,FALSE))</f>
        <v>0</v>
      </c>
      <c r="N49" s="2"/>
      <c r="O49" s="43"/>
      <c r="P49" s="115"/>
      <c r="Q49" s="120">
        <f>ROUND((N49*P49),0)</f>
        <v>0</v>
      </c>
      <c r="T49" s="127">
        <f>IF(AND(M49=1,H49="Laboratory"),N49,0)</f>
        <v>0</v>
      </c>
      <c r="U49" s="127">
        <f>IF(AND(M49=1,H49="Non Laboratory"),N49,0)</f>
        <v>0</v>
      </c>
      <c r="V49" s="127">
        <f>IF(AND(M49=1,H49="Off Campus"),N49,0)</f>
        <v>0</v>
      </c>
      <c r="W49" s="127">
        <f>IF(AND(K49="PGR Student",H49="Laboratory"),N49,0)</f>
        <v>0</v>
      </c>
      <c r="X49" s="127">
        <f>IF(AND(K49="PGR Student",H49="Non Laboratory"),N49,0)</f>
        <v>0</v>
      </c>
      <c r="Y49" s="127">
        <f>IF(AND(K49="PGR Student",H49="Off Campus"),N49,0)</f>
        <v>0</v>
      </c>
    </row>
    <row r="50" spans="2:25" ht="13" x14ac:dyDescent="0.3">
      <c r="B50" s="52"/>
      <c r="C50" s="52"/>
      <c r="L50" s="43"/>
      <c r="O50" s="43"/>
      <c r="P50" s="113"/>
      <c r="Q50" s="120"/>
      <c r="T50" s="127"/>
      <c r="U50" s="127"/>
    </row>
    <row r="51" spans="2:25" ht="13" x14ac:dyDescent="0.3">
      <c r="B51" s="103"/>
      <c r="C51" s="52"/>
      <c r="D51" s="220" t="s">
        <v>266</v>
      </c>
      <c r="F51" s="2" t="s">
        <v>266</v>
      </c>
      <c r="H51" s="318" t="s">
        <v>104</v>
      </c>
      <c r="I51" s="318"/>
      <c r="K51" s="314" t="s">
        <v>104</v>
      </c>
      <c r="L51" s="314"/>
      <c r="M51" s="59">
        <f>IF($K51= ""," ",VLOOKUP($K51,incstafffec,2,FALSE))</f>
        <v>0</v>
      </c>
      <c r="N51" s="2"/>
      <c r="O51" s="43"/>
      <c r="P51" s="115"/>
      <c r="Q51" s="120">
        <f>ROUND((N51*P51),0)</f>
        <v>0</v>
      </c>
      <c r="T51" s="127">
        <f>IF(AND(M51=1,H51="Laboratory"),N51,0)</f>
        <v>0</v>
      </c>
      <c r="U51" s="127">
        <f>IF(AND(M51=1,H51="Non Laboratory"),N51,0)</f>
        <v>0</v>
      </c>
      <c r="V51" s="127">
        <f>IF(AND(M51=1,H51="Off Campus"),N51,0)</f>
        <v>0</v>
      </c>
      <c r="W51" s="127">
        <f>IF(AND(K51="PGR Student",H51="Laboratory"),N51,0)</f>
        <v>0</v>
      </c>
      <c r="X51" s="127">
        <f>IF(AND(K51="PGR Student",H51="Non Laboratory"),N51,0)</f>
        <v>0</v>
      </c>
      <c r="Y51" s="127">
        <f>IF(AND(K51="PGR Student",H51="Off Campus"),N51,0)</f>
        <v>0</v>
      </c>
    </row>
    <row r="52" spans="2:25" ht="13" x14ac:dyDescent="0.3">
      <c r="B52" s="52"/>
      <c r="C52" s="52"/>
      <c r="O52" s="43"/>
      <c r="T52" s="127"/>
      <c r="U52" s="127"/>
    </row>
    <row r="53" spans="2:25" ht="7.5" customHeight="1" x14ac:dyDescent="0.25">
      <c r="O53" s="43"/>
      <c r="T53" s="127">
        <f t="shared" ref="T53:Y53" si="0">SUM(T28:T52)</f>
        <v>0</v>
      </c>
      <c r="U53" s="127">
        <f t="shared" si="0"/>
        <v>1</v>
      </c>
      <c r="V53" s="127">
        <f t="shared" si="0"/>
        <v>0</v>
      </c>
      <c r="W53" s="127">
        <f t="shared" si="0"/>
        <v>0</v>
      </c>
      <c r="X53" s="127">
        <f t="shared" si="0"/>
        <v>0</v>
      </c>
      <c r="Y53" s="127">
        <f t="shared" si="0"/>
        <v>0</v>
      </c>
    </row>
    <row r="54" spans="2:25" ht="15.5" x14ac:dyDescent="0.35">
      <c r="B54" s="169" t="s">
        <v>108</v>
      </c>
      <c r="C54" s="169"/>
      <c r="F54" s="130" t="s">
        <v>135</v>
      </c>
      <c r="O54" s="43"/>
      <c r="T54" s="127"/>
      <c r="U54" s="127"/>
    </row>
    <row r="55" spans="2:25" ht="7.5" customHeight="1" x14ac:dyDescent="0.3">
      <c r="B55" s="52"/>
      <c r="C55" s="52"/>
      <c r="O55" s="43"/>
    </row>
    <row r="56" spans="2:25" ht="13" x14ac:dyDescent="0.3">
      <c r="B56" s="52" t="s">
        <v>109</v>
      </c>
      <c r="C56" s="52"/>
      <c r="F56" s="319" t="s">
        <v>110</v>
      </c>
      <c r="G56" s="319"/>
      <c r="H56" s="319"/>
      <c r="I56" s="319"/>
      <c r="J56" s="319"/>
      <c r="K56" s="319"/>
      <c r="O56" s="43"/>
      <c r="Q56" s="116"/>
    </row>
    <row r="57" spans="2:25" ht="7.5" customHeight="1" x14ac:dyDescent="0.25">
      <c r="O57" s="43"/>
      <c r="Q57" s="116"/>
    </row>
    <row r="58" spans="2:25" ht="13" x14ac:dyDescent="0.3">
      <c r="B58" s="122" t="s">
        <v>104</v>
      </c>
      <c r="C58" s="52"/>
      <c r="F58" s="314"/>
      <c r="G58" s="315"/>
      <c r="H58" s="315"/>
      <c r="I58" s="315"/>
      <c r="J58" s="315"/>
      <c r="K58" s="315"/>
      <c r="Q58" s="121"/>
    </row>
    <row r="59" spans="2:25" x14ac:dyDescent="0.25">
      <c r="Q59" s="116"/>
    </row>
    <row r="60" spans="2:25" ht="13" x14ac:dyDescent="0.3">
      <c r="B60" s="122" t="s">
        <v>104</v>
      </c>
      <c r="C60" s="52"/>
      <c r="F60" s="314"/>
      <c r="G60" s="315"/>
      <c r="H60" s="315"/>
      <c r="I60" s="315"/>
      <c r="J60" s="315"/>
      <c r="K60" s="315"/>
      <c r="Q60" s="121"/>
    </row>
    <row r="61" spans="2:25" x14ac:dyDescent="0.25">
      <c r="Q61" s="116"/>
    </row>
    <row r="62" spans="2:25" ht="13" x14ac:dyDescent="0.3">
      <c r="B62" s="122" t="s">
        <v>104</v>
      </c>
      <c r="C62" s="52"/>
      <c r="F62" s="314"/>
      <c r="G62" s="315"/>
      <c r="H62" s="315"/>
      <c r="I62" s="315"/>
      <c r="J62" s="315"/>
      <c r="K62" s="315"/>
      <c r="Q62" s="121"/>
    </row>
    <row r="63" spans="2:25" x14ac:dyDescent="0.25">
      <c r="Q63" s="116"/>
    </row>
    <row r="64" spans="2:25" ht="13" x14ac:dyDescent="0.3">
      <c r="B64" s="122" t="s">
        <v>104</v>
      </c>
      <c r="C64" s="52"/>
      <c r="D64" s="52"/>
      <c r="E64" s="52"/>
      <c r="F64" s="314"/>
      <c r="G64" s="315"/>
      <c r="H64" s="315"/>
      <c r="I64" s="315"/>
      <c r="J64" s="315"/>
      <c r="K64" s="315"/>
      <c r="Q64" s="121"/>
    </row>
    <row r="65" spans="2:17" x14ac:dyDescent="0.25">
      <c r="Q65" s="116"/>
    </row>
    <row r="66" spans="2:17" ht="13" x14ac:dyDescent="0.3">
      <c r="H66" s="52" t="s">
        <v>112</v>
      </c>
      <c r="K66" s="82"/>
      <c r="L66" s="82"/>
      <c r="N66" s="107">
        <f>SUM(N45+N47+N49+N51)</f>
        <v>0</v>
      </c>
      <c r="O66" s="43"/>
      <c r="P66" s="52"/>
      <c r="Q66" s="117">
        <f>SUM(Q45:Q65)</f>
        <v>0</v>
      </c>
    </row>
    <row r="67" spans="2:17" ht="7.5" customHeight="1" x14ac:dyDescent="0.3">
      <c r="H67" s="52"/>
      <c r="K67" s="82"/>
      <c r="L67" s="82"/>
      <c r="N67" s="46"/>
      <c r="O67" s="43"/>
      <c r="P67" s="52"/>
      <c r="Q67" s="150"/>
    </row>
    <row r="68" spans="2:17" ht="7.5" customHeight="1" x14ac:dyDescent="0.3">
      <c r="H68" s="52"/>
      <c r="K68" s="82"/>
      <c r="L68" s="82"/>
    </row>
    <row r="69" spans="2:17" ht="13" x14ac:dyDescent="0.3">
      <c r="N69" s="102" t="s">
        <v>105</v>
      </c>
      <c r="O69" s="43"/>
      <c r="P69" s="82" t="s">
        <v>101</v>
      </c>
      <c r="Q69" s="82" t="s">
        <v>102</v>
      </c>
    </row>
    <row r="70" spans="2:17" ht="13" x14ac:dyDescent="0.3">
      <c r="B70" s="52" t="s">
        <v>37</v>
      </c>
      <c r="C70" s="52"/>
      <c r="N70" s="118" t="str">
        <f>N26</f>
        <v>Days</v>
      </c>
      <c r="O70" s="43"/>
      <c r="P70" s="82"/>
      <c r="Q70" s="82"/>
    </row>
    <row r="71" spans="2:17" ht="7.5" customHeight="1" x14ac:dyDescent="0.25"/>
    <row r="72" spans="2:17" x14ac:dyDescent="0.25">
      <c r="B72" s="34" t="s">
        <v>52</v>
      </c>
      <c r="F72" s="34" t="s">
        <v>106</v>
      </c>
      <c r="H72" s="34" t="s">
        <v>209</v>
      </c>
      <c r="N72" s="34">
        <f>T53</f>
        <v>0</v>
      </c>
      <c r="P72" s="113">
        <f>IF(D9&lt;&gt;"",VLOOKUP(F72,ftecosts,$O$26,FALSE),0)</f>
        <v>77.349999999999994</v>
      </c>
      <c r="Q72" s="116">
        <f>ROUND((N72*P72),0)</f>
        <v>0</v>
      </c>
    </row>
    <row r="73" spans="2:17" ht="7.5" customHeight="1" x14ac:dyDescent="0.25">
      <c r="P73" s="113"/>
      <c r="Q73" s="116"/>
    </row>
    <row r="74" spans="2:17" x14ac:dyDescent="0.25">
      <c r="H74" s="34" t="s">
        <v>210</v>
      </c>
      <c r="N74" s="172">
        <f>W53</f>
        <v>0</v>
      </c>
      <c r="P74" s="113">
        <f>IF(D9&lt;&gt;"",SUM(P72*'fte costs'!$C$47),0)</f>
        <v>61.879999999999995</v>
      </c>
      <c r="Q74" s="116">
        <f>ROUND((N74*P74),0)</f>
        <v>0</v>
      </c>
    </row>
    <row r="75" spans="2:17" ht="7.5" customHeight="1" x14ac:dyDescent="0.25">
      <c r="Q75" s="116"/>
    </row>
    <row r="76" spans="2:17" x14ac:dyDescent="0.25">
      <c r="F76" s="34" t="s">
        <v>107</v>
      </c>
      <c r="H76" s="34" t="s">
        <v>209</v>
      </c>
      <c r="N76" s="34">
        <f>U53</f>
        <v>1</v>
      </c>
      <c r="P76" s="113">
        <f>IF(D9&lt;&gt;"",VLOOKUP(F76,ftecosts,$O$26,FALSE),0)</f>
        <v>29.304545454545455</v>
      </c>
      <c r="Q76" s="116">
        <f>ROUND((N76*P76),0)</f>
        <v>29</v>
      </c>
    </row>
    <row r="77" spans="2:17" ht="7.5" customHeight="1" x14ac:dyDescent="0.25">
      <c r="P77" s="113"/>
      <c r="Q77" s="116"/>
    </row>
    <row r="78" spans="2:17" x14ac:dyDescent="0.25">
      <c r="H78" s="34" t="s">
        <v>210</v>
      </c>
      <c r="N78" s="172">
        <f>X53</f>
        <v>0</v>
      </c>
      <c r="P78" s="113">
        <f>IF(D9&lt;&gt;"",SUM(P76*'fte costs'!$C$49),0)</f>
        <v>14.652272727272727</v>
      </c>
      <c r="Q78" s="116">
        <f>ROUND((N78*P78),0)</f>
        <v>0</v>
      </c>
    </row>
    <row r="79" spans="2:17" ht="7.5" customHeight="1" x14ac:dyDescent="0.25">
      <c r="Q79" s="116"/>
    </row>
    <row r="80" spans="2:17" x14ac:dyDescent="0.25">
      <c r="F80" s="34" t="s">
        <v>230</v>
      </c>
      <c r="H80" s="34" t="s">
        <v>209</v>
      </c>
      <c r="N80" s="172">
        <f>V53</f>
        <v>0</v>
      </c>
      <c r="P80" s="113">
        <f>IF(D9&lt;&gt;"",VLOOKUP(F80,ftecosts,$O$26,FALSE),0)</f>
        <v>0</v>
      </c>
      <c r="Q80" s="116">
        <f>ROUND((N80*P80),0)</f>
        <v>0</v>
      </c>
    </row>
    <row r="81" spans="2:17" ht="7.5" customHeight="1" x14ac:dyDescent="0.25">
      <c r="P81" s="113"/>
      <c r="Q81" s="116"/>
    </row>
    <row r="82" spans="2:17" x14ac:dyDescent="0.25">
      <c r="H82" s="34" t="s">
        <v>210</v>
      </c>
      <c r="N82" s="172">
        <f>Y53</f>
        <v>0</v>
      </c>
      <c r="P82" s="113">
        <f>IF(D9&lt;&gt;"",SUM(P80*'fte costs'!$C$53),0)</f>
        <v>0</v>
      </c>
      <c r="Q82" s="116">
        <f>ROUND((N82*P82),0)</f>
        <v>0</v>
      </c>
    </row>
    <row r="83" spans="2:17" ht="7.5" customHeight="1" x14ac:dyDescent="0.25">
      <c r="N83" s="172"/>
      <c r="P83" s="113"/>
      <c r="Q83" s="116"/>
    </row>
    <row r="84" spans="2:17" ht="12.75" customHeight="1" x14ac:dyDescent="0.25">
      <c r="B84" s="36" t="s">
        <v>350</v>
      </c>
      <c r="F84" s="36" t="s">
        <v>351</v>
      </c>
      <c r="H84" s="34" t="s">
        <v>209</v>
      </c>
      <c r="N84" s="34">
        <f>SUM(N72)</f>
        <v>0</v>
      </c>
      <c r="P84" s="113">
        <f>IF(D9&lt;&gt;"",VLOOKUP(F84,ftecosts,$O$26,FALSE),0)</f>
        <v>12.804545454545455</v>
      </c>
      <c r="Q84" s="116">
        <f>ROUND((N84*P84),0)</f>
        <v>0</v>
      </c>
    </row>
    <row r="85" spans="2:17" ht="7.5" customHeight="1" x14ac:dyDescent="0.25">
      <c r="P85" s="113"/>
      <c r="Q85" s="116"/>
    </row>
    <row r="86" spans="2:17" ht="12.75" customHeight="1" x14ac:dyDescent="0.25">
      <c r="H86" s="34" t="s">
        <v>210</v>
      </c>
      <c r="N86" s="34">
        <f>W53</f>
        <v>0</v>
      </c>
      <c r="P86" s="113">
        <f>IF(D9&lt;&gt;"",SUM(P84*'fte costs'!$C$47),0)</f>
        <v>10.243636363636364</v>
      </c>
      <c r="Q86" s="116">
        <f>ROUND((N86*P86),0)</f>
        <v>0</v>
      </c>
    </row>
    <row r="87" spans="2:17" ht="7.5" customHeight="1" x14ac:dyDescent="0.25">
      <c r="Q87" s="116"/>
    </row>
    <row r="88" spans="2:17" x14ac:dyDescent="0.25">
      <c r="B88" s="34" t="s">
        <v>50</v>
      </c>
      <c r="H88" s="34" t="s">
        <v>209</v>
      </c>
      <c r="N88" s="34">
        <f>SUM(N72+N76+N80)</f>
        <v>1</v>
      </c>
      <c r="P88" s="113">
        <f>IF(D9&lt;&gt;"",VLOOKUP(B88,ftecosts,$O$26,FALSE),0)</f>
        <v>236.65454545454546</v>
      </c>
      <c r="Q88" s="116">
        <f>ROUND((N88*P88),0)</f>
        <v>237</v>
      </c>
    </row>
    <row r="89" spans="2:17" ht="7.5" customHeight="1" x14ac:dyDescent="0.25">
      <c r="P89" s="113"/>
      <c r="Q89" s="116"/>
    </row>
    <row r="90" spans="2:17" x14ac:dyDescent="0.25">
      <c r="H90" s="34" t="s">
        <v>210</v>
      </c>
      <c r="N90" s="34">
        <f>SUM(N74+N78+N82)</f>
        <v>0</v>
      </c>
      <c r="P90" s="113">
        <f>IF(D9&lt;&gt;"",SUM(P88*'fte costs'!$C$51),0)</f>
        <v>47.330909090909095</v>
      </c>
      <c r="Q90" s="116">
        <f>ROUND((N90*P90),0)</f>
        <v>0</v>
      </c>
    </row>
    <row r="91" spans="2:17" ht="7.5" customHeight="1" x14ac:dyDescent="0.25">
      <c r="Q91" s="116"/>
    </row>
    <row r="92" spans="2:17" ht="13" x14ac:dyDescent="0.3">
      <c r="Q92" s="117">
        <f>SUM(Q72:Q91)</f>
        <v>266</v>
      </c>
    </row>
    <row r="93" spans="2:17" ht="7.5" customHeight="1" x14ac:dyDescent="0.25">
      <c r="Q93" s="116"/>
    </row>
    <row r="94" spans="2:17" ht="17.25" customHeight="1" thickBot="1" x14ac:dyDescent="0.35">
      <c r="B94" s="52" t="s">
        <v>113</v>
      </c>
      <c r="C94" s="52"/>
      <c r="Q94" s="119">
        <f>SUM(Q36+Q66+Q92)</f>
        <v>560</v>
      </c>
    </row>
    <row r="95" spans="2:17" ht="13" thickTop="1" x14ac:dyDescent="0.25"/>
    <row r="96" spans="2:17" ht="13" x14ac:dyDescent="0.3">
      <c r="J96" s="317" t="s">
        <v>116</v>
      </c>
      <c r="K96" s="317"/>
      <c r="L96" s="102" t="s">
        <v>117</v>
      </c>
      <c r="M96" s="52"/>
      <c r="N96" s="52" t="s">
        <v>118</v>
      </c>
    </row>
    <row r="97" spans="2:17" ht="15" customHeight="1" x14ac:dyDescent="0.3">
      <c r="B97" s="52" t="s">
        <v>114</v>
      </c>
      <c r="C97" s="52"/>
      <c r="J97" s="316"/>
      <c r="K97" s="316"/>
      <c r="N97" s="123"/>
      <c r="Q97" s="124">
        <f>IF(J97&lt;&gt;"",J97,ROUND((Q94*N97),0))</f>
        <v>0</v>
      </c>
    </row>
    <row r="99" spans="2:17" ht="13" x14ac:dyDescent="0.3">
      <c r="B99" s="52" t="s">
        <v>115</v>
      </c>
      <c r="C99" s="52"/>
      <c r="Q99" s="125">
        <f>IF(AND(K17="Standard Rated",Q97&lt;&gt;0),ROUND((Q97*lists!I6),0),0)</f>
        <v>0</v>
      </c>
    </row>
    <row r="100" spans="2:17" ht="13" x14ac:dyDescent="0.3">
      <c r="B100" s="52"/>
      <c r="C100" s="52"/>
      <c r="Q100" s="125"/>
    </row>
    <row r="101" spans="2:17" ht="13" x14ac:dyDescent="0.3">
      <c r="B101" s="52" t="s">
        <v>83</v>
      </c>
      <c r="C101" s="52"/>
      <c r="Q101" s="125">
        <f>SUM(Q97:Q100)</f>
        <v>0</v>
      </c>
    </row>
    <row r="102" spans="2:17" ht="7.5" customHeight="1" x14ac:dyDescent="0.3">
      <c r="B102" s="52"/>
      <c r="C102" s="52"/>
    </row>
    <row r="103" spans="2:17" ht="7.5" customHeight="1" x14ac:dyDescent="0.25"/>
    <row r="104" spans="2:17" ht="18" x14ac:dyDescent="0.4">
      <c r="B104" s="77" t="str">
        <f>IF(Q104&lt;0,"Projected Subsidy","Projected Surplus")</f>
        <v>Projected Subsidy</v>
      </c>
      <c r="C104" s="77"/>
      <c r="Q104" s="76">
        <f>SUM(Q97-Q94)</f>
        <v>-560</v>
      </c>
    </row>
    <row r="106" spans="2:17" ht="18" x14ac:dyDescent="0.4">
      <c r="B106" s="77" t="str">
        <f>IF(Q106&lt;0,"Projected Subsidy %","Projected Surplus %")</f>
        <v>Projected Subsidy %</v>
      </c>
      <c r="Q106" s="291">
        <f>IF(Q94&gt;0,Q104/Q94,"0%")</f>
        <v>-1</v>
      </c>
    </row>
  </sheetData>
  <sheetProtection password="D45D" sheet="1" objects="1" scenarios="1"/>
  <protectedRanges>
    <protectedRange sqref="D28 D30 D32 D34 D45 D47 D49 D51" name="Range4"/>
    <protectedRange sqref="B58:C58 B60:C60 B62:C62 B64:C64 F58:K58 F60:K60 F62:K62 F64:K64 Q58 Q60 Q62 Q64 J97:K97 N97" name="Range3"/>
    <protectedRange sqref="B45:C45 B47:C47 B49:C49 B51:C51 F45 F47 F49 F51 H45:I45 H47:I47 H49:I49 H51:I51 K45:L45 K47:L47 K49:L49 K51:L51 N45 N47 N49 N51 P45 P47 P49 P51" name="Range2"/>
    <protectedRange sqref="D7:K7 D9 K9 P7:Q7 D11:G11 K11:P11 D13:G13 D15:G15 D17:G17 N26 B28:C28 B30:C30 B32:C32 B34:C34 F28 F30 F32 F34 H28:I28 H30:I30 H32:I32 H34:I34 K28:L28 K30:L30 K32:L32 K34:L34 N28 N30 N32 N34 K13:P13" name="Range1"/>
  </protectedRanges>
  <mergeCells count="40">
    <mergeCell ref="K11:P11"/>
    <mergeCell ref="A1:R1"/>
    <mergeCell ref="D11:G11"/>
    <mergeCell ref="D13:G13"/>
    <mergeCell ref="M7:N7"/>
    <mergeCell ref="H11:J11"/>
    <mergeCell ref="A2:R2"/>
    <mergeCell ref="D7:K7"/>
    <mergeCell ref="P7:Q7"/>
    <mergeCell ref="H13:J13"/>
    <mergeCell ref="K13:P13"/>
    <mergeCell ref="N4:R4"/>
    <mergeCell ref="D15:G15"/>
    <mergeCell ref="H32:I32"/>
    <mergeCell ref="H34:I34"/>
    <mergeCell ref="K28:L28"/>
    <mergeCell ref="H30:I30"/>
    <mergeCell ref="K18:R18"/>
    <mergeCell ref="K30:L30"/>
    <mergeCell ref="K32:L32"/>
    <mergeCell ref="K51:L51"/>
    <mergeCell ref="H51:I51"/>
    <mergeCell ref="F56:K56"/>
    <mergeCell ref="F58:K58"/>
    <mergeCell ref="H17:J17"/>
    <mergeCell ref="D17:G17"/>
    <mergeCell ref="H28:I28"/>
    <mergeCell ref="K47:L47"/>
    <mergeCell ref="K49:L49"/>
    <mergeCell ref="H45:I45"/>
    <mergeCell ref="H47:I47"/>
    <mergeCell ref="H49:I49"/>
    <mergeCell ref="K45:L45"/>
    <mergeCell ref="K34:L34"/>
    <mergeCell ref="K17:P17"/>
    <mergeCell ref="F60:K60"/>
    <mergeCell ref="F62:K62"/>
    <mergeCell ref="F64:K64"/>
    <mergeCell ref="J97:K97"/>
    <mergeCell ref="J96:K96"/>
  </mergeCells>
  <phoneticPr fontId="2" type="noConversion"/>
  <conditionalFormatting sqref="B104:C104">
    <cfRule type="cellIs" dxfId="1" priority="2" stopIfTrue="1" operator="equal">
      <formula>"Projected Subsidy"</formula>
    </cfRule>
  </conditionalFormatting>
  <conditionalFormatting sqref="B106">
    <cfRule type="cellIs" dxfId="0" priority="1" stopIfTrue="1" operator="equal">
      <formula>"Projected Subsidy %"</formula>
    </cfRule>
  </conditionalFormatting>
  <dataValidations count="21">
    <dataValidation type="list" allowBlank="1" showInputMessage="1" showErrorMessage="1" sqref="G45 K11:P11 G28" xr:uid="{00000000-0002-0000-0100-000000000000}">
      <formula1>dept</formula1>
    </dataValidation>
    <dataValidation type="list" allowBlank="1" showInputMessage="1" showErrorMessage="1" sqref="D13:G13" xr:uid="{00000000-0002-0000-0100-000001000000}">
      <formula1>fscheme</formula1>
    </dataValidation>
    <dataValidation type="list" allowBlank="1" showInputMessage="1" showErrorMessage="1" sqref="J45 D17:G17" xr:uid="{00000000-0002-0000-0100-000002000000}">
      <formula1>category</formula1>
    </dataValidation>
    <dataValidation type="list" allowBlank="1" showInputMessage="1" showErrorMessage="1" sqref="H28:J28 H30:I30 H32:I32 H34:I34 H45:I45 H47:I47 H49:I49 H51:I51" xr:uid="{00000000-0002-0000-0100-000003000000}">
      <formula1>subcategory</formula1>
    </dataValidation>
    <dataValidation type="date" allowBlank="1" showInputMessage="1" showErrorMessage="1" errorTitle="Project Start Date" error="The project start date must be between '01/02/2020' and '31/01/2029'." prompt="Enter dd/mm/yyyy, only enter date on or after 01/02/2020_x000a_" sqref="D9" xr:uid="{00000000-0002-0000-0100-000004000000}">
      <formula1>43862</formula1>
      <formula2>47149</formula2>
    </dataValidation>
    <dataValidation type="list" showInputMessage="1" showErrorMessage="1" sqref="K30:L30 K32:L32 K34:L34 K28:L28" xr:uid="{00000000-0002-0000-0100-000005000000}">
      <formula1>allstaff</formula1>
    </dataValidation>
    <dataValidation type="list" allowBlank="1" showInputMessage="1" showErrorMessage="1" sqref="N26" xr:uid="{00000000-0002-0000-0100-000006000000}">
      <formula1>time</formula1>
    </dataValidation>
    <dataValidation type="list" showInputMessage="1" showErrorMessage="1" sqref="K45:L45 K47:L47 K49:L49 K51:L51" xr:uid="{00000000-0002-0000-0100-000007000000}">
      <formula1>incstaff</formula1>
    </dataValidation>
    <dataValidation type="list" allowBlank="1" showInputMessage="1" showErrorMessage="1" sqref="B58:C58 B60:C60 B62:C62 B64:C64" xr:uid="{00000000-0002-0000-0100-000008000000}">
      <formula1>nonpay</formula1>
    </dataValidation>
    <dataValidation type="custom" allowBlank="1" showInputMessage="1" showErrorMessage="1" errorTitle="Fee Income" error="You cannot enter a Fee Percentage if an Amount exists!" sqref="N97" xr:uid="{00000000-0002-0000-0100-000009000000}">
      <formula1>(J97="")</formula1>
    </dataValidation>
    <dataValidation type="custom" allowBlank="1" showInputMessage="1" showErrorMessage="1" errorTitle="Fee Income" error="You cannot enter a Fee Amount if a Percentage exists!" sqref="J97:K97" xr:uid="{00000000-0002-0000-0100-00000A000000}">
      <formula1>N97=""</formula1>
    </dataValidation>
    <dataValidation type="date" allowBlank="1" showInputMessage="1" showErrorMessage="1" errorTitle="Project End Date" error="The project end date must be between '01/02/2020 and '31/01/2029'." prompt="Enter dd/mm/yyyy_x000a_" sqref="K9" xr:uid="{00000000-0002-0000-0100-00000B000000}">
      <formula1>43862</formula1>
      <formula2>47149</formula2>
    </dataValidation>
    <dataValidation type="list" allowBlank="1" showInputMessage="1" showErrorMessage="1" sqref="F51 F45 F47 F49" xr:uid="{00000000-0002-0000-0100-00000C000000}">
      <formula1>INDIRECT(D45)</formula1>
    </dataValidation>
    <dataValidation type="list" allowBlank="1" showInputMessage="1" showErrorMessage="1" sqref="D30 D28" xr:uid="{00000000-0002-0000-0100-00000D000000}">
      <formula1>Facultyshort</formula1>
    </dataValidation>
    <dataValidation type="list" allowBlank="1" showInputMessage="1" showErrorMessage="1" sqref="D51 D32 D34 D45 D47 D49" xr:uid="{00000000-0002-0000-0100-00000E000000}">
      <formula1 xml:space="preserve"> Facultyshort</formula1>
    </dataValidation>
    <dataValidation type="list" allowBlank="1" showInputMessage="1" showErrorMessage="1" sqref="K13:P13" xr:uid="{00000000-0002-0000-0100-00000F000000}">
      <formula1>INDIRECT($K$12)</formula1>
    </dataValidation>
    <dataValidation type="list" allowBlank="1" showInputMessage="1" showErrorMessage="1" sqref="F28" xr:uid="{00000000-0002-0000-0100-000010000000}">
      <formula1>INDIRECT($D$28)</formula1>
    </dataValidation>
    <dataValidation type="list" allowBlank="1" showInputMessage="1" showErrorMessage="1" sqref="F30" xr:uid="{00000000-0002-0000-0100-000011000000}">
      <formula1>INDIRECT($D$30)</formula1>
    </dataValidation>
    <dataValidation type="list" allowBlank="1" showInputMessage="1" showErrorMessage="1" sqref="F32" xr:uid="{00000000-0002-0000-0100-000012000000}">
      <formula1>INDIRECT($D$32)</formula1>
    </dataValidation>
    <dataValidation type="list" allowBlank="1" showInputMessage="1" showErrorMessage="1" sqref="F34" xr:uid="{00000000-0002-0000-0100-000013000000}">
      <formula1>INDIRECT($D$34)</formula1>
    </dataValidation>
    <dataValidation type="list" allowBlank="1" showInputMessage="1" showErrorMessage="1" sqref="K17:P17" xr:uid="{00000000-0002-0000-0100-000014000000}">
      <formula1>VATSTATUS2</formula1>
    </dataValidation>
  </dataValidations>
  <hyperlinks>
    <hyperlink ref="B39" r:id="rId1" xr:uid="{00000000-0004-0000-0100-000000000000}"/>
  </hyperlinks>
  <pageMargins left="0.27" right="0.25" top="0.34" bottom="0.31" header="0.24" footer="0.17"/>
  <pageSetup paperSize="9" scale="61" orientation="portrait" blackAndWhite="1" r:id="rId2"/>
  <headerFooter alignWithMargins="0">
    <oddFooter>&amp;L&amp;8&amp;Z&amp;F&amp;R&amp;8&amp;D  &amp;T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V29"/>
  <sheetViews>
    <sheetView showRowColHeaders="0" workbookViewId="0">
      <selection activeCell="I19" sqref="I19"/>
    </sheetView>
  </sheetViews>
  <sheetFormatPr defaultColWidth="9.1796875" defaultRowHeight="12.5" x14ac:dyDescent="0.25"/>
  <cols>
    <col min="1" max="1" width="2.1796875" style="3" customWidth="1"/>
    <col min="2" max="2" width="22.26953125" style="3" customWidth="1"/>
    <col min="3" max="3" width="10.1796875" style="3" bestFit="1" customWidth="1"/>
    <col min="4" max="7" width="9.1796875" style="3"/>
    <col min="8" max="8" width="10.1796875" style="3" bestFit="1" customWidth="1"/>
    <col min="9" max="10" width="9.1796875" style="3"/>
    <col min="11" max="11" width="3.26953125" style="3" customWidth="1"/>
    <col min="12" max="12" width="9.1796875" style="3"/>
    <col min="13" max="13" width="3.26953125" style="3" customWidth="1"/>
    <col min="14" max="14" width="11.7265625" style="3" customWidth="1"/>
    <col min="15" max="15" width="3.26953125" style="3" customWidth="1"/>
    <col min="16" max="16" width="11.7265625" style="3" customWidth="1"/>
    <col min="17" max="17" width="3.26953125" style="3" customWidth="1"/>
    <col min="18" max="18" width="11.7265625" style="3" customWidth="1"/>
    <col min="19" max="19" width="3.26953125" style="3" customWidth="1"/>
    <col min="20" max="20" width="11.7265625" style="3" customWidth="1"/>
    <col min="21" max="21" width="3.26953125" style="3" customWidth="1"/>
    <col min="22" max="22" width="11.7265625" style="3" customWidth="1"/>
    <col min="23" max="16384" width="9.1796875" style="3"/>
  </cols>
  <sheetData>
    <row r="1" spans="1:22" ht="18" x14ac:dyDescent="0.4">
      <c r="A1" s="328" t="s">
        <v>130</v>
      </c>
      <c r="B1" s="328"/>
      <c r="C1" s="328"/>
      <c r="D1" s="328"/>
      <c r="E1" s="328"/>
      <c r="F1" s="328"/>
      <c r="G1" s="328"/>
      <c r="H1" s="328"/>
      <c r="I1" s="328"/>
      <c r="J1" s="328"/>
      <c r="K1" s="328"/>
      <c r="L1" s="328"/>
      <c r="M1" s="328"/>
      <c r="N1" s="328"/>
      <c r="O1" s="328"/>
      <c r="P1" s="328"/>
      <c r="Q1" s="328"/>
      <c r="R1" s="328"/>
      <c r="S1" s="328"/>
      <c r="T1" s="328"/>
      <c r="U1" s="328"/>
      <c r="V1" s="328"/>
    </row>
    <row r="2" spans="1:22" ht="18" x14ac:dyDescent="0.4">
      <c r="A2" s="328" t="s">
        <v>129</v>
      </c>
      <c r="B2" s="328"/>
      <c r="C2" s="328"/>
      <c r="D2" s="328"/>
      <c r="E2" s="328"/>
      <c r="F2" s="328"/>
      <c r="G2" s="328"/>
      <c r="H2" s="328"/>
      <c r="I2" s="328"/>
      <c r="J2" s="328"/>
      <c r="K2" s="328"/>
      <c r="L2" s="328"/>
      <c r="M2" s="328"/>
      <c r="N2" s="328"/>
      <c r="O2" s="328"/>
      <c r="P2" s="328"/>
      <c r="Q2" s="328"/>
      <c r="R2" s="328"/>
      <c r="S2" s="328"/>
      <c r="T2" s="328"/>
      <c r="U2" s="328"/>
      <c r="V2" s="328"/>
    </row>
    <row r="3" spans="1:22" ht="18" x14ac:dyDescent="0.4">
      <c r="A3" s="34"/>
      <c r="B3" s="35"/>
      <c r="C3" s="35"/>
      <c r="D3" s="35"/>
      <c r="E3" s="35"/>
      <c r="F3" s="35"/>
      <c r="G3" s="35"/>
      <c r="H3" s="35"/>
      <c r="I3" s="35"/>
      <c r="J3" s="35"/>
      <c r="K3" s="35"/>
      <c r="L3" s="35"/>
      <c r="M3" s="35"/>
      <c r="N3" s="35"/>
      <c r="O3" s="35"/>
      <c r="P3" s="35"/>
    </row>
    <row r="4" spans="1:22" ht="18" x14ac:dyDescent="0.4">
      <c r="A4" s="34"/>
      <c r="B4" s="35"/>
      <c r="C4" s="35"/>
      <c r="D4" s="35"/>
      <c r="E4" s="35"/>
      <c r="F4" s="35"/>
      <c r="G4" s="35"/>
      <c r="H4" s="35"/>
      <c r="I4" s="128" t="str">
        <f>IF(AND(N9&gt;12,N9&lt;&gt;""), "*  Duration must be less than 1 year","")</f>
        <v/>
      </c>
      <c r="J4" s="35"/>
      <c r="K4" s="35"/>
      <c r="L4" s="35"/>
      <c r="M4" s="35"/>
      <c r="N4" s="35"/>
      <c r="O4" s="35"/>
      <c r="P4" s="35"/>
    </row>
    <row r="5" spans="1:22" x14ac:dyDescent="0.25">
      <c r="A5" s="36"/>
      <c r="B5" s="36"/>
      <c r="C5" s="36"/>
      <c r="D5" s="36"/>
      <c r="E5" s="36"/>
      <c r="F5" s="36"/>
      <c r="G5" s="36"/>
      <c r="H5" s="36"/>
      <c r="I5" s="36"/>
      <c r="J5" s="36"/>
      <c r="K5" s="36"/>
      <c r="L5" s="36"/>
      <c r="M5" s="36"/>
      <c r="N5" s="36"/>
      <c r="O5" s="36"/>
      <c r="P5" s="36"/>
    </row>
    <row r="6" spans="1:22" x14ac:dyDescent="0.25">
      <c r="A6" s="36"/>
      <c r="B6" s="153"/>
      <c r="C6" s="153"/>
      <c r="D6" s="153"/>
      <c r="E6" s="153"/>
      <c r="F6" s="153"/>
      <c r="G6" s="153"/>
      <c r="H6" s="153"/>
      <c r="I6" s="153"/>
      <c r="J6" s="153"/>
      <c r="K6" s="153"/>
      <c r="L6" s="153"/>
      <c r="M6" s="153"/>
      <c r="N6" s="153"/>
      <c r="O6" s="153"/>
      <c r="P6" s="153"/>
    </row>
    <row r="7" spans="1:22" ht="13" x14ac:dyDescent="0.3">
      <c r="A7" s="36"/>
      <c r="B7" s="154" t="s">
        <v>3</v>
      </c>
      <c r="C7" s="330" t="str">
        <f>IF('Project Details'!D7&lt;&gt;"",'Project Details'!D7,"")</f>
        <v/>
      </c>
      <c r="D7" s="330"/>
      <c r="E7" s="330"/>
      <c r="F7" s="330"/>
      <c r="G7" s="330"/>
      <c r="H7" s="330"/>
      <c r="I7" s="330"/>
      <c r="J7" s="41"/>
      <c r="K7" s="320" t="s">
        <v>79</v>
      </c>
      <c r="L7" s="320"/>
      <c r="M7" s="104"/>
      <c r="N7" s="167" t="str">
        <f>IF('Project Details'!P7&lt;&gt;"",'Project Details'!P7,"")</f>
        <v/>
      </c>
      <c r="O7" s="167"/>
      <c r="P7" s="41"/>
    </row>
    <row r="8" spans="1:22" x14ac:dyDescent="0.25">
      <c r="A8" s="43"/>
      <c r="B8" s="41"/>
      <c r="C8" s="41"/>
      <c r="D8" s="41"/>
      <c r="E8" s="41"/>
      <c r="F8" s="41"/>
      <c r="G8" s="41"/>
      <c r="H8" s="41"/>
      <c r="I8" s="41"/>
      <c r="J8" s="41"/>
      <c r="K8" s="41"/>
      <c r="L8" s="41"/>
      <c r="M8" s="41"/>
      <c r="N8" s="41"/>
      <c r="O8" s="41"/>
      <c r="P8" s="41"/>
    </row>
    <row r="9" spans="1:22" ht="13" x14ac:dyDescent="0.3">
      <c r="A9" s="43"/>
      <c r="B9" s="46" t="s">
        <v>4</v>
      </c>
      <c r="C9" s="166">
        <f>IF('Project Details'!D9&lt;&gt;"",'Project Details'!D9,"")</f>
        <v>44013</v>
      </c>
      <c r="D9" s="164"/>
      <c r="E9" s="164"/>
      <c r="F9" s="165" t="s">
        <v>5</v>
      </c>
      <c r="G9" s="164"/>
      <c r="H9" s="166">
        <f>IF('Project Details'!K9&lt;&gt;"",'Project Details'!K9,"")</f>
        <v>44013</v>
      </c>
      <c r="I9" s="164"/>
      <c r="J9" s="41"/>
      <c r="K9" s="41"/>
      <c r="L9" s="49" t="s">
        <v>6</v>
      </c>
      <c r="M9" s="155" t="str">
        <f>IF(AND(N9&gt;12,N9&lt;&gt;""), "*","")</f>
        <v/>
      </c>
      <c r="N9" s="55">
        <f>(IF('Project Details'!P9&lt;&gt;"",'Project Details'!P9,""))</f>
        <v>0</v>
      </c>
      <c r="O9" s="46" t="s">
        <v>7</v>
      </c>
      <c r="P9" s="46"/>
    </row>
    <row r="12" spans="1:22" ht="15.5" x14ac:dyDescent="0.35">
      <c r="B12" s="106" t="s">
        <v>54</v>
      </c>
      <c r="C12" s="41"/>
      <c r="D12" s="129" t="s">
        <v>133</v>
      </c>
      <c r="E12" s="41"/>
      <c r="F12" s="41"/>
      <c r="G12" s="41"/>
      <c r="H12" s="41"/>
      <c r="I12" s="41"/>
      <c r="J12" s="41"/>
      <c r="K12" s="41"/>
      <c r="L12" s="41"/>
      <c r="M12" s="41"/>
      <c r="N12" s="41"/>
    </row>
    <row r="13" spans="1:22" x14ac:dyDescent="0.25">
      <c r="B13" s="41"/>
      <c r="C13" s="41"/>
      <c r="D13" s="41"/>
      <c r="E13" s="41"/>
      <c r="F13" s="41"/>
      <c r="G13" s="41"/>
      <c r="H13" s="41"/>
      <c r="I13" s="41"/>
      <c r="J13" s="41"/>
      <c r="K13" s="41"/>
      <c r="L13" s="41"/>
      <c r="M13" s="41"/>
      <c r="N13" s="41"/>
    </row>
    <row r="14" spans="1:22" ht="13" x14ac:dyDescent="0.3">
      <c r="B14" s="46" t="s">
        <v>99</v>
      </c>
      <c r="C14" s="41"/>
      <c r="D14" s="41"/>
      <c r="E14" s="41"/>
      <c r="F14" s="41"/>
      <c r="G14" s="41"/>
      <c r="H14" s="41"/>
      <c r="I14" s="41"/>
      <c r="J14" s="41"/>
      <c r="K14" s="41"/>
      <c r="L14" s="41"/>
      <c r="M14" s="41"/>
      <c r="N14" s="41"/>
    </row>
    <row r="15" spans="1:22" ht="13" x14ac:dyDescent="0.3">
      <c r="B15" s="43"/>
      <c r="C15" s="43"/>
      <c r="D15" s="43"/>
      <c r="E15" s="43"/>
      <c r="F15" s="43"/>
      <c r="G15" s="43"/>
      <c r="H15" s="43"/>
      <c r="I15" s="43"/>
      <c r="J15" s="43"/>
      <c r="K15" s="43"/>
      <c r="L15" s="43"/>
      <c r="M15" s="43"/>
      <c r="N15" s="102"/>
      <c r="P15" s="102"/>
    </row>
    <row r="16" spans="1:22" ht="13" x14ac:dyDescent="0.3">
      <c r="B16" s="52" t="s">
        <v>1</v>
      </c>
      <c r="C16" s="52" t="s">
        <v>270</v>
      </c>
      <c r="E16" s="34"/>
      <c r="F16" s="52"/>
      <c r="G16" s="52" t="s">
        <v>137</v>
      </c>
      <c r="H16" s="34"/>
      <c r="I16" s="52" t="s">
        <v>100</v>
      </c>
      <c r="J16" s="43"/>
      <c r="K16" s="52"/>
      <c r="L16" s="102" t="s">
        <v>105</v>
      </c>
      <c r="M16" s="43"/>
      <c r="N16" s="102" t="s">
        <v>204</v>
      </c>
      <c r="P16" s="102" t="s">
        <v>186</v>
      </c>
      <c r="R16" s="157" t="s">
        <v>205</v>
      </c>
      <c r="T16" s="156" t="s">
        <v>207</v>
      </c>
      <c r="V16" s="156" t="s">
        <v>2</v>
      </c>
    </row>
    <row r="17" spans="2:22" ht="13" x14ac:dyDescent="0.3">
      <c r="B17" s="52"/>
      <c r="C17" s="52"/>
      <c r="E17" s="34"/>
      <c r="F17" s="52"/>
      <c r="G17" s="34"/>
      <c r="H17" s="34"/>
      <c r="I17" s="52"/>
      <c r="J17" s="43"/>
      <c r="K17" s="52"/>
      <c r="L17" s="102" t="str">
        <f>'Project Details'!N43</f>
        <v>Days</v>
      </c>
      <c r="M17" s="52"/>
      <c r="N17" s="82"/>
      <c r="T17" s="102" t="str">
        <f>'Project Details'!N43</f>
        <v>Days</v>
      </c>
    </row>
    <row r="18" spans="2:22" ht="13" x14ac:dyDescent="0.3">
      <c r="B18" s="52"/>
      <c r="C18" s="52"/>
      <c r="E18" s="34"/>
      <c r="F18" s="52"/>
      <c r="G18" s="34"/>
      <c r="H18" s="34"/>
      <c r="I18" s="52"/>
      <c r="J18" s="43"/>
      <c r="K18" s="52"/>
      <c r="L18" s="52"/>
      <c r="M18" s="126"/>
      <c r="N18" s="82"/>
    </row>
    <row r="19" spans="2:22" x14ac:dyDescent="0.25">
      <c r="B19" s="3" t="str">
        <f>IF('Project Details'!B28&lt;&gt;"",'Project Details'!B28,"")</f>
        <v/>
      </c>
      <c r="C19" s="3" t="str">
        <f>IF(LEFT('Project Details'!F28,5)&lt;&gt;"Pleas",'Project Details'!F28,"")</f>
        <v>Engineering Design &amp; Mathematics</v>
      </c>
      <c r="G19" s="3" t="str">
        <f>IF(LEFT('Project Details'!H28,5)&lt;&gt;"Pleas",'Project Details'!H28,"")</f>
        <v>Non Laboratory</v>
      </c>
      <c r="I19" s="3" t="str">
        <f>IF(LEFT('Project Details'!K28,5)&lt;&gt;"Pleas",'Project Details'!K28,"")</f>
        <v>Senior Lecturer</v>
      </c>
      <c r="L19" s="3">
        <f>IF('Project Details'!N28&lt;&gt;"",'Project Details'!N28,"")</f>
        <v>1</v>
      </c>
      <c r="N19" s="113">
        <f>IF(I19&lt;&gt;"",VLOOKUP(I19,basiccost,'Project Details'!$O$26,FALSE),0)</f>
        <v>218.7</v>
      </c>
      <c r="O19" s="158"/>
      <c r="P19" s="113">
        <f>IF(I19&lt;&gt;"",VLOOKUP(I19,pensioncost,'Project Details'!$O$26,FALSE),0)</f>
        <v>50.481818181818184</v>
      </c>
      <c r="Q19" s="158"/>
      <c r="R19" s="113">
        <f>IF(I19&lt;&gt;"",VLOOKUP(I19,nicost,'Project Details'!$O$26,FALSE),0)</f>
        <v>24.768181818181819</v>
      </c>
      <c r="S19" s="158"/>
      <c r="T19" s="158">
        <f>SUM(N19:S19)</f>
        <v>293.95</v>
      </c>
      <c r="V19" s="168">
        <f>IF(L19&lt;&gt;"",ROUND((T19*L19),0),0)</f>
        <v>294</v>
      </c>
    </row>
    <row r="20" spans="2:22" x14ac:dyDescent="0.25">
      <c r="N20" s="158"/>
      <c r="O20" s="158"/>
      <c r="P20" s="158"/>
      <c r="Q20" s="158"/>
      <c r="R20" s="158"/>
      <c r="S20" s="158"/>
      <c r="T20" s="158"/>
      <c r="V20" s="168"/>
    </row>
    <row r="21" spans="2:22" x14ac:dyDescent="0.25">
      <c r="B21" s="3" t="str">
        <f>IF('Project Details'!B30&lt;&gt;"",'Project Details'!B30,"")</f>
        <v/>
      </c>
      <c r="C21" s="3" t="str">
        <f>IF(LEFT('Project Details'!F30,5)&lt;&gt;"Pleas",'Project Details'!F30,"")</f>
        <v/>
      </c>
      <c r="G21" s="3" t="str">
        <f>IF(LEFT('Project Details'!H30,5)&lt;&gt;"Pleas",'Project Details'!H30,"")</f>
        <v/>
      </c>
      <c r="I21" s="3" t="str">
        <f>IF(LEFT('Project Details'!K30,5)&lt;&gt;"Pleas",'Project Details'!K30,"")</f>
        <v/>
      </c>
      <c r="L21" s="3" t="str">
        <f>IF('Project Details'!N30&lt;&gt;"",'Project Details'!N30,"")</f>
        <v/>
      </c>
      <c r="N21" s="113">
        <f>IF(I21&lt;&gt;"",VLOOKUP(I21,basiccost,'Project Details'!$O$26,FALSE),0)</f>
        <v>0</v>
      </c>
      <c r="O21" s="158"/>
      <c r="P21" s="113">
        <f>IF(I21&lt;&gt;"",VLOOKUP(I21,pensioncost,'Project Details'!$O$26,FALSE),0)</f>
        <v>0</v>
      </c>
      <c r="Q21" s="158"/>
      <c r="R21" s="113">
        <f>IF(I21&lt;&gt;"",VLOOKUP(I21,nicost,'Project Details'!$O$26,FALSE),0)</f>
        <v>0</v>
      </c>
      <c r="S21" s="158"/>
      <c r="T21" s="158">
        <f>SUM(N21:S21)</f>
        <v>0</v>
      </c>
      <c r="V21" s="168">
        <f>IF(L21&lt;&gt;"",ROUND((T21*L21),0),0)</f>
        <v>0</v>
      </c>
    </row>
    <row r="22" spans="2:22" x14ac:dyDescent="0.25">
      <c r="N22" s="158"/>
      <c r="O22" s="158"/>
      <c r="P22" s="158"/>
      <c r="Q22" s="158"/>
      <c r="R22" s="158"/>
      <c r="S22" s="158"/>
      <c r="T22" s="158"/>
      <c r="V22" s="168"/>
    </row>
    <row r="23" spans="2:22" x14ac:dyDescent="0.25">
      <c r="B23" s="3" t="str">
        <f>IF('Project Details'!B32&lt;&gt;"",'Project Details'!B32,"")</f>
        <v/>
      </c>
      <c r="C23" s="3" t="str">
        <f>IF(LEFT('Project Details'!F32,5)&lt;&gt;"Pleas",'Project Details'!F32,"")</f>
        <v/>
      </c>
      <c r="G23" s="3" t="str">
        <f>IF(LEFT('Project Details'!H32,5)&lt;&gt;"Pleas",'Project Details'!H32,"")</f>
        <v/>
      </c>
      <c r="I23" s="3" t="str">
        <f>IF(LEFT('Project Details'!K32,5)&lt;&gt;"Pleas",'Project Details'!K32,"")</f>
        <v/>
      </c>
      <c r="L23" s="3" t="str">
        <f>IF('Project Details'!N32&lt;&gt;"",'Project Details'!N32,"")</f>
        <v/>
      </c>
      <c r="N23" s="113">
        <f>IF(I23&lt;&gt;"",VLOOKUP(I23,basiccost,'Project Details'!$O$26,FALSE),0)</f>
        <v>0</v>
      </c>
      <c r="O23" s="158"/>
      <c r="P23" s="113">
        <f>IF(I23&lt;&gt;"",VLOOKUP(I23,pensioncost,'Project Details'!$O$26,FALSE),0)</f>
        <v>0</v>
      </c>
      <c r="Q23" s="158"/>
      <c r="R23" s="113">
        <f>IF(I23&lt;&gt;"",VLOOKUP(I23,nicost,'Project Details'!$O$26,FALSE),0)</f>
        <v>0</v>
      </c>
      <c r="S23" s="158"/>
      <c r="T23" s="158">
        <f>SUM(N23:S23)</f>
        <v>0</v>
      </c>
      <c r="V23" s="168">
        <f>IF(L23&lt;&gt;"",ROUND((T23*L23),0),0)</f>
        <v>0</v>
      </c>
    </row>
    <row r="24" spans="2:22" x14ac:dyDescent="0.25">
      <c r="N24" s="158"/>
      <c r="O24" s="158"/>
      <c r="P24" s="158"/>
      <c r="Q24" s="158"/>
      <c r="R24" s="158"/>
      <c r="S24" s="158"/>
      <c r="T24" s="158"/>
      <c r="V24" s="168"/>
    </row>
    <row r="25" spans="2:22" x14ac:dyDescent="0.25">
      <c r="B25" s="3" t="str">
        <f>IF('Project Details'!B34&lt;&gt;"",'Project Details'!B34,"")</f>
        <v/>
      </c>
      <c r="C25" s="3" t="str">
        <f>IF(LEFT('Project Details'!F34,5)&lt;&gt;"Pleas",'Project Details'!F34,"")</f>
        <v/>
      </c>
      <c r="G25" s="3" t="str">
        <f>IF(LEFT('Project Details'!H34,5)&lt;&gt;"Pleas",'Project Details'!H34,"")</f>
        <v/>
      </c>
      <c r="I25" s="3" t="str">
        <f>IF(LEFT('Project Details'!K34,5)&lt;&gt;"Pleas",'Project Details'!K34,"")</f>
        <v/>
      </c>
      <c r="L25" s="3" t="str">
        <f>IF('Project Details'!N34&lt;&gt;"",'Project Details'!N34,"")</f>
        <v/>
      </c>
      <c r="N25" s="113">
        <f>IF(I25&lt;&gt;"",VLOOKUP(I25,basiccost,'Project Details'!$O$26,FALSE),0)</f>
        <v>0</v>
      </c>
      <c r="O25" s="158"/>
      <c r="P25" s="113">
        <f>IF(I25&lt;&gt;"",VLOOKUP(I25,pensioncost,'Project Details'!$O$26,FALSE),0)</f>
        <v>0</v>
      </c>
      <c r="Q25" s="158"/>
      <c r="R25" s="113">
        <f>IF(I25&lt;&gt;"",VLOOKUP(I25,nicost,'Project Details'!$O$26,FALSE),0)</f>
        <v>0</v>
      </c>
      <c r="S25" s="158"/>
      <c r="T25" s="158">
        <f>SUM(N25:S25)</f>
        <v>0</v>
      </c>
      <c r="V25" s="168">
        <f>IF(L25&lt;&gt;"",ROUND((T25*L25),0),0)</f>
        <v>0</v>
      </c>
    </row>
    <row r="26" spans="2:22" x14ac:dyDescent="0.25">
      <c r="N26" s="158"/>
      <c r="O26" s="158"/>
      <c r="P26" s="158"/>
      <c r="Q26" s="158"/>
      <c r="R26" s="158"/>
      <c r="S26" s="158"/>
      <c r="T26" s="158"/>
    </row>
    <row r="27" spans="2:22" x14ac:dyDescent="0.25">
      <c r="N27" s="158"/>
      <c r="O27" s="158"/>
      <c r="P27" s="158"/>
      <c r="Q27" s="158"/>
      <c r="R27" s="158"/>
      <c r="S27" s="158"/>
      <c r="T27" s="158"/>
    </row>
    <row r="28" spans="2:22" ht="18.75" customHeight="1" thickBot="1" x14ac:dyDescent="0.35">
      <c r="I28" s="156" t="s">
        <v>206</v>
      </c>
      <c r="L28" s="159">
        <f>SUM(L19:L26)</f>
        <v>1</v>
      </c>
      <c r="M28" s="156"/>
      <c r="N28" s="160">
        <f>SUM(N19:N26)</f>
        <v>218.7</v>
      </c>
      <c r="O28" s="162"/>
      <c r="P28" s="160">
        <f>SUM(P19:P26)</f>
        <v>50.481818181818184</v>
      </c>
      <c r="Q28" s="162"/>
      <c r="R28" s="160">
        <f>SUM(R19:R26)</f>
        <v>24.768181818181819</v>
      </c>
      <c r="S28" s="162"/>
      <c r="T28" s="160">
        <f>SUM(T19:T26)</f>
        <v>293.95</v>
      </c>
      <c r="U28" s="156"/>
      <c r="V28" s="163">
        <f>SUM(V19:V26)</f>
        <v>294</v>
      </c>
    </row>
    <row r="29" spans="2:22" ht="13" thickTop="1" x14ac:dyDescent="0.25"/>
  </sheetData>
  <sheetProtection password="D45D" sheet="1" objects="1" scenarios="1"/>
  <mergeCells count="4">
    <mergeCell ref="C7:I7"/>
    <mergeCell ref="K7:L7"/>
    <mergeCell ref="A1:V1"/>
    <mergeCell ref="A2:V2"/>
  </mergeCells>
  <phoneticPr fontId="2" type="noConversion"/>
  <pageMargins left="0.47244094488188981" right="3.937007874015748E-2" top="0.47244094488188981" bottom="0.47244094488188981" header="0.23622047244094491" footer="0.23622047244094491"/>
  <pageSetup paperSize="9" scale="76" orientation="landscape" blackAndWhite="1" r:id="rId1"/>
  <headerFooter alignWithMargins="0">
    <oddFooter>&amp;L&amp;8&amp;Z&amp;F&amp;R&amp;8&amp;D  &amp;T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B44"/>
  <sheetViews>
    <sheetView workbookViewId="0">
      <selection activeCell="P32" sqref="P32"/>
    </sheetView>
  </sheetViews>
  <sheetFormatPr defaultColWidth="9.1796875" defaultRowHeight="12.5" x14ac:dyDescent="0.25"/>
  <cols>
    <col min="1" max="1" width="2.1796875" style="3" customWidth="1"/>
    <col min="2" max="2" width="22.26953125" style="3" customWidth="1"/>
    <col min="3" max="3" width="10.1796875" style="3" bestFit="1" customWidth="1"/>
    <col min="4" max="7" width="9.1796875" style="3"/>
    <col min="8" max="8" width="10.1796875" style="3" bestFit="1" customWidth="1"/>
    <col min="9" max="9" width="9.1796875" style="3"/>
    <col min="10" max="10" width="15.81640625" style="3" customWidth="1"/>
    <col min="11" max="11" width="3.26953125" style="3" customWidth="1"/>
    <col min="12" max="12" width="11.1796875" style="3" customWidth="1"/>
    <col min="13" max="13" width="5" style="3" customWidth="1"/>
    <col min="14" max="14" width="11.7265625" style="3" customWidth="1"/>
    <col min="15" max="15" width="4.26953125" style="3" customWidth="1"/>
    <col min="16" max="16" width="9.1796875" style="3" bestFit="1" customWidth="1"/>
    <col min="17" max="17" width="2.7265625" style="3" customWidth="1"/>
    <col min="18" max="18" width="9.7265625" style="158" customWidth="1"/>
    <col min="19" max="19" width="2.7265625" style="3" customWidth="1"/>
    <col min="20" max="20" width="9.1796875" style="3" bestFit="1" customWidth="1"/>
    <col min="21" max="21" width="2.7265625" style="3" customWidth="1"/>
    <col min="22" max="22" width="9.7265625" style="158" customWidth="1"/>
    <col min="23" max="23" width="2.26953125" style="158" customWidth="1"/>
    <col min="24" max="24" width="11.7265625" style="3" customWidth="1"/>
    <col min="25" max="25" width="2.1796875" style="3" customWidth="1"/>
    <col min="26" max="26" width="11.26953125" style="3" customWidth="1"/>
    <col min="27" max="27" width="2.54296875" style="3" customWidth="1"/>
    <col min="28" max="28" width="11.7265625" style="3" customWidth="1"/>
    <col min="29" max="16384" width="9.1796875" style="3"/>
  </cols>
  <sheetData>
    <row r="1" spans="1:28" ht="18" x14ac:dyDescent="0.4">
      <c r="A1" s="334" t="s">
        <v>130</v>
      </c>
      <c r="B1" s="334"/>
      <c r="C1" s="334"/>
      <c r="D1" s="334"/>
      <c r="E1" s="334"/>
      <c r="F1" s="334"/>
      <c r="G1" s="334"/>
      <c r="H1" s="334"/>
      <c r="I1" s="334"/>
      <c r="J1" s="334"/>
      <c r="K1" s="334"/>
      <c r="L1" s="334"/>
      <c r="M1" s="334"/>
      <c r="N1" s="334"/>
      <c r="O1" s="334"/>
      <c r="P1" s="334"/>
      <c r="Q1" s="334"/>
      <c r="R1" s="334"/>
      <c r="S1" s="334"/>
      <c r="T1" s="334"/>
      <c r="U1" s="334"/>
      <c r="V1" s="334"/>
      <c r="W1" s="334"/>
      <c r="X1" s="334"/>
    </row>
    <row r="2" spans="1:28" ht="18" x14ac:dyDescent="0.4">
      <c r="A2" s="334" t="s">
        <v>129</v>
      </c>
      <c r="B2" s="334"/>
      <c r="C2" s="334"/>
      <c r="D2" s="334"/>
      <c r="E2" s="334"/>
      <c r="F2" s="334"/>
      <c r="G2" s="334"/>
      <c r="H2" s="334"/>
      <c r="I2" s="334"/>
      <c r="J2" s="334"/>
      <c r="K2" s="334"/>
      <c r="L2" s="334"/>
      <c r="M2" s="334"/>
      <c r="N2" s="334"/>
      <c r="O2" s="334"/>
      <c r="P2" s="334"/>
      <c r="Q2" s="334"/>
      <c r="R2" s="334"/>
      <c r="S2" s="334"/>
      <c r="T2" s="334"/>
      <c r="U2" s="334"/>
      <c r="V2" s="334"/>
      <c r="W2" s="334"/>
      <c r="X2" s="334"/>
    </row>
    <row r="3" spans="1:28" ht="18" x14ac:dyDescent="0.4">
      <c r="A3" s="243"/>
      <c r="B3" s="244"/>
      <c r="C3" s="244"/>
      <c r="D3" s="244"/>
      <c r="E3" s="244"/>
      <c r="F3" s="244"/>
      <c r="G3" s="244"/>
      <c r="H3" s="244"/>
      <c r="I3" s="244"/>
      <c r="J3" s="244"/>
      <c r="K3" s="244"/>
      <c r="L3" s="244"/>
      <c r="M3" s="244"/>
      <c r="N3" s="244"/>
      <c r="O3" s="244"/>
      <c r="P3" s="244"/>
      <c r="Q3" s="244"/>
      <c r="R3" s="245"/>
      <c r="S3" s="223"/>
      <c r="T3" s="223"/>
      <c r="U3" s="223"/>
      <c r="V3" s="245"/>
      <c r="W3" s="245"/>
      <c r="X3" s="223"/>
    </row>
    <row r="4" spans="1:28" ht="18" x14ac:dyDescent="0.4">
      <c r="A4" s="243"/>
      <c r="B4" s="244"/>
      <c r="C4" s="244"/>
      <c r="D4" s="244"/>
      <c r="E4" s="244"/>
      <c r="F4" s="244"/>
      <c r="G4" s="244"/>
      <c r="H4" s="244"/>
      <c r="I4" s="246" t="str">
        <f>IF(AND(M9&gt;12,M9&lt;&gt;""), "*  Duration must be less than 1 year","")</f>
        <v/>
      </c>
      <c r="J4" s="244"/>
      <c r="K4" s="244"/>
      <c r="L4" s="244"/>
      <c r="M4" s="244"/>
      <c r="N4" s="244"/>
      <c r="O4" s="244"/>
      <c r="P4" s="244"/>
      <c r="Q4" s="244"/>
      <c r="R4" s="245"/>
      <c r="S4" s="223"/>
      <c r="T4" s="223"/>
      <c r="U4" s="223"/>
      <c r="V4" s="245"/>
      <c r="W4" s="245"/>
      <c r="X4" s="223"/>
    </row>
    <row r="5" spans="1:28" x14ac:dyDescent="0.25">
      <c r="A5" s="247"/>
      <c r="B5" s="247"/>
      <c r="C5" s="247"/>
      <c r="D5" s="247"/>
      <c r="E5" s="247"/>
      <c r="F5" s="247"/>
      <c r="G5" s="247"/>
      <c r="H5" s="247"/>
      <c r="I5" s="247"/>
      <c r="J5" s="247"/>
      <c r="K5" s="247"/>
      <c r="L5" s="247"/>
      <c r="M5" s="247"/>
      <c r="N5" s="247"/>
      <c r="O5" s="247"/>
      <c r="P5" s="247"/>
      <c r="Q5" s="247"/>
      <c r="R5" s="245"/>
      <c r="S5" s="223"/>
      <c r="T5" s="223"/>
      <c r="U5" s="223"/>
      <c r="V5" s="245"/>
      <c r="W5" s="245"/>
      <c r="X5" s="223"/>
    </row>
    <row r="6" spans="1:28" x14ac:dyDescent="0.25">
      <c r="A6" s="247"/>
      <c r="B6" s="248"/>
      <c r="C6" s="248"/>
      <c r="D6" s="248"/>
      <c r="E6" s="248"/>
      <c r="F6" s="248"/>
      <c r="G6" s="248"/>
      <c r="H6" s="248"/>
      <c r="I6" s="248"/>
      <c r="J6" s="248"/>
      <c r="K6" s="248"/>
      <c r="L6" s="248"/>
      <c r="M6" s="248"/>
      <c r="N6" s="248"/>
      <c r="O6" s="248"/>
      <c r="P6" s="248"/>
      <c r="Q6" s="248"/>
      <c r="R6" s="245"/>
      <c r="S6" s="223"/>
      <c r="T6" s="223"/>
      <c r="U6" s="223"/>
      <c r="V6" s="245"/>
      <c r="W6" s="245"/>
      <c r="X6" s="223"/>
    </row>
    <row r="7" spans="1:28" ht="13" x14ac:dyDescent="0.3">
      <c r="A7" s="247"/>
      <c r="B7" s="249" t="s">
        <v>3</v>
      </c>
      <c r="C7" s="335" t="str">
        <f>IF('Project Details'!D7&lt;&gt;"",'Project Details'!D7,"")</f>
        <v/>
      </c>
      <c r="D7" s="335"/>
      <c r="E7" s="335"/>
      <c r="F7" s="335"/>
      <c r="G7" s="335"/>
      <c r="H7" s="335"/>
      <c r="I7" s="335"/>
      <c r="J7" s="55"/>
      <c r="K7" s="223"/>
      <c r="L7" s="250" t="s">
        <v>79</v>
      </c>
      <c r="M7" s="333" t="str">
        <f>IF('Project Details'!P7&lt;&gt;"",'Project Details'!P7,"")</f>
        <v/>
      </c>
      <c r="N7" s="333"/>
      <c r="O7" s="251"/>
      <c r="P7" s="55"/>
      <c r="Q7" s="55"/>
      <c r="R7" s="245"/>
      <c r="S7" s="223"/>
      <c r="T7" s="223"/>
      <c r="U7" s="223"/>
      <c r="V7" s="245"/>
      <c r="W7" s="245"/>
      <c r="X7" s="223"/>
    </row>
    <row r="8" spans="1:28" x14ac:dyDescent="0.25">
      <c r="A8" s="252"/>
      <c r="B8" s="55"/>
      <c r="C8" s="55"/>
      <c r="D8" s="55"/>
      <c r="E8" s="55"/>
      <c r="F8" s="55"/>
      <c r="G8" s="55"/>
      <c r="H8" s="55"/>
      <c r="I8" s="55"/>
      <c r="J8" s="55"/>
      <c r="K8" s="55"/>
      <c r="L8" s="55"/>
      <c r="M8" s="55"/>
      <c r="N8" s="55"/>
      <c r="O8" s="55"/>
      <c r="P8" s="55"/>
      <c r="Q8" s="55"/>
      <c r="R8" s="245"/>
      <c r="S8" s="223"/>
      <c r="T8" s="223"/>
      <c r="U8" s="223"/>
      <c r="V8" s="245"/>
      <c r="W8" s="245"/>
      <c r="X8" s="223"/>
    </row>
    <row r="9" spans="1:28" ht="13" x14ac:dyDescent="0.3">
      <c r="A9" s="252"/>
      <c r="B9" s="253" t="s">
        <v>4</v>
      </c>
      <c r="C9" s="254">
        <f>IF('Project Details'!D9&lt;&gt;"",'Project Details'!D9,"")</f>
        <v>44013</v>
      </c>
      <c r="D9" s="255"/>
      <c r="E9" s="255"/>
      <c r="F9" s="256" t="s">
        <v>5</v>
      </c>
      <c r="G9" s="255"/>
      <c r="H9" s="254">
        <f>IF('Project Details'!K9&lt;&gt;"",'Project Details'!K9,"")</f>
        <v>44013</v>
      </c>
      <c r="I9" s="255"/>
      <c r="J9" s="55"/>
      <c r="K9" s="55"/>
      <c r="L9" s="257" t="s">
        <v>6</v>
      </c>
      <c r="M9" s="55">
        <f>(IF('Project Details'!P9&lt;&gt;"",'Project Details'!P9,""))</f>
        <v>0</v>
      </c>
      <c r="N9" s="253" t="s">
        <v>7</v>
      </c>
      <c r="O9" s="223"/>
      <c r="P9" s="253"/>
      <c r="Q9" s="253"/>
      <c r="R9" s="245"/>
      <c r="S9" s="223"/>
      <c r="T9" s="223"/>
      <c r="U9" s="223"/>
      <c r="V9" s="245"/>
      <c r="W9" s="245"/>
      <c r="X9" s="223"/>
    </row>
    <row r="10" spans="1:28" x14ac:dyDescent="0.25">
      <c r="A10" s="223"/>
      <c r="B10" s="223"/>
      <c r="C10" s="223"/>
      <c r="D10" s="223"/>
      <c r="E10" s="223"/>
      <c r="F10" s="223"/>
      <c r="G10" s="223"/>
      <c r="H10" s="223"/>
      <c r="I10" s="223"/>
      <c r="J10" s="223"/>
      <c r="K10" s="223"/>
      <c r="L10" s="223"/>
      <c r="M10" s="223"/>
      <c r="N10" s="223"/>
      <c r="O10" s="223"/>
      <c r="P10" s="223"/>
      <c r="Q10" s="223"/>
      <c r="R10" s="245"/>
      <c r="S10" s="223"/>
      <c r="T10" s="223"/>
      <c r="U10" s="223"/>
      <c r="V10" s="245"/>
      <c r="W10" s="245"/>
      <c r="X10" s="223"/>
    </row>
    <row r="11" spans="1:28" x14ac:dyDescent="0.25">
      <c r="A11" s="223"/>
      <c r="B11" s="223"/>
      <c r="C11" s="223"/>
      <c r="D11" s="223"/>
      <c r="E11" s="223"/>
      <c r="F11" s="223"/>
      <c r="G11" s="223"/>
      <c r="H11" s="223"/>
      <c r="I11" s="223"/>
      <c r="J11" s="223"/>
      <c r="K11" s="223"/>
      <c r="L11" s="223"/>
      <c r="M11" s="223"/>
      <c r="N11" s="223"/>
      <c r="O11" s="223"/>
      <c r="P11" s="223"/>
      <c r="Q11" s="223"/>
      <c r="R11" s="245"/>
      <c r="S11" s="223"/>
      <c r="T11" s="223"/>
      <c r="U11" s="223"/>
      <c r="V11" s="245"/>
      <c r="W11" s="245"/>
      <c r="X11" s="223"/>
    </row>
    <row r="12" spans="1:28" ht="15.5" x14ac:dyDescent="0.35">
      <c r="A12" s="223"/>
      <c r="B12" s="222" t="s">
        <v>54</v>
      </c>
      <c r="C12" s="55"/>
      <c r="D12" s="258" t="s">
        <v>133</v>
      </c>
      <c r="E12" s="55"/>
      <c r="F12" s="55"/>
      <c r="G12" s="55"/>
      <c r="H12" s="55"/>
      <c r="I12" s="55"/>
      <c r="J12" s="55"/>
      <c r="K12" s="55"/>
      <c r="L12" s="55"/>
      <c r="M12" s="55"/>
      <c r="N12" s="55"/>
      <c r="O12" s="223"/>
      <c r="P12" s="223"/>
      <c r="Q12" s="223"/>
      <c r="R12" s="245"/>
      <c r="S12" s="223"/>
      <c r="T12" s="223"/>
      <c r="U12" s="223"/>
      <c r="V12" s="245"/>
      <c r="W12" s="245"/>
      <c r="X12" s="223"/>
      <c r="AB12" s="331" t="s">
        <v>348</v>
      </c>
    </row>
    <row r="13" spans="1:28" x14ac:dyDescent="0.25">
      <c r="A13" s="223"/>
      <c r="B13" s="55"/>
      <c r="C13" s="55"/>
      <c r="D13" s="55"/>
      <c r="E13" s="55"/>
      <c r="F13" s="55"/>
      <c r="G13" s="55"/>
      <c r="H13" s="55"/>
      <c r="I13" s="55"/>
      <c r="J13" s="55"/>
      <c r="K13" s="55"/>
      <c r="L13" s="55"/>
      <c r="M13" s="55"/>
      <c r="N13" s="55"/>
      <c r="O13" s="223"/>
      <c r="P13" s="223"/>
      <c r="Q13" s="223"/>
      <c r="R13" s="245"/>
      <c r="S13" s="223"/>
      <c r="T13" s="223"/>
      <c r="U13" s="223"/>
      <c r="V13" s="245"/>
      <c r="W13" s="245"/>
      <c r="X13" s="223"/>
      <c r="AB13" s="331"/>
    </row>
    <row r="14" spans="1:28" ht="13" x14ac:dyDescent="0.3">
      <c r="A14" s="223"/>
      <c r="B14" s="259" t="s">
        <v>1</v>
      </c>
      <c r="C14" s="259" t="s">
        <v>270</v>
      </c>
      <c r="D14" s="223"/>
      <c r="E14" s="243"/>
      <c r="F14" s="259"/>
      <c r="G14" s="259" t="s">
        <v>137</v>
      </c>
      <c r="H14" s="243"/>
      <c r="I14" s="259" t="s">
        <v>100</v>
      </c>
      <c r="J14" s="252"/>
      <c r="K14" s="259"/>
      <c r="L14" s="260" t="s">
        <v>105</v>
      </c>
      <c r="M14" s="252"/>
      <c r="N14" s="260" t="s">
        <v>280</v>
      </c>
      <c r="O14" s="223"/>
      <c r="P14" s="332" t="str">
        <f>CONCATENATE('wlm calcs'!$A$14," (",'wlm calcs'!$A$6, " Months)")</f>
        <v>2019/20 (0 Months)</v>
      </c>
      <c r="Q14" s="332"/>
      <c r="R14" s="332"/>
      <c r="S14" s="232"/>
      <c r="T14" s="332" t="str">
        <f>CONCATENATE('wlm calcs'!$B$14," (",'wlm calcs'!$B$6, " Months)")</f>
        <v xml:space="preserve"> ( Months)</v>
      </c>
      <c r="U14" s="332"/>
      <c r="V14" s="332"/>
      <c r="W14" s="260"/>
      <c r="X14" s="232" t="s">
        <v>51</v>
      </c>
      <c r="Z14" s="226" t="s">
        <v>279</v>
      </c>
      <c r="AB14" s="331"/>
    </row>
    <row r="15" spans="1:28" ht="25.5" customHeight="1" x14ac:dyDescent="0.3">
      <c r="A15" s="223"/>
      <c r="B15" s="259"/>
      <c r="C15" s="259"/>
      <c r="D15" s="223"/>
      <c r="E15" s="243"/>
      <c r="F15" s="259"/>
      <c r="G15" s="243"/>
      <c r="H15" s="243"/>
      <c r="I15" s="259"/>
      <c r="J15" s="252"/>
      <c r="K15" s="259"/>
      <c r="L15" s="260" t="str">
        <f>'Project Details'!N43</f>
        <v>Days</v>
      </c>
      <c r="M15" s="259"/>
      <c r="N15" s="261" t="s">
        <v>283</v>
      </c>
      <c r="O15" s="223"/>
      <c r="P15" s="227" t="s">
        <v>280</v>
      </c>
      <c r="Q15" s="227"/>
      <c r="R15" s="241" t="s">
        <v>281</v>
      </c>
      <c r="S15" s="228"/>
      <c r="T15" s="227" t="s">
        <v>280</v>
      </c>
      <c r="U15" s="227"/>
      <c r="V15" s="241" t="s">
        <v>281</v>
      </c>
      <c r="W15" s="241"/>
      <c r="X15" s="232" t="s">
        <v>281</v>
      </c>
      <c r="Z15" s="226" t="s">
        <v>282</v>
      </c>
      <c r="AB15" s="331"/>
    </row>
    <row r="16" spans="1:28" ht="13" x14ac:dyDescent="0.3">
      <c r="A16" s="223"/>
      <c r="B16" s="259"/>
      <c r="C16" s="259"/>
      <c r="D16" s="223"/>
      <c r="E16" s="243"/>
      <c r="F16" s="259"/>
      <c r="G16" s="243"/>
      <c r="H16" s="243"/>
      <c r="I16" s="259"/>
      <c r="J16" s="252"/>
      <c r="K16" s="259"/>
      <c r="L16" s="259"/>
      <c r="M16" s="262"/>
      <c r="N16" s="261"/>
      <c r="O16" s="223"/>
      <c r="P16" s="223"/>
      <c r="Q16" s="223"/>
      <c r="R16" s="245"/>
      <c r="S16" s="223"/>
      <c r="T16" s="223"/>
      <c r="U16" s="223"/>
      <c r="V16" s="245"/>
      <c r="W16" s="245"/>
      <c r="X16" s="224"/>
      <c r="Z16" s="229"/>
      <c r="AB16" s="229"/>
    </row>
    <row r="17" spans="1:28" ht="13" x14ac:dyDescent="0.3">
      <c r="A17" s="223"/>
      <c r="B17" s="223" t="str">
        <f>IF('Project Details'!B28&lt;&gt;"",'Project Details'!B28,"")</f>
        <v/>
      </c>
      <c r="C17" s="223" t="str">
        <f>IF(LEFT('Project Details'!F28,5)&lt;&gt;"Pleas",'Project Details'!F28,"")</f>
        <v>Engineering Design &amp; Mathematics</v>
      </c>
      <c r="D17" s="223"/>
      <c r="E17" s="223"/>
      <c r="F17" s="223"/>
      <c r="G17" s="223" t="str">
        <f>IF(LEFT('Project Details'!H28,5)&lt;&gt;"Pleas",'Project Details'!H28,"")</f>
        <v>Non Laboratory</v>
      </c>
      <c r="H17" s="223"/>
      <c r="I17" s="223" t="str">
        <f>IF(LEFT('Project Details'!K28,5)&lt;&gt;"Pleas",'Project Details'!K28,"")</f>
        <v>Senior Lecturer</v>
      </c>
      <c r="J17" s="223"/>
      <c r="K17" s="223"/>
      <c r="L17" s="225">
        <f>IF('Project Details'!N28&lt;&gt;"",'Project Details'!N28,"")</f>
        <v>1</v>
      </c>
      <c r="M17" s="230">
        <f>IF(L17&lt;&gt;"",VLOOKUP($L$15,ftecalc,2,FALSE),"")</f>
        <v>220</v>
      </c>
      <c r="N17" s="263">
        <f>IF(L17&lt;&gt;"",SUM(L17/M17),"")</f>
        <v>4.5454545454545452E-3</v>
      </c>
      <c r="O17" s="245"/>
      <c r="P17" s="264" t="e">
        <f>IF($I17="",0,('wlm calcs'!A16*(VLOOKUP($I17,wlmstaff,2,FALSE))))</f>
        <v>#DIV/0!</v>
      </c>
      <c r="Q17" s="265"/>
      <c r="R17" s="245" t="e">
        <f>SUM(P17*lists!$C$82)</f>
        <v>#DIV/0!</v>
      </c>
      <c r="S17" s="265"/>
      <c r="T17" s="264">
        <f>IF($I17="",0,('wlm calcs'!B16*(VLOOKUP($I17,wlmstaff,2,FALSE))))</f>
        <v>0</v>
      </c>
      <c r="U17" s="245"/>
      <c r="V17" s="245">
        <f>SUM(T17*lists!$C$82)</f>
        <v>0</v>
      </c>
      <c r="W17" s="245"/>
      <c r="X17" s="267" t="e">
        <f>SUM(R17+V17)</f>
        <v>#DIV/0!</v>
      </c>
      <c r="Z17" s="280"/>
      <c r="AB17" s="280"/>
    </row>
    <row r="18" spans="1:28" ht="13" x14ac:dyDescent="0.3">
      <c r="A18" s="223"/>
      <c r="B18" s="223"/>
      <c r="C18" s="223"/>
      <c r="D18" s="223"/>
      <c r="E18" s="223"/>
      <c r="F18" s="223"/>
      <c r="G18" s="223"/>
      <c r="H18" s="223"/>
      <c r="I18" s="223"/>
      <c r="J18" s="223"/>
      <c r="K18" s="223"/>
      <c r="L18" s="225"/>
      <c r="M18" s="230"/>
      <c r="N18" s="268"/>
      <c r="O18" s="245"/>
      <c r="P18" s="266"/>
      <c r="Q18" s="245"/>
      <c r="R18" s="245"/>
      <c r="S18" s="245"/>
      <c r="T18" s="266"/>
      <c r="U18" s="245"/>
      <c r="V18" s="245"/>
      <c r="W18" s="245"/>
      <c r="X18" s="267"/>
      <c r="Z18" s="231"/>
      <c r="AB18" s="231"/>
    </row>
    <row r="19" spans="1:28" ht="13" x14ac:dyDescent="0.3">
      <c r="A19" s="223"/>
      <c r="B19" s="223" t="str">
        <f>IF('Project Details'!B30&lt;&gt;"",'Project Details'!B30,"")</f>
        <v/>
      </c>
      <c r="C19" s="223" t="str">
        <f>IF(LEFT('Project Details'!F30,5)&lt;&gt;"Pleas",'Project Details'!F30,"")</f>
        <v/>
      </c>
      <c r="D19" s="223"/>
      <c r="E19" s="223"/>
      <c r="F19" s="223"/>
      <c r="G19" s="223" t="str">
        <f>IF(LEFT('Project Details'!H30,5)&lt;&gt;"Pleas",'Project Details'!H30,"")</f>
        <v/>
      </c>
      <c r="H19" s="223"/>
      <c r="I19" s="223" t="str">
        <f>IF(LEFT('Project Details'!K30,5)&lt;&gt;"Pleas",'Project Details'!K30,"")</f>
        <v/>
      </c>
      <c r="J19" s="223"/>
      <c r="K19" s="223"/>
      <c r="L19" s="225" t="str">
        <f>IF('Project Details'!N30&lt;&gt;"",'Project Details'!N30,"")</f>
        <v/>
      </c>
      <c r="M19" s="230" t="str">
        <f>IF(L19&lt;&gt;"",VLOOKUP($L$15,ftecalc,2,FALSE),"")</f>
        <v/>
      </c>
      <c r="N19" s="263" t="str">
        <f>IF(L19&lt;&gt;"",SUM(L19/M19),"")</f>
        <v/>
      </c>
      <c r="O19" s="245"/>
      <c r="P19" s="264">
        <f>IF($I19="",0,('wlm calcs'!A28*(VLOOKUP($I19,wlmstaff,2,FALSE))))</f>
        <v>0</v>
      </c>
      <c r="Q19" s="265"/>
      <c r="R19" s="245">
        <f>SUM(P19*lists!$C$82)</f>
        <v>0</v>
      </c>
      <c r="S19" s="265"/>
      <c r="T19" s="264">
        <f>IF($I19="",0,('wlm calcs'!B28*(VLOOKUP($I19,wlmstaff,2,FALSE))))</f>
        <v>0</v>
      </c>
      <c r="U19" s="245"/>
      <c r="V19" s="245">
        <f>SUM(T19*lists!$C$82)</f>
        <v>0</v>
      </c>
      <c r="W19" s="245"/>
      <c r="X19" s="267">
        <f>SUM(R19+V19)</f>
        <v>0</v>
      </c>
      <c r="Z19" s="123"/>
      <c r="AB19" s="123"/>
    </row>
    <row r="20" spans="1:28" ht="13" x14ac:dyDescent="0.3">
      <c r="A20" s="223"/>
      <c r="B20" s="223"/>
      <c r="C20" s="223"/>
      <c r="D20" s="223"/>
      <c r="E20" s="223"/>
      <c r="F20" s="223"/>
      <c r="G20" s="223"/>
      <c r="H20" s="223"/>
      <c r="I20" s="223"/>
      <c r="J20" s="223"/>
      <c r="K20" s="223"/>
      <c r="L20" s="225"/>
      <c r="M20" s="230"/>
      <c r="N20" s="268"/>
      <c r="O20" s="245"/>
      <c r="P20" s="266"/>
      <c r="Q20" s="245"/>
      <c r="R20" s="245"/>
      <c r="S20" s="245"/>
      <c r="T20" s="266"/>
      <c r="U20" s="245"/>
      <c r="V20" s="245"/>
      <c r="W20" s="245"/>
      <c r="X20" s="267"/>
      <c r="Z20" s="231"/>
      <c r="AB20" s="231"/>
    </row>
    <row r="21" spans="1:28" ht="13" x14ac:dyDescent="0.3">
      <c r="A21" s="223"/>
      <c r="B21" s="223" t="str">
        <f>IF('Project Details'!B32&lt;&gt;"",'Project Details'!B32,"")</f>
        <v/>
      </c>
      <c r="C21" s="223" t="str">
        <f>IF(LEFT('Project Details'!F32,5)&lt;&gt;"Pleas",'Project Details'!F32,"")</f>
        <v/>
      </c>
      <c r="D21" s="223"/>
      <c r="E21" s="223"/>
      <c r="F21" s="223"/>
      <c r="G21" s="223" t="str">
        <f>IF(LEFT('Project Details'!H32,5)&lt;&gt;"Pleas",'Project Details'!H32,"")</f>
        <v/>
      </c>
      <c r="H21" s="223"/>
      <c r="I21" s="223" t="str">
        <f>IF(LEFT('Project Details'!K32,5)&lt;&gt;"Pleas",'Project Details'!K32,"")</f>
        <v/>
      </c>
      <c r="J21" s="223"/>
      <c r="K21" s="223"/>
      <c r="L21" s="225" t="str">
        <f>IF('Project Details'!N32&lt;&gt;"",'Project Details'!N32,"")</f>
        <v/>
      </c>
      <c r="M21" s="230" t="str">
        <f>IF(L21&lt;&gt;"",VLOOKUP($L$15,ftecalc,2,FALSE),"")</f>
        <v/>
      </c>
      <c r="N21" s="263" t="str">
        <f>IF(L21&lt;&gt;"",SUM(L21/M21),"")</f>
        <v/>
      </c>
      <c r="O21" s="245"/>
      <c r="P21" s="264">
        <f>IF($I21="",0,('wlm calcs'!A40*(VLOOKUP($I21,wlmstaff,2,FALSE))))</f>
        <v>0</v>
      </c>
      <c r="Q21" s="265"/>
      <c r="R21" s="245">
        <f>SUM(P21*lists!$C$82)</f>
        <v>0</v>
      </c>
      <c r="S21" s="265"/>
      <c r="T21" s="264">
        <f>IF($I21="",0,('wlm calcs'!B40*(VLOOKUP($I21,wlmstaff,2,FALSE))))</f>
        <v>0</v>
      </c>
      <c r="U21" s="245"/>
      <c r="V21" s="245">
        <f>SUM(T21*lists!$C$82)</f>
        <v>0</v>
      </c>
      <c r="W21" s="245"/>
      <c r="X21" s="267">
        <f>SUM(R21+V21)</f>
        <v>0</v>
      </c>
      <c r="Z21" s="123"/>
      <c r="AB21" s="123"/>
    </row>
    <row r="22" spans="1:28" ht="13" x14ac:dyDescent="0.3">
      <c r="A22" s="223"/>
      <c r="B22" s="223"/>
      <c r="C22" s="223"/>
      <c r="D22" s="223"/>
      <c r="E22" s="223"/>
      <c r="F22" s="223"/>
      <c r="G22" s="223"/>
      <c r="H22" s="223"/>
      <c r="I22" s="223"/>
      <c r="J22" s="223"/>
      <c r="K22" s="223"/>
      <c r="L22" s="225"/>
      <c r="M22" s="230"/>
      <c r="N22" s="268"/>
      <c r="O22" s="245"/>
      <c r="P22" s="266"/>
      <c r="Q22" s="245"/>
      <c r="R22" s="245"/>
      <c r="S22" s="245"/>
      <c r="T22" s="266"/>
      <c r="U22" s="245"/>
      <c r="V22" s="245"/>
      <c r="W22" s="245"/>
      <c r="X22" s="267"/>
      <c r="Z22" s="231"/>
      <c r="AB22" s="231"/>
    </row>
    <row r="23" spans="1:28" ht="13" x14ac:dyDescent="0.3">
      <c r="A23" s="223"/>
      <c r="B23" s="223" t="str">
        <f>IF('Project Details'!B34&lt;&gt;"",'Project Details'!B34,"")</f>
        <v/>
      </c>
      <c r="C23" s="223" t="str">
        <f>IF(LEFT('Project Details'!F34,5)&lt;&gt;"Pleas",'Project Details'!F34,"")</f>
        <v/>
      </c>
      <c r="D23" s="223"/>
      <c r="E23" s="223"/>
      <c r="F23" s="223"/>
      <c r="G23" s="223" t="str">
        <f>IF(LEFT('Project Details'!H34,5)&lt;&gt;"Pleas",'Project Details'!H34,"")</f>
        <v/>
      </c>
      <c r="H23" s="223"/>
      <c r="I23" s="223" t="str">
        <f>IF(LEFT('Project Details'!K34,5)&lt;&gt;"Pleas",'Project Details'!K34,"")</f>
        <v/>
      </c>
      <c r="J23" s="223"/>
      <c r="K23" s="223"/>
      <c r="L23" s="225" t="str">
        <f>IF('Project Details'!N34&lt;&gt;"",'Project Details'!N34,"")</f>
        <v/>
      </c>
      <c r="M23" s="230" t="str">
        <f>IF(L23&lt;&gt;"",VLOOKUP($L$15,ftecalc,2,FALSE),"")</f>
        <v/>
      </c>
      <c r="N23" s="263" t="str">
        <f>IF(L23&lt;&gt;"",SUM(L23/M23),"")</f>
        <v/>
      </c>
      <c r="O23" s="245"/>
      <c r="P23" s="264">
        <f>IF($I23="",0,('wlm calcs'!A52*(VLOOKUP($I23,wlmstaff,2,FALSE))))</f>
        <v>0</v>
      </c>
      <c r="Q23" s="265"/>
      <c r="R23" s="245">
        <f>SUM(P23*lists!$C$82)</f>
        <v>0</v>
      </c>
      <c r="S23" s="265"/>
      <c r="T23" s="264">
        <f>IF($I23="",0,('wlm calcs'!B52*(VLOOKUP($I23,wlmstaff,2,FALSE))))</f>
        <v>0</v>
      </c>
      <c r="U23" s="245"/>
      <c r="V23" s="245">
        <f>SUM(T23*lists!$C$82)</f>
        <v>0</v>
      </c>
      <c r="W23" s="245"/>
      <c r="X23" s="267">
        <f>SUM(R23+V23)</f>
        <v>0</v>
      </c>
      <c r="Z23" s="123"/>
      <c r="AB23" s="123"/>
    </row>
    <row r="24" spans="1:28" ht="13" x14ac:dyDescent="0.3">
      <c r="A24" s="223"/>
      <c r="B24" s="223"/>
      <c r="C24" s="223"/>
      <c r="D24" s="223"/>
      <c r="E24" s="223"/>
      <c r="F24" s="223"/>
      <c r="G24" s="223"/>
      <c r="H24" s="223"/>
      <c r="I24" s="223"/>
      <c r="J24" s="223"/>
      <c r="K24" s="223"/>
      <c r="L24" s="225"/>
      <c r="M24" s="230"/>
      <c r="N24" s="268"/>
      <c r="O24" s="245"/>
      <c r="P24" s="264"/>
      <c r="Q24" s="265"/>
      <c r="R24" s="245"/>
      <c r="S24" s="265"/>
      <c r="T24" s="266"/>
      <c r="U24" s="245"/>
      <c r="V24" s="245"/>
      <c r="W24" s="245"/>
      <c r="X24" s="267"/>
    </row>
    <row r="25" spans="1:28" ht="13" x14ac:dyDescent="0.3">
      <c r="A25" s="223"/>
      <c r="B25" s="223"/>
      <c r="C25" s="223"/>
      <c r="D25" s="223"/>
      <c r="E25" s="223"/>
      <c r="F25" s="223"/>
      <c r="G25" s="223"/>
      <c r="H25" s="223"/>
      <c r="I25" s="223"/>
      <c r="J25" s="223"/>
      <c r="K25" s="223"/>
      <c r="L25" s="225"/>
      <c r="M25" s="230"/>
      <c r="N25" s="268"/>
      <c r="O25" s="245"/>
      <c r="P25" s="264"/>
      <c r="Q25" s="265"/>
      <c r="R25" s="245"/>
      <c r="S25" s="265"/>
      <c r="T25" s="266"/>
      <c r="U25" s="245"/>
      <c r="V25" s="245"/>
      <c r="W25" s="245"/>
      <c r="X25" s="269"/>
      <c r="Z25" s="231"/>
      <c r="AB25" s="231"/>
    </row>
    <row r="26" spans="1:28" ht="18.75" customHeight="1" thickBot="1" x14ac:dyDescent="0.35">
      <c r="A26" s="223"/>
      <c r="B26" s="223"/>
      <c r="C26" s="223"/>
      <c r="D26" s="223"/>
      <c r="E26" s="223"/>
      <c r="F26" s="223"/>
      <c r="G26" s="223"/>
      <c r="H26" s="223"/>
      <c r="I26" s="224" t="s">
        <v>206</v>
      </c>
      <c r="J26" s="223"/>
      <c r="K26" s="223"/>
      <c r="L26" s="270">
        <f>SUM(L17:L24)</f>
        <v>1</v>
      </c>
      <c r="M26" s="271"/>
      <c r="N26" s="272">
        <f>SUM(N17:N24)</f>
        <v>4.5454545454545452E-3</v>
      </c>
      <c r="O26" s="267"/>
      <c r="P26" s="272" t="e">
        <f>SUM(P17:P24)</f>
        <v>#DIV/0!</v>
      </c>
      <c r="Q26" s="265"/>
      <c r="R26" s="273" t="e">
        <f>SUM(R17:R24)</f>
        <v>#DIV/0!</v>
      </c>
      <c r="S26" s="265"/>
      <c r="T26" s="272">
        <f>SUM(T17:T24)</f>
        <v>0</v>
      </c>
      <c r="U26" s="245"/>
      <c r="V26" s="273">
        <f>SUM(V17:V24)</f>
        <v>0</v>
      </c>
      <c r="W26" s="245"/>
      <c r="X26" s="273" t="e">
        <f>SUM(X17:X24)</f>
        <v>#DIV/0!</v>
      </c>
      <c r="Z26" s="231"/>
      <c r="AB26" s="231"/>
    </row>
    <row r="27" spans="1:28" ht="13" thickTop="1" x14ac:dyDescent="0.25">
      <c r="A27" s="223"/>
      <c r="B27" s="223"/>
      <c r="C27" s="223"/>
      <c r="D27" s="223"/>
      <c r="E27" s="223"/>
      <c r="F27" s="223"/>
      <c r="G27" s="223"/>
      <c r="H27" s="223"/>
      <c r="I27" s="223"/>
      <c r="J27" s="223"/>
      <c r="K27" s="223"/>
      <c r="L27" s="225"/>
      <c r="M27" s="230"/>
      <c r="N27" s="223"/>
      <c r="O27" s="223"/>
      <c r="P27" s="265"/>
      <c r="Q27" s="265"/>
      <c r="R27" s="245"/>
      <c r="S27" s="265"/>
      <c r="T27" s="245"/>
      <c r="U27" s="245"/>
      <c r="V27" s="245"/>
      <c r="W27" s="245"/>
      <c r="X27" s="274"/>
    </row>
    <row r="28" spans="1:28" x14ac:dyDescent="0.25">
      <c r="A28" s="223"/>
      <c r="B28" s="223"/>
      <c r="C28" s="223"/>
      <c r="D28" s="223"/>
      <c r="E28" s="223"/>
      <c r="F28" s="223"/>
      <c r="G28" s="223"/>
      <c r="H28" s="223"/>
      <c r="I28" s="223"/>
      <c r="J28" s="223"/>
      <c r="K28" s="223"/>
      <c r="L28" s="225"/>
      <c r="M28" s="230"/>
      <c r="N28" s="223"/>
      <c r="O28" s="223"/>
      <c r="P28" s="223"/>
      <c r="Q28" s="223"/>
      <c r="R28" s="245"/>
      <c r="S28" s="223"/>
      <c r="T28" s="223"/>
      <c r="U28" s="223"/>
      <c r="V28" s="245"/>
      <c r="W28" s="245"/>
      <c r="X28" s="223"/>
    </row>
    <row r="29" spans="1:28" ht="15.5" x14ac:dyDescent="0.35">
      <c r="A29" s="223"/>
      <c r="B29" s="222" t="s">
        <v>55</v>
      </c>
      <c r="C29" s="55"/>
      <c r="D29" s="258"/>
      <c r="E29" s="55"/>
      <c r="F29" s="55"/>
      <c r="G29" s="55"/>
      <c r="H29" s="55"/>
      <c r="I29" s="55"/>
      <c r="J29" s="55"/>
      <c r="K29" s="55"/>
      <c r="L29" s="275"/>
      <c r="M29" s="242"/>
      <c r="N29" s="55"/>
      <c r="O29" s="223"/>
      <c r="P29" s="223"/>
      <c r="Q29" s="223"/>
      <c r="R29" s="245"/>
      <c r="S29" s="223"/>
      <c r="T29" s="223"/>
      <c r="U29" s="223"/>
      <c r="V29" s="245"/>
      <c r="W29" s="245"/>
      <c r="X29" s="223"/>
    </row>
    <row r="30" spans="1:28" x14ac:dyDescent="0.25">
      <c r="A30" s="223"/>
      <c r="B30" s="55"/>
      <c r="C30" s="55"/>
      <c r="D30" s="55"/>
      <c r="E30" s="55"/>
      <c r="F30" s="55"/>
      <c r="G30" s="55"/>
      <c r="H30" s="55"/>
      <c r="I30" s="55"/>
      <c r="J30" s="55"/>
      <c r="K30" s="55"/>
      <c r="L30" s="275"/>
      <c r="M30" s="242"/>
      <c r="N30" s="55"/>
      <c r="O30" s="223"/>
      <c r="P30" s="223"/>
      <c r="Q30" s="223"/>
      <c r="R30" s="245"/>
      <c r="S30" s="223"/>
      <c r="T30" s="223"/>
      <c r="U30" s="223"/>
      <c r="V30" s="245"/>
      <c r="W30" s="245"/>
      <c r="X30" s="223"/>
    </row>
    <row r="31" spans="1:28" ht="13" x14ac:dyDescent="0.3">
      <c r="A31" s="223"/>
      <c r="B31" s="259" t="s">
        <v>1</v>
      </c>
      <c r="C31" s="259" t="s">
        <v>270</v>
      </c>
      <c r="D31" s="223"/>
      <c r="E31" s="243"/>
      <c r="F31" s="259"/>
      <c r="G31" s="259" t="s">
        <v>137</v>
      </c>
      <c r="H31" s="243"/>
      <c r="I31" s="259" t="s">
        <v>100</v>
      </c>
      <c r="J31" s="252"/>
      <c r="K31" s="259"/>
      <c r="L31" s="276" t="s">
        <v>105</v>
      </c>
      <c r="M31" s="262"/>
      <c r="N31" s="260" t="s">
        <v>280</v>
      </c>
      <c r="O31" s="223"/>
      <c r="P31" s="332" t="str">
        <f>CONCATENATE('wlm calcs'!$A$14," (",'wlm calcs'!$A$6, " Months)")</f>
        <v>2019/20 (0 Months)</v>
      </c>
      <c r="Q31" s="332"/>
      <c r="R31" s="332"/>
      <c r="S31" s="232"/>
      <c r="T31" s="332" t="str">
        <f>CONCATENATE('wlm calcs'!$B$14," (",'wlm calcs'!$B$6, " Months)")</f>
        <v xml:space="preserve"> ( Months)</v>
      </c>
      <c r="U31" s="332"/>
      <c r="V31" s="332"/>
      <c r="W31" s="260"/>
      <c r="X31" s="232" t="s">
        <v>51</v>
      </c>
      <c r="Z31" s="226" t="s">
        <v>279</v>
      </c>
    </row>
    <row r="32" spans="1:28" ht="13" x14ac:dyDescent="0.3">
      <c r="A32" s="223"/>
      <c r="B32" s="259"/>
      <c r="C32" s="259"/>
      <c r="D32" s="223"/>
      <c r="E32" s="243"/>
      <c r="F32" s="259"/>
      <c r="G32" s="243"/>
      <c r="H32" s="243"/>
      <c r="I32" s="259"/>
      <c r="J32" s="252"/>
      <c r="K32" s="259"/>
      <c r="L32" s="276" t="str">
        <f>'Project Details'!N43</f>
        <v>Days</v>
      </c>
      <c r="M32" s="277"/>
      <c r="N32" s="261" t="s">
        <v>283</v>
      </c>
      <c r="O32" s="223"/>
      <c r="P32" s="227" t="s">
        <v>280</v>
      </c>
      <c r="Q32" s="227"/>
      <c r="R32" s="241" t="s">
        <v>281</v>
      </c>
      <c r="S32" s="228"/>
      <c r="T32" s="227" t="s">
        <v>280</v>
      </c>
      <c r="U32" s="227"/>
      <c r="V32" s="241" t="s">
        <v>281</v>
      </c>
      <c r="W32" s="241"/>
      <c r="X32" s="232" t="s">
        <v>281</v>
      </c>
      <c r="Z32" s="226" t="s">
        <v>282</v>
      </c>
    </row>
    <row r="33" spans="1:26" ht="13" x14ac:dyDescent="0.3">
      <c r="A33" s="223"/>
      <c r="B33" s="259"/>
      <c r="C33" s="259"/>
      <c r="D33" s="223"/>
      <c r="E33" s="243"/>
      <c r="F33" s="259"/>
      <c r="G33" s="243"/>
      <c r="H33" s="243"/>
      <c r="I33" s="259"/>
      <c r="J33" s="252"/>
      <c r="K33" s="259"/>
      <c r="L33" s="278"/>
      <c r="M33" s="262"/>
      <c r="N33" s="261"/>
      <c r="O33" s="223"/>
      <c r="P33" s="223"/>
      <c r="Q33" s="223"/>
      <c r="R33" s="245"/>
      <c r="S33" s="223"/>
      <c r="T33" s="223"/>
      <c r="U33" s="223"/>
      <c r="V33" s="245"/>
      <c r="W33" s="245"/>
      <c r="X33" s="224"/>
      <c r="Z33" s="229"/>
    </row>
    <row r="34" spans="1:26" ht="13" x14ac:dyDescent="0.3">
      <c r="A34" s="223"/>
      <c r="B34" s="223" t="str">
        <f>IF('Project Details'!B45&lt;&gt;"",'Project Details'!B45,"")</f>
        <v/>
      </c>
      <c r="C34" s="223" t="str">
        <f>IF(LEFT('Project Details'!F45,5)&lt;&gt;"Pleas",'Project Details'!F45,"")</f>
        <v/>
      </c>
      <c r="D34" s="223"/>
      <c r="E34" s="223"/>
      <c r="F34" s="223"/>
      <c r="G34" s="223" t="str">
        <f>IF(LEFT('Project Details'!H45,5)&lt;&gt;"Pleas",'Project Details'!H45,"")</f>
        <v/>
      </c>
      <c r="H34" s="223"/>
      <c r="I34" s="223" t="str">
        <f>IF(LEFT('Project Details'!K45,5)&lt;&gt;"Pleas",'Project Details'!K45,"")</f>
        <v/>
      </c>
      <c r="J34" s="223"/>
      <c r="K34" s="223"/>
      <c r="L34" s="225" t="str">
        <f>IF('Project Details'!N45&lt;&gt;"",'Project Details'!N45,"")</f>
        <v/>
      </c>
      <c r="M34" s="230" t="str">
        <f>IF(L34&lt;&gt;"",VLOOKUP($L$15,ftecalc,2,FALSE),"")</f>
        <v/>
      </c>
      <c r="N34" s="263" t="str">
        <f>IF(L34&lt;&gt;"",SUM(L34/M34),"")</f>
        <v/>
      </c>
      <c r="O34" s="245"/>
      <c r="P34" s="264">
        <f>IF($I34="",0,('wlm calcs'!A64*(VLOOKUP($I34,wlmstaff,2,FALSE))))</f>
        <v>0</v>
      </c>
      <c r="Q34" s="265"/>
      <c r="R34" s="245">
        <f>SUM(P34*lists!$C$82)</f>
        <v>0</v>
      </c>
      <c r="S34" s="265"/>
      <c r="T34" s="264">
        <f>IF($I34="",0,('wlm calcs'!B64*(VLOOKUP($I34,wlmstaff,2,FALSE))))</f>
        <v>0</v>
      </c>
      <c r="U34" s="245"/>
      <c r="V34" s="245">
        <f>SUM(T34*lists!$C$82)</f>
        <v>0</v>
      </c>
      <c r="W34" s="245"/>
      <c r="X34" s="267">
        <f>SUM(R34+V34)</f>
        <v>0</v>
      </c>
      <c r="Z34" s="123"/>
    </row>
    <row r="35" spans="1:26" ht="13" x14ac:dyDescent="0.3">
      <c r="A35" s="223"/>
      <c r="B35" s="223"/>
      <c r="C35" s="223"/>
      <c r="D35" s="223"/>
      <c r="E35" s="223"/>
      <c r="F35" s="223"/>
      <c r="G35" s="223"/>
      <c r="H35" s="223"/>
      <c r="I35" s="223"/>
      <c r="J35" s="223"/>
      <c r="K35" s="223"/>
      <c r="L35" s="225"/>
      <c r="M35" s="230"/>
      <c r="N35" s="268"/>
      <c r="O35" s="245"/>
      <c r="P35" s="266"/>
      <c r="Q35" s="245"/>
      <c r="R35" s="245"/>
      <c r="S35" s="245"/>
      <c r="T35" s="266"/>
      <c r="U35" s="245"/>
      <c r="V35" s="245"/>
      <c r="W35" s="245"/>
      <c r="X35" s="267"/>
      <c r="Z35" s="231"/>
    </row>
    <row r="36" spans="1:26" ht="13" x14ac:dyDescent="0.3">
      <c r="A36" s="223"/>
      <c r="B36" s="223" t="str">
        <f>IF('Project Details'!B47&lt;&gt;"",'Project Details'!B47,"")</f>
        <v xml:space="preserve"> </v>
      </c>
      <c r="C36" s="223" t="str">
        <f>IF(LEFT('Project Details'!F47,5)&lt;&gt;"Pleas",'Project Details'!F47,"")</f>
        <v/>
      </c>
      <c r="D36" s="223"/>
      <c r="E36" s="223"/>
      <c r="F36" s="223"/>
      <c r="G36" s="223" t="str">
        <f>IF(LEFT('Project Details'!H47,5)&lt;&gt;"Pleas",'Project Details'!H47,"")</f>
        <v/>
      </c>
      <c r="H36" s="223"/>
      <c r="I36" s="223" t="str">
        <f>IF(LEFT('Project Details'!K47,5)&lt;&gt;"Pleas",'Project Details'!K47,"")</f>
        <v/>
      </c>
      <c r="J36" s="223"/>
      <c r="K36" s="223"/>
      <c r="L36" s="225" t="str">
        <f>IF('Project Details'!N47&lt;&gt;"",'Project Details'!N47,"")</f>
        <v/>
      </c>
      <c r="M36" s="230" t="str">
        <f>IF(L36&lt;&gt;"",VLOOKUP($L$15,ftecalc,2,FALSE),"")</f>
        <v/>
      </c>
      <c r="N36" s="263" t="str">
        <f>IF(L36&lt;&gt;"",SUM(L36/M36),"")</f>
        <v/>
      </c>
      <c r="O36" s="245"/>
      <c r="P36" s="264">
        <f>IF($I36="",0,('wlm calcs'!A76*(VLOOKUP($I36,wlmstaff,2,FALSE))))</f>
        <v>0</v>
      </c>
      <c r="Q36" s="265"/>
      <c r="R36" s="245">
        <f>SUM(P36*lists!$C$82)</f>
        <v>0</v>
      </c>
      <c r="S36" s="265"/>
      <c r="T36" s="264">
        <f>IF($I36="",0,('wlm calcs'!B76*(VLOOKUP($I36,wlmstaff,2,FALSE))))</f>
        <v>0</v>
      </c>
      <c r="U36" s="245"/>
      <c r="V36" s="245">
        <f>SUM(T36*lists!$C$82)</f>
        <v>0</v>
      </c>
      <c r="W36" s="245"/>
      <c r="X36" s="267">
        <f>SUM(R36+V36)</f>
        <v>0</v>
      </c>
      <c r="Z36" s="123"/>
    </row>
    <row r="37" spans="1:26" ht="13" x14ac:dyDescent="0.3">
      <c r="A37" s="223"/>
      <c r="B37" s="223"/>
      <c r="C37" s="223"/>
      <c r="D37" s="223"/>
      <c r="E37" s="223"/>
      <c r="F37" s="223"/>
      <c r="G37" s="223"/>
      <c r="H37" s="223"/>
      <c r="I37" s="223"/>
      <c r="J37" s="223"/>
      <c r="K37" s="223"/>
      <c r="L37" s="225"/>
      <c r="M37" s="230"/>
      <c r="N37" s="268"/>
      <c r="O37" s="245"/>
      <c r="P37" s="266"/>
      <c r="Q37" s="245"/>
      <c r="R37" s="245"/>
      <c r="S37" s="245"/>
      <c r="T37" s="266"/>
      <c r="U37" s="245"/>
      <c r="V37" s="245"/>
      <c r="W37" s="245"/>
      <c r="X37" s="267"/>
      <c r="Z37" s="231"/>
    </row>
    <row r="38" spans="1:26" ht="13" x14ac:dyDescent="0.3">
      <c r="A38" s="223"/>
      <c r="B38" s="223" t="str">
        <f>IF('Project Details'!B49&lt;&gt;"",'Project Details'!B49,"")</f>
        <v xml:space="preserve"> </v>
      </c>
      <c r="C38" s="223" t="str">
        <f>IF(LEFT('Project Details'!F49,5)&lt;&gt;"Pleas",'Project Details'!F49,"")</f>
        <v/>
      </c>
      <c r="D38" s="223"/>
      <c r="E38" s="223"/>
      <c r="F38" s="223"/>
      <c r="G38" s="223" t="str">
        <f>IF(LEFT('Project Details'!H49,5)&lt;&gt;"Pleas",'Project Details'!H49,"")</f>
        <v/>
      </c>
      <c r="H38" s="223"/>
      <c r="I38" s="223" t="str">
        <f>IF(LEFT('Project Details'!K49,5)&lt;&gt;"Pleas",'Project Details'!K49,"")</f>
        <v/>
      </c>
      <c r="J38" s="223"/>
      <c r="K38" s="223"/>
      <c r="L38" s="225" t="str">
        <f>IF('Project Details'!N49&lt;&gt;"",'Project Details'!N49,"")</f>
        <v/>
      </c>
      <c r="M38" s="230" t="str">
        <f>IF(L38&lt;&gt;"",VLOOKUP($L$15,ftecalc,2,FALSE),"")</f>
        <v/>
      </c>
      <c r="N38" s="263" t="str">
        <f>IF(L38&lt;&gt;"",SUM(L38/M38),"")</f>
        <v/>
      </c>
      <c r="O38" s="245"/>
      <c r="P38" s="264">
        <f>IF($I38="",0,('wlm calcs'!A88*(VLOOKUP($I38,wlmstaff,2,FALSE))))</f>
        <v>0</v>
      </c>
      <c r="Q38" s="265"/>
      <c r="R38" s="245">
        <f>SUM(P38*lists!$C$82)</f>
        <v>0</v>
      </c>
      <c r="S38" s="265"/>
      <c r="T38" s="264">
        <f>IF($I38="",0,('wlm calcs'!B88*(VLOOKUP($I38,wlmstaff,2,FALSE))))</f>
        <v>0</v>
      </c>
      <c r="U38" s="245"/>
      <c r="V38" s="245">
        <f>SUM(T38*lists!$C$82)</f>
        <v>0</v>
      </c>
      <c r="W38" s="245"/>
      <c r="X38" s="267">
        <f>SUM(R38+V38)</f>
        <v>0</v>
      </c>
      <c r="Z38" s="123"/>
    </row>
    <row r="39" spans="1:26" ht="13" x14ac:dyDescent="0.3">
      <c r="A39" s="223"/>
      <c r="B39" s="223"/>
      <c r="C39" s="223"/>
      <c r="D39" s="223"/>
      <c r="E39" s="223"/>
      <c r="F39" s="223"/>
      <c r="G39" s="223"/>
      <c r="H39" s="223"/>
      <c r="I39" s="223"/>
      <c r="J39" s="223"/>
      <c r="K39" s="223"/>
      <c r="L39" s="225"/>
      <c r="M39" s="230"/>
      <c r="N39" s="268"/>
      <c r="O39" s="245"/>
      <c r="P39" s="266"/>
      <c r="Q39" s="245"/>
      <c r="R39" s="245"/>
      <c r="S39" s="245"/>
      <c r="T39" s="266"/>
      <c r="U39" s="245"/>
      <c r="V39" s="245"/>
      <c r="W39" s="245"/>
      <c r="X39" s="267"/>
      <c r="Z39" s="231"/>
    </row>
    <row r="40" spans="1:26" ht="13" x14ac:dyDescent="0.3">
      <c r="A40" s="223"/>
      <c r="B40" s="223" t="str">
        <f>IF('Project Details'!B51&lt;&gt;"",'Project Details'!B51,"")</f>
        <v/>
      </c>
      <c r="C40" s="223" t="str">
        <f>IF(LEFT('Project Details'!F51,5)&lt;&gt;"Pleas",'Project Details'!F51,"")</f>
        <v/>
      </c>
      <c r="D40" s="223"/>
      <c r="E40" s="223"/>
      <c r="F40" s="223"/>
      <c r="G40" s="223" t="str">
        <f>IF(LEFT('Project Details'!H51,5)&lt;&gt;"Pleas",'Project Details'!H51,"")</f>
        <v/>
      </c>
      <c r="H40" s="223"/>
      <c r="I40" s="223" t="str">
        <f>IF(LEFT('Project Details'!K51,5)&lt;&gt;"Pleas",'Project Details'!K51,"")</f>
        <v/>
      </c>
      <c r="J40" s="223"/>
      <c r="K40" s="223"/>
      <c r="L40" s="225" t="str">
        <f>IF('Project Details'!N51&lt;&gt;"",'Project Details'!N51,"")</f>
        <v/>
      </c>
      <c r="M40" s="230" t="str">
        <f>IF(L40&lt;&gt;"",VLOOKUP($L$15,ftecalc,2,FALSE),"")</f>
        <v/>
      </c>
      <c r="N40" s="263" t="str">
        <f>IF(L40&lt;&gt;"",SUM(L40/M40),"")</f>
        <v/>
      </c>
      <c r="O40" s="245"/>
      <c r="P40" s="264">
        <f>IF($I40="",0,('wlm calcs'!A100*(VLOOKUP($I40,wlmstaff,2,FALSE))))</f>
        <v>0</v>
      </c>
      <c r="Q40" s="265"/>
      <c r="R40" s="245">
        <f>SUM(P40*lists!$C$82)</f>
        <v>0</v>
      </c>
      <c r="S40" s="265"/>
      <c r="T40" s="264">
        <f>IF($I40="",0,('wlm calcs'!B100*(VLOOKUP($I40,wlmstaff,2,FALSE))))</f>
        <v>0</v>
      </c>
      <c r="U40" s="245"/>
      <c r="V40" s="245">
        <f>SUM(T40*lists!$C$82)</f>
        <v>0</v>
      </c>
      <c r="W40" s="245"/>
      <c r="X40" s="267">
        <f>SUM(R40+V40)</f>
        <v>0</v>
      </c>
      <c r="Z40" s="123"/>
    </row>
    <row r="41" spans="1:26" ht="13" x14ac:dyDescent="0.3">
      <c r="A41" s="223"/>
      <c r="B41" s="223"/>
      <c r="C41" s="223"/>
      <c r="D41" s="223"/>
      <c r="E41" s="223"/>
      <c r="F41" s="223"/>
      <c r="G41" s="223"/>
      <c r="H41" s="223"/>
      <c r="I41" s="223"/>
      <c r="J41" s="223"/>
      <c r="K41" s="223"/>
      <c r="L41" s="225"/>
      <c r="M41" s="230"/>
      <c r="N41" s="268"/>
      <c r="O41" s="245"/>
      <c r="P41" s="264"/>
      <c r="Q41" s="265"/>
      <c r="R41" s="245"/>
      <c r="S41" s="265"/>
      <c r="T41" s="266"/>
      <c r="U41" s="245"/>
      <c r="V41" s="245"/>
      <c r="W41" s="245"/>
      <c r="X41" s="267"/>
    </row>
    <row r="42" spans="1:26" ht="13" x14ac:dyDescent="0.3">
      <c r="A42" s="223"/>
      <c r="B42" s="223"/>
      <c r="C42" s="223"/>
      <c r="D42" s="223"/>
      <c r="E42" s="223"/>
      <c r="F42" s="223"/>
      <c r="G42" s="223"/>
      <c r="H42" s="223"/>
      <c r="I42" s="223"/>
      <c r="J42" s="223"/>
      <c r="K42" s="223"/>
      <c r="L42" s="225"/>
      <c r="M42" s="223"/>
      <c r="N42" s="268"/>
      <c r="O42" s="245"/>
      <c r="P42" s="264"/>
      <c r="Q42" s="265"/>
      <c r="R42" s="245"/>
      <c r="S42" s="265"/>
      <c r="T42" s="266"/>
      <c r="U42" s="245"/>
      <c r="V42" s="245"/>
      <c r="W42" s="245"/>
      <c r="X42" s="269"/>
    </row>
    <row r="43" spans="1:26" ht="18.75" customHeight="1" thickBot="1" x14ac:dyDescent="0.35">
      <c r="A43" s="223"/>
      <c r="B43" s="223"/>
      <c r="C43" s="223"/>
      <c r="D43" s="223"/>
      <c r="E43" s="223"/>
      <c r="F43" s="223"/>
      <c r="G43" s="223"/>
      <c r="H43" s="223"/>
      <c r="I43" s="224" t="s">
        <v>206</v>
      </c>
      <c r="J43" s="223"/>
      <c r="K43" s="223"/>
      <c r="L43" s="270">
        <f>SUM(L34:L41)</f>
        <v>0</v>
      </c>
      <c r="M43" s="224"/>
      <c r="N43" s="272">
        <f>SUM(N34:N41)</f>
        <v>0</v>
      </c>
      <c r="O43" s="267"/>
      <c r="P43" s="272">
        <f>SUM(P34:P41)</f>
        <v>0</v>
      </c>
      <c r="Q43" s="265"/>
      <c r="R43" s="273">
        <f>SUM(R34:R41)</f>
        <v>0</v>
      </c>
      <c r="S43" s="265"/>
      <c r="T43" s="272">
        <f>SUM(T34:T41)</f>
        <v>0</v>
      </c>
      <c r="U43" s="245"/>
      <c r="V43" s="273">
        <f>SUM(V34:V41)</f>
        <v>0</v>
      </c>
      <c r="W43" s="279"/>
      <c r="X43" s="273">
        <f>SUM(X34:X41)</f>
        <v>0</v>
      </c>
    </row>
    <row r="44" spans="1:26" ht="13" thickTop="1" x14ac:dyDescent="0.25">
      <c r="A44" s="223"/>
      <c r="B44" s="223"/>
      <c r="C44" s="223"/>
      <c r="D44" s="223"/>
      <c r="E44" s="223"/>
      <c r="F44" s="223"/>
      <c r="G44" s="223"/>
      <c r="H44" s="223"/>
      <c r="I44" s="223"/>
      <c r="J44" s="223"/>
      <c r="K44" s="223"/>
      <c r="L44" s="225"/>
      <c r="M44" s="223"/>
      <c r="N44" s="223"/>
      <c r="O44" s="223"/>
      <c r="P44" s="223"/>
      <c r="Q44" s="223"/>
      <c r="R44" s="245"/>
      <c r="S44" s="223"/>
      <c r="T44" s="223"/>
      <c r="U44" s="223"/>
      <c r="V44" s="245"/>
      <c r="W44" s="245"/>
      <c r="X44" s="223"/>
    </row>
  </sheetData>
  <sheetProtection algorithmName="SHA-512" hashValue="cK8qqMlNnZV5AMqCNAqJh0VZL8xH+h6Fmpr2PKB+mhOY/S5bF3pncTN75zpdCYAdBgNvNWdMw5p0Tn0g5YuVXg==" saltValue="Vl4sDCKZbSp3UMpqyzFTPQ==" spinCount="100000" sheet="1" objects="1" scenarios="1"/>
  <protectedRanges>
    <protectedRange sqref="Z17 Z19 Z21 Z23 Z34 Z36 Z38 Z40 AB17 AB19 AB21 AB23 AB34 AB36 AB38 AB40" name="Range3"/>
    <protectedRange sqref="Z17 Z19 Z21 Z23 Z34 Z36 Z38 Z40 AB17 AB19 AB21 AB23 AB34 AB36 AB38 AB40" name="Range2"/>
  </protectedRanges>
  <mergeCells count="9">
    <mergeCell ref="AB12:AB15"/>
    <mergeCell ref="P31:R31"/>
    <mergeCell ref="T31:V31"/>
    <mergeCell ref="M7:N7"/>
    <mergeCell ref="A1:X1"/>
    <mergeCell ref="A2:X2"/>
    <mergeCell ref="C7:I7"/>
    <mergeCell ref="P14:R14"/>
    <mergeCell ref="T14:V14"/>
  </mergeCells>
  <pageMargins left="0.70866141732283472" right="0.70866141732283472" top="0.74803149606299213" bottom="0.74803149606299213" header="0.31496062992125984" footer="0.31496062992125984"/>
  <pageSetup paperSize="9" scale="58" orientation="landscape" blackAndWhite="1"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B1:AN49"/>
  <sheetViews>
    <sheetView showRowColHeaders="0" zoomScaleNormal="100" workbookViewId="0">
      <pane xSplit="22" topLeftCell="W1" activePane="topRight" state="frozen"/>
      <selection activeCell="N9" sqref="N9"/>
      <selection pane="topRight" activeCell="Y32" sqref="Y32"/>
    </sheetView>
  </sheetViews>
  <sheetFormatPr defaultColWidth="9.1796875" defaultRowHeight="12.5" x14ac:dyDescent="0.25"/>
  <cols>
    <col min="1" max="1" width="2" style="3" customWidth="1"/>
    <col min="2" max="2" width="5.7265625" style="3" customWidth="1"/>
    <col min="3" max="3" width="1.7265625" style="3" customWidth="1"/>
    <col min="4" max="4" width="15.54296875" style="3" customWidth="1"/>
    <col min="5" max="5" width="1.453125" style="3" customWidth="1"/>
    <col min="6" max="6" width="12.453125" style="4" customWidth="1"/>
    <col min="7" max="7" width="2.7265625" style="3" customWidth="1"/>
    <col min="8" max="8" width="2.54296875" style="3" customWidth="1"/>
    <col min="9" max="9" width="2.453125" style="3" customWidth="1"/>
    <col min="10" max="10" width="13.7265625" style="3" customWidth="1"/>
    <col min="11" max="11" width="2.26953125" style="3" customWidth="1"/>
    <col min="12" max="12" width="11.1796875" style="3" customWidth="1"/>
    <col min="13" max="13" width="2.81640625" style="3" customWidth="1"/>
    <col min="14" max="14" width="16.1796875" style="3" customWidth="1"/>
    <col min="15" max="15" width="1.81640625" style="3" customWidth="1"/>
    <col min="16" max="16" width="10.54296875" style="3" customWidth="1"/>
    <col min="17" max="17" width="3.7265625" style="3" customWidth="1"/>
    <col min="18" max="18" width="2.7265625" style="3" customWidth="1"/>
    <col min="19" max="19" width="12.7265625" style="3" customWidth="1"/>
    <col min="20" max="21" width="2.7265625" style="3" customWidth="1"/>
    <col min="22" max="16384" width="9.1796875" style="3"/>
  </cols>
  <sheetData>
    <row r="1" spans="2:21" ht="6" customHeight="1" x14ac:dyDescent="0.25"/>
    <row r="2" spans="2:21" x14ac:dyDescent="0.25">
      <c r="B2" s="5"/>
      <c r="C2" s="6"/>
      <c r="D2" s="6"/>
      <c r="E2" s="6"/>
      <c r="F2" s="7"/>
      <c r="G2" s="6"/>
      <c r="H2" s="6"/>
      <c r="I2" s="6"/>
      <c r="J2" s="6"/>
      <c r="K2" s="6"/>
      <c r="L2" s="6"/>
      <c r="M2" s="6"/>
      <c r="N2" s="6"/>
      <c r="O2" s="6"/>
      <c r="P2" s="6"/>
      <c r="Q2" s="6"/>
      <c r="R2" s="6"/>
      <c r="S2" s="6"/>
      <c r="T2" s="6"/>
      <c r="U2" s="8"/>
    </row>
    <row r="3" spans="2:21" ht="18" x14ac:dyDescent="0.4">
      <c r="B3" s="341" t="s">
        <v>220</v>
      </c>
      <c r="C3" s="342"/>
      <c r="D3" s="342"/>
      <c r="E3" s="342"/>
      <c r="F3" s="342"/>
      <c r="G3" s="342"/>
      <c r="H3" s="342"/>
      <c r="I3" s="342"/>
      <c r="J3" s="342"/>
      <c r="K3" s="342"/>
      <c r="L3" s="342"/>
      <c r="M3" s="342"/>
      <c r="N3" s="342"/>
      <c r="O3" s="342"/>
      <c r="P3" s="342"/>
      <c r="Q3" s="342"/>
      <c r="R3" s="342"/>
      <c r="S3" s="342"/>
      <c r="T3" s="342"/>
      <c r="U3" s="343"/>
    </row>
    <row r="4" spans="2:21" ht="18" x14ac:dyDescent="0.4">
      <c r="B4" s="9"/>
      <c r="C4" s="10"/>
      <c r="D4" s="10"/>
      <c r="E4" s="10"/>
      <c r="F4" s="10"/>
      <c r="G4" s="10"/>
      <c r="H4" s="10"/>
      <c r="I4" s="10"/>
      <c r="J4" s="10"/>
      <c r="K4" s="10"/>
      <c r="L4" s="10"/>
      <c r="M4" s="10"/>
      <c r="N4" s="10"/>
      <c r="O4" s="10"/>
      <c r="P4" s="10"/>
      <c r="Q4" s="10"/>
      <c r="R4" s="10"/>
      <c r="S4" s="10"/>
      <c r="T4" s="12"/>
      <c r="U4" s="14"/>
    </row>
    <row r="5" spans="2:21" ht="18" x14ac:dyDescent="0.4">
      <c r="B5" s="9"/>
      <c r="C5" s="10"/>
      <c r="D5" s="10"/>
      <c r="E5" s="10"/>
      <c r="F5" s="10"/>
      <c r="G5" s="10"/>
      <c r="H5" s="10"/>
      <c r="I5" s="10"/>
      <c r="J5" s="10"/>
      <c r="K5" s="10"/>
      <c r="L5" s="10"/>
      <c r="M5" s="10"/>
      <c r="N5" s="10"/>
      <c r="O5" s="10"/>
      <c r="P5" s="10"/>
      <c r="Q5" s="10"/>
      <c r="R5" s="10"/>
      <c r="S5" s="10"/>
      <c r="T5" s="12"/>
      <c r="U5" s="14"/>
    </row>
    <row r="6" spans="2:21" ht="14" x14ac:dyDescent="0.3">
      <c r="B6" s="11"/>
      <c r="C6" s="336" t="s">
        <v>33</v>
      </c>
      <c r="D6" s="337"/>
      <c r="E6" s="337"/>
      <c r="F6" s="337"/>
      <c r="G6" s="337"/>
      <c r="H6" s="337"/>
      <c r="I6" s="337"/>
      <c r="J6" s="337"/>
      <c r="K6" s="337"/>
      <c r="L6" s="337"/>
      <c r="M6" s="337"/>
      <c r="N6" s="337"/>
      <c r="O6" s="337"/>
      <c r="P6" s="337"/>
      <c r="Q6" s="337"/>
      <c r="R6" s="337"/>
      <c r="S6" s="337"/>
      <c r="T6" s="338"/>
      <c r="U6" s="14"/>
    </row>
    <row r="7" spans="2:21" ht="14" x14ac:dyDescent="0.3">
      <c r="B7" s="11"/>
      <c r="C7" s="15"/>
      <c r="D7" s="16"/>
      <c r="E7" s="16"/>
      <c r="F7" s="174" t="s">
        <v>221</v>
      </c>
      <c r="G7" s="16"/>
      <c r="H7" s="16"/>
      <c r="I7" s="16"/>
      <c r="J7" s="16"/>
      <c r="K7" s="16"/>
      <c r="L7" s="174" t="s">
        <v>222</v>
      </c>
      <c r="M7" s="12"/>
      <c r="N7" s="12"/>
      <c r="O7" s="12"/>
      <c r="P7" s="12"/>
      <c r="Q7" s="12"/>
      <c r="R7" s="12"/>
      <c r="S7" s="12"/>
      <c r="T7" s="14"/>
      <c r="U7" s="14"/>
    </row>
    <row r="8" spans="2:21" ht="18.75" customHeight="1" x14ac:dyDescent="0.4">
      <c r="B8" s="11"/>
      <c r="C8" s="15"/>
      <c r="D8" s="18" t="s">
        <v>32</v>
      </c>
      <c r="E8" s="18"/>
      <c r="F8" s="1" t="s">
        <v>26</v>
      </c>
      <c r="G8" s="16"/>
      <c r="H8" s="16"/>
      <c r="I8" s="16"/>
      <c r="J8" s="18" t="s">
        <v>30</v>
      </c>
      <c r="K8" s="18"/>
      <c r="L8" s="1">
        <v>1650</v>
      </c>
      <c r="M8" s="19"/>
      <c r="N8" s="21" t="s">
        <v>31</v>
      </c>
      <c r="O8" s="16"/>
      <c r="P8" s="12"/>
      <c r="Q8" s="19"/>
      <c r="R8" s="175"/>
      <c r="S8" s="176">
        <f>IF(F8="Hours",ROUND((L8/F30),4),IF(F8="Days",ROUND((L8/F31),4),IF(F8="Weeks",ROUND((L8/F32),4),IF(F8="Months",ROUND((L8/F33),4),""))))</f>
        <v>1</v>
      </c>
      <c r="T8" s="14"/>
      <c r="U8" s="14"/>
    </row>
    <row r="9" spans="2:21" ht="14" x14ac:dyDescent="0.3">
      <c r="B9" s="11"/>
      <c r="C9" s="173"/>
      <c r="D9" s="177"/>
      <c r="E9" s="177"/>
      <c r="F9" s="178"/>
      <c r="G9" s="177"/>
      <c r="H9" s="177"/>
      <c r="I9" s="177"/>
      <c r="J9" s="177"/>
      <c r="K9" s="177"/>
      <c r="L9" s="29"/>
      <c r="M9" s="179"/>
      <c r="N9" s="179"/>
      <c r="O9" s="179"/>
      <c r="P9" s="179"/>
      <c r="Q9" s="179"/>
      <c r="R9" s="179"/>
      <c r="S9" s="179"/>
      <c r="T9" s="30"/>
      <c r="U9" s="14"/>
    </row>
    <row r="10" spans="2:21" ht="14" x14ac:dyDescent="0.3">
      <c r="B10" s="11"/>
      <c r="C10" s="16"/>
      <c r="D10" s="16"/>
      <c r="E10" s="16"/>
      <c r="F10" s="17"/>
      <c r="G10" s="16"/>
      <c r="H10" s="16"/>
      <c r="I10" s="16"/>
      <c r="J10" s="16"/>
      <c r="K10" s="16"/>
      <c r="L10" s="12"/>
      <c r="M10" s="19"/>
      <c r="N10" s="19"/>
      <c r="O10" s="19"/>
      <c r="P10" s="19"/>
      <c r="Q10" s="19"/>
      <c r="R10" s="19"/>
      <c r="S10" s="19"/>
      <c r="T10" s="12"/>
      <c r="U10" s="14"/>
    </row>
    <row r="11" spans="2:21" x14ac:dyDescent="0.25">
      <c r="B11" s="11"/>
      <c r="C11" s="12"/>
      <c r="D11" s="12"/>
      <c r="E11" s="12"/>
      <c r="F11" s="13"/>
      <c r="G11" s="12"/>
      <c r="H11" s="12"/>
      <c r="I11" s="12"/>
      <c r="J11" s="12"/>
      <c r="K11" s="12"/>
      <c r="L11" s="12"/>
      <c r="M11" s="12"/>
      <c r="N11" s="12"/>
      <c r="O11" s="12"/>
      <c r="P11" s="12"/>
      <c r="Q11" s="12"/>
      <c r="R11" s="12"/>
      <c r="S11" s="12"/>
      <c r="T11" s="12"/>
      <c r="U11" s="14"/>
    </row>
    <row r="12" spans="2:21" ht="14" x14ac:dyDescent="0.3">
      <c r="B12" s="11"/>
      <c r="C12" s="336" t="s">
        <v>34</v>
      </c>
      <c r="D12" s="337"/>
      <c r="E12" s="337"/>
      <c r="F12" s="337"/>
      <c r="G12" s="337"/>
      <c r="H12" s="337"/>
      <c r="I12" s="337"/>
      <c r="J12" s="337"/>
      <c r="K12" s="337"/>
      <c r="L12" s="337"/>
      <c r="M12" s="337"/>
      <c r="N12" s="337"/>
      <c r="O12" s="337"/>
      <c r="P12" s="337"/>
      <c r="Q12" s="337"/>
      <c r="R12" s="337"/>
      <c r="S12" s="337"/>
      <c r="T12" s="338"/>
      <c r="U12" s="14"/>
    </row>
    <row r="13" spans="2:21" ht="14" x14ac:dyDescent="0.3">
      <c r="B13" s="11"/>
      <c r="C13" s="15"/>
      <c r="D13" s="16"/>
      <c r="E13" s="16"/>
      <c r="F13" s="174" t="s">
        <v>222</v>
      </c>
      <c r="G13" s="16"/>
      <c r="H13" s="16"/>
      <c r="I13" s="16"/>
      <c r="J13" s="16"/>
      <c r="K13" s="16"/>
      <c r="L13" s="174" t="s">
        <v>221</v>
      </c>
      <c r="M13" s="12"/>
      <c r="N13" s="12"/>
      <c r="O13" s="12"/>
      <c r="P13" s="12"/>
      <c r="Q13" s="12"/>
      <c r="R13" s="12"/>
      <c r="S13" s="12"/>
      <c r="T13" s="14"/>
      <c r="U13" s="14"/>
    </row>
    <row r="14" spans="2:21" ht="18.75" customHeight="1" x14ac:dyDescent="0.4">
      <c r="B14" s="11"/>
      <c r="C14" s="15"/>
      <c r="D14" s="18" t="s">
        <v>45</v>
      </c>
      <c r="E14" s="18"/>
      <c r="F14" s="1">
        <v>1</v>
      </c>
      <c r="G14" s="16"/>
      <c r="H14" s="16"/>
      <c r="I14" s="16"/>
      <c r="J14" s="18" t="s">
        <v>32</v>
      </c>
      <c r="K14" s="18"/>
      <c r="L14" s="1" t="s">
        <v>28</v>
      </c>
      <c r="M14" s="19"/>
      <c r="N14" s="21" t="s">
        <v>35</v>
      </c>
      <c r="O14" s="22"/>
      <c r="P14" s="24" t="str">
        <f>L14</f>
        <v>Days</v>
      </c>
      <c r="Q14" s="25" t="s">
        <v>36</v>
      </c>
      <c r="R14" s="26"/>
      <c r="S14" s="27">
        <f>IF(L14="Hours",(F14*F30),IF(L14="Days",(F14*F31),IF(L14="Weeks",(F14*F32),IF(L14="Months",(F14*F33),""))))</f>
        <v>220</v>
      </c>
      <c r="T14" s="14"/>
      <c r="U14" s="14"/>
    </row>
    <row r="15" spans="2:21" ht="14" x14ac:dyDescent="0.3">
      <c r="B15" s="11"/>
      <c r="C15" s="173"/>
      <c r="D15" s="177"/>
      <c r="E15" s="177"/>
      <c r="F15" s="178"/>
      <c r="G15" s="177"/>
      <c r="H15" s="177"/>
      <c r="I15" s="177"/>
      <c r="J15" s="177"/>
      <c r="K15" s="177"/>
      <c r="L15" s="29"/>
      <c r="M15" s="179"/>
      <c r="N15" s="29"/>
      <c r="O15" s="29"/>
      <c r="P15" s="29"/>
      <c r="Q15" s="29"/>
      <c r="R15" s="29"/>
      <c r="S15" s="29"/>
      <c r="T15" s="30"/>
      <c r="U15" s="14"/>
    </row>
    <row r="16" spans="2:21" ht="14" x14ac:dyDescent="0.3">
      <c r="B16" s="11"/>
      <c r="C16" s="16"/>
      <c r="D16" s="16"/>
      <c r="E16" s="16"/>
      <c r="F16" s="17"/>
      <c r="G16" s="16"/>
      <c r="H16" s="16"/>
      <c r="I16" s="16"/>
      <c r="J16" s="16"/>
      <c r="K16" s="16"/>
      <c r="L16" s="12"/>
      <c r="M16" s="19"/>
      <c r="N16" s="12"/>
      <c r="O16" s="12"/>
      <c r="P16" s="12"/>
      <c r="Q16" s="12"/>
      <c r="R16" s="12"/>
      <c r="S16" s="12"/>
      <c r="T16" s="12"/>
      <c r="U16" s="14"/>
    </row>
    <row r="17" spans="2:40" x14ac:dyDescent="0.25">
      <c r="B17" s="11"/>
      <c r="C17" s="12"/>
      <c r="D17" s="12"/>
      <c r="E17" s="12"/>
      <c r="F17" s="13"/>
      <c r="G17" s="12"/>
      <c r="H17" s="12"/>
      <c r="I17" s="12"/>
      <c r="J17" s="12"/>
      <c r="K17" s="12"/>
      <c r="L17" s="12"/>
      <c r="M17" s="12"/>
      <c r="N17" s="12"/>
      <c r="O17" s="12"/>
      <c r="P17" s="12"/>
      <c r="Q17" s="12"/>
      <c r="R17" s="12"/>
      <c r="S17" s="12"/>
      <c r="T17" s="12"/>
      <c r="U17" s="14"/>
    </row>
    <row r="18" spans="2:40" ht="15" customHeight="1" x14ac:dyDescent="0.3">
      <c r="B18" s="11"/>
      <c r="C18" s="336" t="s">
        <v>223</v>
      </c>
      <c r="D18" s="337"/>
      <c r="E18" s="337"/>
      <c r="F18" s="337"/>
      <c r="G18" s="337"/>
      <c r="H18" s="337"/>
      <c r="I18" s="337"/>
      <c r="J18" s="337"/>
      <c r="K18" s="337"/>
      <c r="L18" s="337"/>
      <c r="M18" s="337"/>
      <c r="N18" s="337"/>
      <c r="O18" s="337"/>
      <c r="P18" s="337"/>
      <c r="Q18" s="337"/>
      <c r="R18" s="337"/>
      <c r="S18" s="337"/>
      <c r="T18" s="338"/>
      <c r="U18" s="14"/>
    </row>
    <row r="19" spans="2:40" ht="14.25" customHeight="1" x14ac:dyDescent="0.25">
      <c r="B19" s="11"/>
      <c r="C19" s="5"/>
      <c r="D19" s="6"/>
      <c r="E19" s="6"/>
      <c r="F19" s="174" t="s">
        <v>222</v>
      </c>
      <c r="G19" s="6"/>
      <c r="H19" s="6"/>
      <c r="I19" s="6"/>
      <c r="J19" s="174" t="s">
        <v>221</v>
      </c>
      <c r="K19" s="6"/>
      <c r="L19" s="6"/>
      <c r="M19" s="6"/>
      <c r="N19" s="174" t="s">
        <v>221</v>
      </c>
      <c r="O19" s="6"/>
      <c r="P19" s="6"/>
      <c r="Q19" s="6"/>
      <c r="R19" s="6"/>
      <c r="S19" s="6"/>
      <c r="T19" s="8"/>
      <c r="U19" s="14"/>
      <c r="AI19" s="180"/>
      <c r="AJ19" s="181" t="s">
        <v>26</v>
      </c>
      <c r="AK19" s="181" t="s">
        <v>28</v>
      </c>
      <c r="AL19" s="181" t="s">
        <v>27</v>
      </c>
      <c r="AM19" s="181" t="s">
        <v>7</v>
      </c>
      <c r="AN19" s="182" t="s">
        <v>224</v>
      </c>
    </row>
    <row r="20" spans="2:40" ht="18.75" customHeight="1" x14ac:dyDescent="0.3">
      <c r="B20" s="11"/>
      <c r="C20" s="11"/>
      <c r="D20" s="18" t="s">
        <v>225</v>
      </c>
      <c r="E20" s="18"/>
      <c r="F20" s="1">
        <v>44</v>
      </c>
      <c r="G20" s="12"/>
      <c r="H20" s="12"/>
      <c r="I20" s="12"/>
      <c r="J20" s="1" t="s">
        <v>27</v>
      </c>
      <c r="K20" s="12"/>
      <c r="L20" s="183" t="s">
        <v>226</v>
      </c>
      <c r="M20" s="12"/>
      <c r="N20" s="1" t="s">
        <v>224</v>
      </c>
      <c r="O20" s="12"/>
      <c r="P20" s="184">
        <f>VLOOKUP(N20,convert,J25,FALSE)</f>
        <v>1</v>
      </c>
      <c r="Q20" s="12"/>
      <c r="R20" s="12"/>
      <c r="S20" s="12"/>
      <c r="T20" s="14"/>
      <c r="U20" s="14"/>
      <c r="AI20" s="185" t="s">
        <v>120</v>
      </c>
      <c r="AJ20" s="186">
        <v>1</v>
      </c>
      <c r="AK20" s="186">
        <v>7.5</v>
      </c>
      <c r="AL20" s="186">
        <v>37.5</v>
      </c>
      <c r="AM20" s="186">
        <v>137.5</v>
      </c>
      <c r="AN20" s="187">
        <v>1650</v>
      </c>
    </row>
    <row r="21" spans="2:40" ht="14.25" customHeight="1" x14ac:dyDescent="0.3">
      <c r="B21" s="11"/>
      <c r="C21" s="11"/>
      <c r="D21" s="16"/>
      <c r="E21" s="16"/>
      <c r="F21" s="188" t="s">
        <v>222</v>
      </c>
      <c r="G21" s="12"/>
      <c r="H21" s="12"/>
      <c r="I21" s="12"/>
      <c r="J21" s="188" t="s">
        <v>221</v>
      </c>
      <c r="K21" s="12"/>
      <c r="L21" s="12"/>
      <c r="M21" s="12"/>
      <c r="N21" s="12"/>
      <c r="O21" s="12"/>
      <c r="P21" s="12"/>
      <c r="Q21" s="12"/>
      <c r="R21" s="12"/>
      <c r="S21" s="12"/>
      <c r="T21" s="14"/>
      <c r="U21" s="14"/>
      <c r="AI21" s="185" t="s">
        <v>121</v>
      </c>
      <c r="AJ21" s="186" t="s">
        <v>227</v>
      </c>
      <c r="AK21" s="186">
        <v>1</v>
      </c>
      <c r="AL21" s="186">
        <v>5</v>
      </c>
      <c r="AM21" s="186">
        <v>18.333333</v>
      </c>
      <c r="AN21" s="187">
        <v>220</v>
      </c>
    </row>
    <row r="22" spans="2:40" ht="18.75" customHeight="1" x14ac:dyDescent="0.4">
      <c r="B22" s="11"/>
      <c r="C22" s="11"/>
      <c r="D22" s="189" t="s">
        <v>228</v>
      </c>
      <c r="E22" s="16"/>
      <c r="F22" s="1">
        <v>1</v>
      </c>
      <c r="G22" s="12"/>
      <c r="H22" s="12"/>
      <c r="I22" s="12"/>
      <c r="J22" s="1" t="s">
        <v>229</v>
      </c>
      <c r="K22" s="12"/>
      <c r="L22" s="184">
        <f>SUM(F20*P20*F22)</f>
        <v>44</v>
      </c>
      <c r="M22" s="12"/>
      <c r="N22" s="21" t="s">
        <v>35</v>
      </c>
      <c r="O22" s="22"/>
      <c r="P22" s="24" t="str">
        <f>J20</f>
        <v>Weeks</v>
      </c>
      <c r="Q22" s="25" t="s">
        <v>36</v>
      </c>
      <c r="R22" s="26"/>
      <c r="S22" s="27">
        <f>SUM(F20*P20*F22)</f>
        <v>44</v>
      </c>
      <c r="T22" s="14"/>
      <c r="U22" s="14"/>
      <c r="AI22" s="185" t="s">
        <v>122</v>
      </c>
      <c r="AJ22" s="186" t="s">
        <v>227</v>
      </c>
      <c r="AK22" s="186" t="s">
        <v>227</v>
      </c>
      <c r="AL22" s="186">
        <v>1</v>
      </c>
      <c r="AM22" s="186">
        <v>3.6666660000000002</v>
      </c>
      <c r="AN22" s="187">
        <v>44</v>
      </c>
    </row>
    <row r="23" spans="2:40" ht="14.25" customHeight="1" x14ac:dyDescent="0.4">
      <c r="B23" s="11"/>
      <c r="C23" s="11"/>
      <c r="D23" s="189"/>
      <c r="E23" s="189"/>
      <c r="F23" s="189"/>
      <c r="G23" s="189"/>
      <c r="H23" s="189"/>
      <c r="I23" s="189"/>
      <c r="J23" s="189"/>
      <c r="K23" s="12"/>
      <c r="L23" s="184"/>
      <c r="M23" s="12"/>
      <c r="N23" s="21"/>
      <c r="O23" s="16"/>
      <c r="P23" s="12"/>
      <c r="Q23" s="12"/>
      <c r="R23" s="190"/>
      <c r="S23" s="190"/>
      <c r="T23" s="14"/>
      <c r="U23" s="14"/>
      <c r="AI23" s="185"/>
      <c r="AJ23" s="186"/>
      <c r="AK23" s="186"/>
      <c r="AL23" s="186"/>
      <c r="AM23" s="186"/>
      <c r="AN23" s="187"/>
    </row>
    <row r="24" spans="2:40" ht="18.75" customHeight="1" x14ac:dyDescent="0.4">
      <c r="B24" s="11"/>
      <c r="C24" s="11"/>
      <c r="D24" s="189"/>
      <c r="E24" s="189"/>
      <c r="F24" s="189"/>
      <c r="G24" s="189"/>
      <c r="H24" s="189"/>
      <c r="I24" s="189"/>
      <c r="J24" s="189"/>
      <c r="K24" s="12"/>
      <c r="L24" s="184"/>
      <c r="M24" s="12"/>
      <c r="N24" s="21" t="s">
        <v>31</v>
      </c>
      <c r="O24" s="16"/>
      <c r="P24" s="12"/>
      <c r="Q24" s="12"/>
      <c r="R24" s="339">
        <f>SUM(L22/VLOOKUP($J$20,convert2,6,FALSE))</f>
        <v>1</v>
      </c>
      <c r="S24" s="340"/>
      <c r="T24" s="14"/>
      <c r="U24" s="14"/>
      <c r="AI24" s="185"/>
      <c r="AJ24" s="186"/>
      <c r="AK24" s="186"/>
      <c r="AL24" s="186"/>
      <c r="AM24" s="186"/>
      <c r="AN24" s="187"/>
    </row>
    <row r="25" spans="2:40" ht="14.25" customHeight="1" x14ac:dyDescent="0.3">
      <c r="B25" s="11"/>
      <c r="C25" s="28"/>
      <c r="D25" s="191"/>
      <c r="E25" s="191"/>
      <c r="F25" s="191"/>
      <c r="G25" s="191"/>
      <c r="H25" s="29"/>
      <c r="I25" s="29"/>
      <c r="J25" s="192">
        <f>IF(J22="Days",3,(IF(J22="Weeks",4,IF(J22="Months",5,IF(J22="Years",6,0)))))</f>
        <v>6</v>
      </c>
      <c r="K25" s="29"/>
      <c r="L25" s="29"/>
      <c r="M25" s="29"/>
      <c r="N25" s="29"/>
      <c r="O25" s="29"/>
      <c r="P25" s="29"/>
      <c r="Q25" s="29"/>
      <c r="R25" s="29"/>
      <c r="S25" s="29"/>
      <c r="T25" s="30"/>
      <c r="U25" s="14"/>
      <c r="AI25" s="185" t="s">
        <v>123</v>
      </c>
      <c r="AJ25" s="186" t="s">
        <v>227</v>
      </c>
      <c r="AK25" s="186" t="s">
        <v>227</v>
      </c>
      <c r="AL25" s="186" t="s">
        <v>227</v>
      </c>
      <c r="AM25" s="186">
        <v>1</v>
      </c>
      <c r="AN25" s="187">
        <v>12</v>
      </c>
    </row>
    <row r="26" spans="2:40" ht="18.75" customHeight="1" x14ac:dyDescent="0.3">
      <c r="B26" s="28"/>
      <c r="C26" s="29"/>
      <c r="D26" s="29"/>
      <c r="E26" s="29"/>
      <c r="F26" s="29"/>
      <c r="G26" s="29"/>
      <c r="H26" s="191"/>
      <c r="I26" s="29"/>
      <c r="J26" s="29"/>
      <c r="K26" s="29"/>
      <c r="L26" s="29"/>
      <c r="M26" s="29"/>
      <c r="N26" s="29"/>
      <c r="O26" s="29"/>
      <c r="P26" s="29"/>
      <c r="Q26" s="29"/>
      <c r="R26" s="29"/>
      <c r="S26" s="29"/>
      <c r="T26" s="29"/>
      <c r="U26" s="30"/>
      <c r="AI26" s="193" t="s">
        <v>224</v>
      </c>
      <c r="AJ26" s="194" t="s">
        <v>227</v>
      </c>
      <c r="AK26" s="195" t="s">
        <v>227</v>
      </c>
      <c r="AL26" s="195" t="s">
        <v>227</v>
      </c>
      <c r="AM26" s="195" t="s">
        <v>227</v>
      </c>
      <c r="AN26" s="196">
        <v>1</v>
      </c>
    </row>
    <row r="28" spans="2:40" x14ac:dyDescent="0.25">
      <c r="AI28" s="180"/>
      <c r="AJ28" s="181" t="s">
        <v>26</v>
      </c>
      <c r="AK28" s="181" t="s">
        <v>28</v>
      </c>
      <c r="AL28" s="181" t="s">
        <v>27</v>
      </c>
      <c r="AM28" s="181" t="s">
        <v>7</v>
      </c>
      <c r="AN28" s="182" t="s">
        <v>224</v>
      </c>
    </row>
    <row r="29" spans="2:40" x14ac:dyDescent="0.25">
      <c r="AI29" s="185" t="s">
        <v>26</v>
      </c>
      <c r="AJ29" s="186">
        <v>1</v>
      </c>
      <c r="AK29" s="186">
        <v>7.5</v>
      </c>
      <c r="AL29" s="186">
        <v>37.5</v>
      </c>
      <c r="AM29" s="186">
        <v>137.5</v>
      </c>
      <c r="AN29" s="187">
        <v>1650</v>
      </c>
    </row>
    <row r="30" spans="2:40" x14ac:dyDescent="0.25">
      <c r="C30" s="5"/>
      <c r="D30" s="6" t="s">
        <v>26</v>
      </c>
      <c r="E30" s="6"/>
      <c r="F30" s="31">
        <v>1650</v>
      </c>
      <c r="AI30" s="185" t="s">
        <v>28</v>
      </c>
      <c r="AJ30" s="186" t="s">
        <v>227</v>
      </c>
      <c r="AK30" s="186">
        <v>1</v>
      </c>
      <c r="AL30" s="186">
        <v>5</v>
      </c>
      <c r="AM30" s="186">
        <v>18.333333</v>
      </c>
      <c r="AN30" s="187">
        <v>220</v>
      </c>
    </row>
    <row r="31" spans="2:40" x14ac:dyDescent="0.25">
      <c r="C31" s="11"/>
      <c r="D31" s="12" t="s">
        <v>28</v>
      </c>
      <c r="E31" s="12"/>
      <c r="F31" s="32">
        <v>220</v>
      </c>
      <c r="AI31" s="185" t="s">
        <v>27</v>
      </c>
      <c r="AJ31" s="186" t="s">
        <v>227</v>
      </c>
      <c r="AK31" s="186" t="s">
        <v>227</v>
      </c>
      <c r="AL31" s="186">
        <v>1</v>
      </c>
      <c r="AM31" s="186">
        <v>3.6666660000000002</v>
      </c>
      <c r="AN31" s="187">
        <v>44</v>
      </c>
    </row>
    <row r="32" spans="2:40" x14ac:dyDescent="0.25">
      <c r="C32" s="11"/>
      <c r="D32" s="12" t="s">
        <v>27</v>
      </c>
      <c r="E32" s="12"/>
      <c r="F32" s="32">
        <v>44</v>
      </c>
      <c r="M32" s="19"/>
      <c r="N32" s="19"/>
      <c r="O32" s="19"/>
      <c r="P32" s="19"/>
      <c r="Q32" s="19"/>
      <c r="AI32" s="185" t="s">
        <v>7</v>
      </c>
      <c r="AJ32" s="186" t="s">
        <v>227</v>
      </c>
      <c r="AK32" s="186" t="s">
        <v>227</v>
      </c>
      <c r="AL32" s="186" t="s">
        <v>227</v>
      </c>
      <c r="AM32" s="186">
        <v>1</v>
      </c>
      <c r="AN32" s="187">
        <v>12</v>
      </c>
    </row>
    <row r="33" spans="3:40" x14ac:dyDescent="0.25">
      <c r="C33" s="28"/>
      <c r="D33" s="29" t="s">
        <v>7</v>
      </c>
      <c r="E33" s="29"/>
      <c r="F33" s="33">
        <v>12</v>
      </c>
      <c r="M33" s="19"/>
      <c r="N33" s="19"/>
      <c r="O33" s="19"/>
      <c r="P33" s="19"/>
      <c r="Q33" s="19"/>
      <c r="AI33" s="193" t="s">
        <v>229</v>
      </c>
      <c r="AJ33" s="194" t="s">
        <v>227</v>
      </c>
      <c r="AK33" s="195" t="s">
        <v>227</v>
      </c>
      <c r="AL33" s="195" t="s">
        <v>227</v>
      </c>
      <c r="AM33" s="195" t="s">
        <v>227</v>
      </c>
      <c r="AN33" s="196">
        <v>1</v>
      </c>
    </row>
    <row r="34" spans="3:40" x14ac:dyDescent="0.25">
      <c r="M34" s="19"/>
      <c r="N34" s="19"/>
      <c r="O34" s="19"/>
      <c r="P34" s="19"/>
      <c r="Q34" s="19"/>
    </row>
    <row r="35" spans="3:40" x14ac:dyDescent="0.25">
      <c r="M35" s="19"/>
      <c r="N35" s="19"/>
      <c r="O35" s="19"/>
      <c r="P35" s="19"/>
      <c r="Q35" s="19"/>
    </row>
    <row r="36" spans="3:40" x14ac:dyDescent="0.25">
      <c r="M36" s="20"/>
      <c r="N36" s="20"/>
      <c r="O36" s="20"/>
      <c r="P36" s="20"/>
      <c r="Q36" s="20"/>
    </row>
    <row r="37" spans="3:40" x14ac:dyDescent="0.25">
      <c r="M37" s="19"/>
      <c r="N37" s="12"/>
      <c r="O37" s="12"/>
      <c r="P37" s="12"/>
      <c r="Q37" s="12"/>
    </row>
    <row r="38" spans="3:40" x14ac:dyDescent="0.25">
      <c r="M38" s="20"/>
      <c r="N38" s="12"/>
      <c r="O38" s="12"/>
      <c r="P38" s="12"/>
      <c r="Q38" s="12"/>
    </row>
    <row r="39" spans="3:40" x14ac:dyDescent="0.25">
      <c r="M39" s="12"/>
      <c r="N39" s="12"/>
      <c r="O39" s="12"/>
      <c r="P39" s="12"/>
      <c r="Q39" s="12"/>
    </row>
    <row r="40" spans="3:40" x14ac:dyDescent="0.25">
      <c r="M40" s="12"/>
      <c r="N40" s="12"/>
      <c r="O40" s="12"/>
      <c r="P40" s="12"/>
      <c r="Q40" s="12"/>
    </row>
    <row r="41" spans="3:40" x14ac:dyDescent="0.25">
      <c r="M41" s="12"/>
      <c r="N41" s="12"/>
      <c r="O41" s="12"/>
      <c r="P41" s="12"/>
      <c r="Q41" s="12"/>
    </row>
    <row r="42" spans="3:40" x14ac:dyDescent="0.25">
      <c r="M42" s="12"/>
      <c r="N42" s="12"/>
      <c r="O42" s="12"/>
      <c r="P42" s="12"/>
      <c r="Q42" s="12"/>
    </row>
    <row r="43" spans="3:40" x14ac:dyDescent="0.25">
      <c r="M43" s="19"/>
      <c r="N43" s="12"/>
      <c r="O43" s="12"/>
      <c r="P43" s="12"/>
      <c r="Q43" s="12"/>
    </row>
    <row r="44" spans="3:40" x14ac:dyDescent="0.25">
      <c r="M44" s="19"/>
      <c r="N44" s="12"/>
      <c r="O44" s="12"/>
      <c r="P44" s="12"/>
      <c r="Q44" s="12"/>
    </row>
    <row r="45" spans="3:40" x14ac:dyDescent="0.25">
      <c r="M45" s="19"/>
      <c r="N45" s="12"/>
      <c r="O45" s="12"/>
      <c r="P45" s="12"/>
      <c r="Q45" s="12"/>
    </row>
    <row r="46" spans="3:40" x14ac:dyDescent="0.25">
      <c r="M46" s="12"/>
      <c r="N46" s="12"/>
      <c r="O46" s="12"/>
      <c r="P46" s="12"/>
      <c r="Q46" s="12"/>
    </row>
    <row r="47" spans="3:40" x14ac:dyDescent="0.25">
      <c r="M47" s="23"/>
      <c r="N47" s="12"/>
      <c r="O47" s="12"/>
      <c r="P47" s="12"/>
      <c r="Q47" s="12"/>
    </row>
    <row r="48" spans="3:40" x14ac:dyDescent="0.25">
      <c r="M48" s="20"/>
      <c r="N48" s="12"/>
      <c r="O48" s="12"/>
      <c r="P48" s="12"/>
      <c r="Q48" s="12"/>
    </row>
    <row r="49" spans="13:17" x14ac:dyDescent="0.25">
      <c r="M49" s="20"/>
      <c r="N49" s="12"/>
      <c r="O49" s="12"/>
      <c r="P49" s="12"/>
      <c r="Q49" s="12"/>
    </row>
  </sheetData>
  <sheetProtection password="D45D" sheet="1" objects="1" scenarios="1"/>
  <protectedRanges>
    <protectedRange sqref="F8 L8 F14 L14" name="Range1_2"/>
    <protectedRange sqref="J20 F20 N20 J22 F22" name="Range1_1"/>
  </protectedRanges>
  <mergeCells count="5">
    <mergeCell ref="C18:T18"/>
    <mergeCell ref="R24:S24"/>
    <mergeCell ref="B3:U3"/>
    <mergeCell ref="C6:T6"/>
    <mergeCell ref="C12:T12"/>
  </mergeCells>
  <phoneticPr fontId="2" type="noConversion"/>
  <dataValidations count="5">
    <dataValidation type="list" allowBlank="1" showInputMessage="1" showErrorMessage="1" sqref="J20 L14 F8" xr:uid="{00000000-0002-0000-0400-000000000000}">
      <formula1>time</formula1>
    </dataValidation>
    <dataValidation type="decimal" errorStyle="warning" allowBlank="1" showInputMessage="1" showErrorMessage="1" errorTitle="Work Units" error="Are you sure you want to enter such a large figure?" promptTitle="No. of Units" prompt="Please enter the number of units relating to the type (days,weeks etc)." sqref="L8 F20" xr:uid="{00000000-0002-0000-0400-000001000000}">
      <formula1>0</formula1>
      <formula2>5000</formula2>
    </dataValidation>
    <dataValidation type="decimal" errorStyle="warning" allowBlank="1" showInputMessage="1" showErrorMessage="1" errorTitle="FT Equivalent" error="Are you sure you want to enter such a large figure?_x000a__x000a_One Full Time Equivalent = 1_x000a_Half Time Equivalent = 0.5_x000a_" sqref="F14" xr:uid="{00000000-0002-0000-0400-000002000000}">
      <formula1>0</formula1>
      <formula2>10</formula2>
    </dataValidation>
    <dataValidation type="list" allowBlank="1" showInputMessage="1" showErrorMessage="1" sqref="N20" xr:uid="{00000000-0002-0000-0400-000003000000}">
      <formula1>IF($J$20="Hours",pertimea,IF($J$20="Days",pertimeb,IF($J$20="Weeks",pertimec,pertimed)))</formula1>
    </dataValidation>
    <dataValidation type="list" allowBlank="1" showInputMessage="1" showErrorMessage="1" sqref="J22" xr:uid="{00000000-0002-0000-0400-000004000000}">
      <formula1>IF($N$20="Day",overtime,IF($N$20="Week",overtimeb,IF($N$20="Month",overtimec,overtimed)))</formula1>
    </dataValidation>
  </dataValidations>
  <pageMargins left="0.75" right="0.75" top="1" bottom="1" header="0.5" footer="0.5"/>
  <pageSetup paperSize="9" orientation="landscape" blackAndWhite="1"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G19"/>
  <sheetViews>
    <sheetView workbookViewId="0">
      <selection activeCell="B3" sqref="B3"/>
    </sheetView>
  </sheetViews>
  <sheetFormatPr defaultRowHeight="13" x14ac:dyDescent="0.3"/>
  <cols>
    <col min="1" max="1" width="15.81640625" bestFit="1" customWidth="1"/>
    <col min="3" max="3" width="10.7265625" bestFit="1" customWidth="1"/>
    <col min="6" max="6" width="10.81640625" style="58" bestFit="1" customWidth="1"/>
  </cols>
  <sheetData>
    <row r="2" spans="1:7" x14ac:dyDescent="0.3">
      <c r="B2" t="s">
        <v>28</v>
      </c>
      <c r="C2" t="s">
        <v>355</v>
      </c>
      <c r="D2" t="s">
        <v>356</v>
      </c>
      <c r="E2" t="s">
        <v>359</v>
      </c>
      <c r="F2" s="58" t="s">
        <v>360</v>
      </c>
      <c r="G2" t="s">
        <v>361</v>
      </c>
    </row>
    <row r="3" spans="1:7" x14ac:dyDescent="0.3">
      <c r="A3">
        <f>'Project Details'!B28</f>
        <v>0</v>
      </c>
      <c r="B3">
        <f>'Project Details'!N28</f>
        <v>1</v>
      </c>
      <c r="C3" s="311">
        <f>'Project Details'!Q28</f>
        <v>294</v>
      </c>
      <c r="D3" t="s">
        <v>46</v>
      </c>
      <c r="E3" s="311" t="e">
        <f>IF(D3="yes",(C3+($B$19*B3)),C3)</f>
        <v>#DIV/0!</v>
      </c>
      <c r="F3" s="312" t="e">
        <f>E3*1.2</f>
        <v>#DIV/0!</v>
      </c>
      <c r="G3" s="313" t="e">
        <f>F3/B3</f>
        <v>#DIV/0!</v>
      </c>
    </row>
    <row r="4" spans="1:7" x14ac:dyDescent="0.3">
      <c r="A4">
        <f>'Project Details'!B45</f>
        <v>0</v>
      </c>
      <c r="B4">
        <f>'Project Details'!N45</f>
        <v>0</v>
      </c>
      <c r="C4" s="311">
        <f>'Project Details'!Q45</f>
        <v>0</v>
      </c>
      <c r="D4" t="s">
        <v>46</v>
      </c>
      <c r="E4" s="311" t="e">
        <f t="shared" ref="E4:E6" si="0">IF(D4="yes",(C4+($B$19*B4)),C4)</f>
        <v>#DIV/0!</v>
      </c>
      <c r="F4" s="312" t="e">
        <f t="shared" ref="F4:F6" si="1">E4*1.2</f>
        <v>#DIV/0!</v>
      </c>
      <c r="G4" s="313" t="e">
        <f t="shared" ref="G4:G6" si="2">F4/B4</f>
        <v>#DIV/0!</v>
      </c>
    </row>
    <row r="5" spans="1:7" x14ac:dyDescent="0.3">
      <c r="A5" t="str">
        <f>'Project Details'!B47</f>
        <v xml:space="preserve"> </v>
      </c>
      <c r="B5">
        <f>'Project Details'!N47</f>
        <v>0</v>
      </c>
      <c r="C5" s="311">
        <f>'Project Details'!Q47</f>
        <v>0</v>
      </c>
      <c r="D5" t="s">
        <v>47</v>
      </c>
      <c r="E5" s="311">
        <f t="shared" si="0"/>
        <v>0</v>
      </c>
      <c r="F5" s="312">
        <f t="shared" si="1"/>
        <v>0</v>
      </c>
      <c r="G5" s="313" t="e">
        <f t="shared" si="2"/>
        <v>#DIV/0!</v>
      </c>
    </row>
    <row r="6" spans="1:7" x14ac:dyDescent="0.3">
      <c r="A6" t="str">
        <f>'Project Details'!B49</f>
        <v xml:space="preserve"> </v>
      </c>
      <c r="B6">
        <f>'Project Details'!N49</f>
        <v>0</v>
      </c>
      <c r="C6" s="311">
        <f>'Project Details'!Q49</f>
        <v>0</v>
      </c>
      <c r="D6" t="s">
        <v>46</v>
      </c>
      <c r="E6" s="311" t="e">
        <f t="shared" si="0"/>
        <v>#DIV/0!</v>
      </c>
      <c r="F6" s="312" t="e">
        <f t="shared" si="1"/>
        <v>#DIV/0!</v>
      </c>
      <c r="G6" s="313" t="e">
        <f t="shared" si="2"/>
        <v>#DIV/0!</v>
      </c>
    </row>
    <row r="7" spans="1:7" s="58" customFormat="1" x14ac:dyDescent="0.3">
      <c r="A7" s="58" t="s">
        <v>354</v>
      </c>
      <c r="B7" s="58">
        <f>SUM(B3:B6)</f>
        <v>1</v>
      </c>
      <c r="C7" s="312">
        <f>SUM(C3:C6)</f>
        <v>294</v>
      </c>
      <c r="E7" s="312" t="e">
        <f t="shared" ref="E7:F7" si="3">SUM(E3:E6)</f>
        <v>#DIV/0!</v>
      </c>
      <c r="F7" s="312" t="e">
        <f t="shared" si="3"/>
        <v>#DIV/0!</v>
      </c>
      <c r="G7" s="312"/>
    </row>
    <row r="15" spans="1:7" x14ac:dyDescent="0.3">
      <c r="A15" t="s">
        <v>89</v>
      </c>
      <c r="B15">
        <f>'Project Details'!Q72</f>
        <v>0</v>
      </c>
    </row>
    <row r="16" spans="1:7" x14ac:dyDescent="0.3">
      <c r="A16" t="s">
        <v>353</v>
      </c>
      <c r="B16">
        <f>'Project Details'!Q84</f>
        <v>0</v>
      </c>
    </row>
    <row r="17" spans="1:2" x14ac:dyDescent="0.3">
      <c r="A17" t="s">
        <v>352</v>
      </c>
      <c r="B17">
        <f>'Project Details'!Q88</f>
        <v>237</v>
      </c>
    </row>
    <row r="18" spans="1:2" x14ac:dyDescent="0.3">
      <c r="A18" t="s">
        <v>357</v>
      </c>
      <c r="B18">
        <f>'Project Details'!N72</f>
        <v>0</v>
      </c>
    </row>
    <row r="19" spans="1:2" x14ac:dyDescent="0.3">
      <c r="A19" t="s">
        <v>358</v>
      </c>
      <c r="B19" t="e">
        <f>(B15+B16+B17)/B18</f>
        <v>#DIV/0!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B1:IV92"/>
  <sheetViews>
    <sheetView workbookViewId="0">
      <selection activeCell="E9" sqref="E9"/>
    </sheetView>
  </sheetViews>
  <sheetFormatPr defaultColWidth="9.1796875" defaultRowHeight="12.5" x14ac:dyDescent="0.25"/>
  <cols>
    <col min="1" max="1" width="2.54296875" style="84" customWidth="1"/>
    <col min="2" max="2" width="29.81640625" style="84" customWidth="1"/>
    <col min="3" max="3" width="10.54296875" style="84" customWidth="1"/>
    <col min="4" max="4" width="14" style="84" bestFit="1" customWidth="1"/>
    <col min="5" max="5" width="29.453125" style="84" customWidth="1"/>
    <col min="6" max="6" width="19.7265625" style="84" bestFit="1" customWidth="1"/>
    <col min="7" max="7" width="19" style="84" customWidth="1"/>
    <col min="8" max="8" width="2.7265625" style="84" customWidth="1"/>
    <col min="9" max="9" width="9.81640625" style="84" customWidth="1"/>
    <col min="10" max="10" width="9.1796875" style="84"/>
    <col min="11" max="11" width="42.7265625" style="84" customWidth="1"/>
    <col min="12" max="12" width="39.1796875" style="84" bestFit="1" customWidth="1"/>
    <col min="13" max="13" width="39" style="84" bestFit="1" customWidth="1"/>
    <col min="14" max="14" width="31" style="84" bestFit="1" customWidth="1"/>
    <col min="15" max="15" width="34.81640625" style="84" customWidth="1"/>
    <col min="16" max="16" width="37.54296875" style="84" bestFit="1" customWidth="1"/>
    <col min="17" max="17" width="39.1796875" style="84" bestFit="1" customWidth="1"/>
    <col min="18" max="18" width="19.7265625" style="84" bestFit="1" customWidth="1"/>
    <col min="19" max="19" width="23.7265625" style="84" bestFit="1" customWidth="1"/>
    <col min="20" max="16384" width="9.1796875" style="84"/>
  </cols>
  <sheetData>
    <row r="1" spans="2:19" ht="13" x14ac:dyDescent="0.3">
      <c r="B1" s="83" t="s">
        <v>42</v>
      </c>
      <c r="C1" s="83" t="s">
        <v>57</v>
      </c>
      <c r="E1" s="83" t="s">
        <v>43</v>
      </c>
      <c r="F1" s="83" t="s">
        <v>57</v>
      </c>
      <c r="G1" s="86"/>
      <c r="I1" s="83" t="s">
        <v>39</v>
      </c>
      <c r="K1" s="216" t="s">
        <v>265</v>
      </c>
      <c r="L1" s="216" t="s">
        <v>9</v>
      </c>
      <c r="M1" s="216" t="s">
        <v>273</v>
      </c>
      <c r="N1" s="216" t="s">
        <v>274</v>
      </c>
      <c r="O1" s="216" t="s">
        <v>328</v>
      </c>
      <c r="P1" s="216" t="s">
        <v>275</v>
      </c>
      <c r="Q1" s="216" t="s">
        <v>341</v>
      </c>
      <c r="R1" s="216" t="s">
        <v>242</v>
      </c>
      <c r="S1" s="216" t="s">
        <v>320</v>
      </c>
    </row>
    <row r="2" spans="2:19" x14ac:dyDescent="0.25">
      <c r="B2" s="90" t="s">
        <v>104</v>
      </c>
      <c r="C2" s="86">
        <v>0</v>
      </c>
      <c r="E2" s="90" t="s">
        <v>104</v>
      </c>
      <c r="F2" s="86">
        <v>0</v>
      </c>
      <c r="G2" s="86"/>
      <c r="I2" s="84" t="s">
        <v>46</v>
      </c>
      <c r="K2" s="84" t="s">
        <v>266</v>
      </c>
      <c r="L2" s="84" t="s">
        <v>266</v>
      </c>
      <c r="M2" s="84" t="s">
        <v>266</v>
      </c>
      <c r="N2" s="84" t="s">
        <v>266</v>
      </c>
      <c r="O2" s="84" t="s">
        <v>266</v>
      </c>
      <c r="P2" s="84" t="s">
        <v>266</v>
      </c>
      <c r="Q2" s="84" t="s">
        <v>266</v>
      </c>
      <c r="R2" s="84" t="s">
        <v>266</v>
      </c>
      <c r="S2" s="84" t="s">
        <v>266</v>
      </c>
    </row>
    <row r="3" spans="2:19" x14ac:dyDescent="0.25">
      <c r="B3" s="170" t="s">
        <v>332</v>
      </c>
      <c r="C3" s="86">
        <v>1</v>
      </c>
      <c r="E3" s="170" t="s">
        <v>332</v>
      </c>
      <c r="F3" s="86">
        <v>1</v>
      </c>
      <c r="G3" s="86"/>
      <c r="I3" s="84" t="s">
        <v>47</v>
      </c>
      <c r="K3" s="84" t="s">
        <v>267</v>
      </c>
      <c r="L3" s="84" t="s">
        <v>276</v>
      </c>
      <c r="M3" s="84" t="s">
        <v>274</v>
      </c>
      <c r="N3" s="92" t="s">
        <v>276</v>
      </c>
      <c r="O3" s="92" t="s">
        <v>343</v>
      </c>
      <c r="P3" s="84" t="s">
        <v>321</v>
      </c>
      <c r="Q3" s="84" t="s">
        <v>264</v>
      </c>
      <c r="R3" s="84" t="s">
        <v>242</v>
      </c>
      <c r="S3" s="84" t="s">
        <v>269</v>
      </c>
    </row>
    <row r="4" spans="2:19" x14ac:dyDescent="0.25">
      <c r="B4" s="170" t="s">
        <v>330</v>
      </c>
      <c r="C4" s="86">
        <v>1</v>
      </c>
      <c r="E4" s="170" t="s">
        <v>330</v>
      </c>
      <c r="F4" s="86">
        <v>1</v>
      </c>
      <c r="G4" s="86"/>
      <c r="K4" s="92" t="s">
        <v>327</v>
      </c>
      <c r="L4" s="84" t="s">
        <v>260</v>
      </c>
      <c r="M4" s="92" t="s">
        <v>328</v>
      </c>
      <c r="N4" s="84" t="s">
        <v>260</v>
      </c>
      <c r="O4" s="92" t="s">
        <v>344</v>
      </c>
      <c r="P4" s="92" t="s">
        <v>338</v>
      </c>
      <c r="Q4" s="92" t="s">
        <v>346</v>
      </c>
    </row>
    <row r="5" spans="2:19" ht="13" x14ac:dyDescent="0.3">
      <c r="B5" s="170" t="s">
        <v>331</v>
      </c>
      <c r="C5" s="86">
        <v>1</v>
      </c>
      <c r="E5" s="170" t="s">
        <v>331</v>
      </c>
      <c r="F5" s="86">
        <v>1</v>
      </c>
      <c r="G5" s="86"/>
      <c r="I5" s="83" t="s">
        <v>257</v>
      </c>
      <c r="K5" s="84" t="s">
        <v>268</v>
      </c>
      <c r="L5" s="84" t="s">
        <v>262</v>
      </c>
      <c r="M5" s="84" t="s">
        <v>275</v>
      </c>
      <c r="N5" s="84" t="s">
        <v>262</v>
      </c>
      <c r="O5" s="92" t="s">
        <v>263</v>
      </c>
      <c r="P5" s="84" t="s">
        <v>261</v>
      </c>
      <c r="Q5" s="92" t="s">
        <v>339</v>
      </c>
    </row>
    <row r="6" spans="2:19" x14ac:dyDescent="0.25">
      <c r="B6" s="170" t="s">
        <v>329</v>
      </c>
      <c r="C6" s="86">
        <v>1</v>
      </c>
      <c r="E6" s="170" t="s">
        <v>329</v>
      </c>
      <c r="F6" s="86">
        <v>1</v>
      </c>
      <c r="G6" s="86"/>
      <c r="I6" s="209">
        <v>0.2</v>
      </c>
      <c r="K6" s="92" t="s">
        <v>337</v>
      </c>
      <c r="L6" s="84" t="s">
        <v>38</v>
      </c>
      <c r="M6" s="92" t="s">
        <v>341</v>
      </c>
      <c r="N6" s="84" t="s">
        <v>38</v>
      </c>
      <c r="O6" s="92" t="s">
        <v>345</v>
      </c>
      <c r="P6" s="84" t="s">
        <v>322</v>
      </c>
      <c r="Q6" s="84" t="s">
        <v>278</v>
      </c>
    </row>
    <row r="7" spans="2:19" x14ac:dyDescent="0.25">
      <c r="B7" s="85" t="s">
        <v>41</v>
      </c>
      <c r="C7" s="86">
        <v>1</v>
      </c>
      <c r="E7" s="85" t="s">
        <v>41</v>
      </c>
      <c r="F7" s="86">
        <v>1</v>
      </c>
      <c r="G7" s="86"/>
      <c r="K7" s="84" t="s">
        <v>242</v>
      </c>
      <c r="L7" s="92" t="s">
        <v>343</v>
      </c>
      <c r="M7" s="84" t="s">
        <v>242</v>
      </c>
    </row>
    <row r="8" spans="2:19" x14ac:dyDescent="0.25">
      <c r="B8" s="85" t="s">
        <v>0</v>
      </c>
      <c r="C8" s="86">
        <v>1</v>
      </c>
      <c r="E8" s="85" t="s">
        <v>0</v>
      </c>
      <c r="F8" s="86">
        <v>1</v>
      </c>
      <c r="G8" s="86"/>
      <c r="K8" s="84" t="s">
        <v>269</v>
      </c>
      <c r="L8" s="92" t="s">
        <v>344</v>
      </c>
      <c r="M8" s="84" t="s">
        <v>320</v>
      </c>
    </row>
    <row r="9" spans="2:19" x14ac:dyDescent="0.25">
      <c r="B9" s="85" t="s">
        <v>84</v>
      </c>
      <c r="C9" s="86">
        <v>1</v>
      </c>
      <c r="E9" s="170" t="s">
        <v>235</v>
      </c>
      <c r="F9" s="171">
        <v>0</v>
      </c>
      <c r="G9" s="86"/>
      <c r="L9" s="92" t="s">
        <v>263</v>
      </c>
    </row>
    <row r="10" spans="2:19" x14ac:dyDescent="0.25">
      <c r="B10" s="85" t="s">
        <v>94</v>
      </c>
      <c r="C10" s="86">
        <v>1</v>
      </c>
      <c r="E10" s="85"/>
      <c r="F10" s="86"/>
      <c r="G10" s="86"/>
      <c r="L10" s="92" t="s">
        <v>345</v>
      </c>
    </row>
    <row r="11" spans="2:19" x14ac:dyDescent="0.25">
      <c r="B11" s="85" t="s">
        <v>40</v>
      </c>
      <c r="C11" s="86">
        <v>1</v>
      </c>
      <c r="E11" s="85"/>
      <c r="F11" s="86"/>
      <c r="G11" s="86"/>
      <c r="L11" s="92" t="s">
        <v>321</v>
      </c>
    </row>
    <row r="12" spans="2:19" x14ac:dyDescent="0.25">
      <c r="B12" s="85" t="s">
        <v>44</v>
      </c>
      <c r="C12" s="86">
        <v>1</v>
      </c>
      <c r="G12" s="86"/>
      <c r="L12" s="92" t="s">
        <v>338</v>
      </c>
    </row>
    <row r="13" spans="2:19" x14ac:dyDescent="0.25">
      <c r="B13" s="170" t="s">
        <v>235</v>
      </c>
      <c r="C13" s="86">
        <v>0</v>
      </c>
      <c r="E13" s="170"/>
      <c r="F13" s="171"/>
      <c r="G13" s="86"/>
      <c r="L13" s="84" t="s">
        <v>261</v>
      </c>
    </row>
    <row r="14" spans="2:19" x14ac:dyDescent="0.25">
      <c r="B14" s="170" t="s">
        <v>208</v>
      </c>
      <c r="C14" s="171">
        <v>0</v>
      </c>
      <c r="E14" s="85"/>
      <c r="F14" s="86"/>
      <c r="G14" s="86"/>
      <c r="L14" s="84" t="s">
        <v>277</v>
      </c>
    </row>
    <row r="15" spans="2:19" x14ac:dyDescent="0.25">
      <c r="B15" s="85" t="s">
        <v>243</v>
      </c>
      <c r="C15" s="86">
        <v>0</v>
      </c>
      <c r="E15" s="170"/>
      <c r="L15" s="84" t="s">
        <v>264</v>
      </c>
    </row>
    <row r="16" spans="2:19" x14ac:dyDescent="0.25">
      <c r="B16" s="85" t="s">
        <v>244</v>
      </c>
      <c r="C16" s="86">
        <v>0</v>
      </c>
      <c r="L16" s="92" t="s">
        <v>346</v>
      </c>
    </row>
    <row r="17" spans="2:256" x14ac:dyDescent="0.25">
      <c r="B17" s="85" t="s">
        <v>245</v>
      </c>
      <c r="C17" s="86">
        <v>0</v>
      </c>
      <c r="L17" s="92" t="s">
        <v>339</v>
      </c>
    </row>
    <row r="18" spans="2:256" x14ac:dyDescent="0.25">
      <c r="B18" s="85" t="s">
        <v>246</v>
      </c>
      <c r="C18" s="86">
        <v>0</v>
      </c>
      <c r="L18" s="84" t="s">
        <v>278</v>
      </c>
    </row>
    <row r="19" spans="2:256" x14ac:dyDescent="0.25">
      <c r="B19" s="85" t="s">
        <v>247</v>
      </c>
      <c r="C19" s="86">
        <v>0</v>
      </c>
    </row>
    <row r="20" spans="2:256" x14ac:dyDescent="0.25">
      <c r="B20" s="85" t="s">
        <v>248</v>
      </c>
      <c r="C20" s="86">
        <v>0</v>
      </c>
    </row>
    <row r="21" spans="2:256" x14ac:dyDescent="0.25">
      <c r="B21" s="85" t="s">
        <v>249</v>
      </c>
      <c r="C21" s="86">
        <v>0</v>
      </c>
    </row>
    <row r="22" spans="2:256" x14ac:dyDescent="0.25">
      <c r="B22" s="85" t="s">
        <v>250</v>
      </c>
      <c r="C22" s="86">
        <v>0</v>
      </c>
      <c r="E22" s="85"/>
      <c r="F22" s="86"/>
      <c r="G22" s="86"/>
      <c r="K22" s="92"/>
    </row>
    <row r="23" spans="2:256" x14ac:dyDescent="0.25">
      <c r="B23" s="85" t="s">
        <v>251</v>
      </c>
      <c r="C23" s="86">
        <v>0</v>
      </c>
      <c r="E23" s="85"/>
      <c r="F23" s="86"/>
      <c r="G23" s="86"/>
    </row>
    <row r="24" spans="2:256" ht="13" x14ac:dyDescent="0.3">
      <c r="B24" s="85" t="s">
        <v>252</v>
      </c>
      <c r="C24" s="86">
        <v>0</v>
      </c>
      <c r="E24" s="85"/>
      <c r="F24" s="86"/>
      <c r="G24" s="86"/>
      <c r="K24" s="83" t="s">
        <v>39</v>
      </c>
      <c r="L24" s="83" t="s">
        <v>82</v>
      </c>
      <c r="M24" s="83" t="s">
        <v>80</v>
      </c>
    </row>
    <row r="25" spans="2:256" x14ac:dyDescent="0.25">
      <c r="B25" s="85"/>
      <c r="C25" s="86"/>
      <c r="E25" s="85"/>
      <c r="F25" s="86"/>
      <c r="G25" s="86"/>
      <c r="K25" s="84" t="s">
        <v>63</v>
      </c>
      <c r="L25" s="84" t="s">
        <v>77</v>
      </c>
      <c r="M25" s="87" t="s">
        <v>81</v>
      </c>
    </row>
    <row r="26" spans="2:256" x14ac:dyDescent="0.25">
      <c r="B26" s="170"/>
      <c r="C26" s="86"/>
      <c r="K26" s="84" t="s">
        <v>60</v>
      </c>
      <c r="L26" s="84" t="s">
        <v>78</v>
      </c>
      <c r="M26" s="84" t="s">
        <v>78</v>
      </c>
    </row>
    <row r="27" spans="2:256" ht="13" x14ac:dyDescent="0.3">
      <c r="B27" s="85"/>
      <c r="C27" s="86"/>
      <c r="K27" s="84" t="s">
        <v>62</v>
      </c>
      <c r="L27" s="84" t="s">
        <v>78</v>
      </c>
      <c r="M27" s="84" t="s">
        <v>78</v>
      </c>
      <c r="IV27" s="88"/>
    </row>
    <row r="28" spans="2:256" x14ac:dyDescent="0.25">
      <c r="B28" s="85"/>
      <c r="C28" s="86"/>
      <c r="E28" s="85"/>
      <c r="K28" s="84" t="s">
        <v>61</v>
      </c>
      <c r="L28" s="84" t="s">
        <v>76</v>
      </c>
      <c r="M28" s="84" t="s">
        <v>76</v>
      </c>
    </row>
    <row r="29" spans="2:256" x14ac:dyDescent="0.25">
      <c r="B29" s="85"/>
      <c r="C29" s="86"/>
      <c r="E29" s="85"/>
      <c r="K29" s="84" t="s">
        <v>75</v>
      </c>
      <c r="L29" s="84" t="s">
        <v>76</v>
      </c>
      <c r="M29" s="84" t="s">
        <v>76</v>
      </c>
    </row>
    <row r="30" spans="2:256" x14ac:dyDescent="0.25">
      <c r="B30" s="85"/>
      <c r="C30" s="86"/>
      <c r="E30" s="86"/>
      <c r="K30" s="84" t="s">
        <v>254</v>
      </c>
      <c r="L30" s="84" t="s">
        <v>78</v>
      </c>
      <c r="M30" s="84" t="s">
        <v>78</v>
      </c>
    </row>
    <row r="31" spans="2:256" x14ac:dyDescent="0.25">
      <c r="B31" s="85"/>
      <c r="C31" s="86"/>
    </row>
    <row r="32" spans="2:256" ht="13" x14ac:dyDescent="0.3">
      <c r="B32" s="170"/>
      <c r="C32" s="171"/>
      <c r="K32" s="83" t="s">
        <v>29</v>
      </c>
    </row>
    <row r="33" spans="2:12" x14ac:dyDescent="0.25">
      <c r="B33" s="85"/>
      <c r="C33" s="86"/>
      <c r="K33" s="84" t="s">
        <v>26</v>
      </c>
      <c r="L33" s="84">
        <v>1650</v>
      </c>
    </row>
    <row r="34" spans="2:12" x14ac:dyDescent="0.25">
      <c r="B34" s="85"/>
      <c r="C34" s="86"/>
      <c r="K34" s="84" t="s">
        <v>28</v>
      </c>
      <c r="L34" s="84">
        <v>220</v>
      </c>
    </row>
    <row r="35" spans="2:12" x14ac:dyDescent="0.25">
      <c r="B35" s="85"/>
      <c r="C35" s="86"/>
      <c r="K35" s="84" t="s">
        <v>27</v>
      </c>
      <c r="L35" s="84">
        <v>44</v>
      </c>
    </row>
    <row r="36" spans="2:12" ht="13" x14ac:dyDescent="0.3">
      <c r="B36" s="89" t="s">
        <v>18</v>
      </c>
      <c r="C36" s="89" t="s">
        <v>21</v>
      </c>
      <c r="D36" s="89" t="s">
        <v>22</v>
      </c>
      <c r="E36" s="89" t="s">
        <v>20</v>
      </c>
      <c r="K36" s="84" t="s">
        <v>7</v>
      </c>
      <c r="L36" s="84">
        <v>12</v>
      </c>
    </row>
    <row r="37" spans="2:12" x14ac:dyDescent="0.25">
      <c r="B37" s="90" t="s">
        <v>104</v>
      </c>
      <c r="C37" s="84" t="s">
        <v>63</v>
      </c>
      <c r="D37" s="84" t="s">
        <v>63</v>
      </c>
      <c r="E37" s="84" t="s">
        <v>63</v>
      </c>
    </row>
    <row r="38" spans="2:12" ht="25" x14ac:dyDescent="0.25">
      <c r="B38" s="290" t="s">
        <v>342</v>
      </c>
      <c r="C38" s="84" t="s">
        <v>60</v>
      </c>
      <c r="D38" s="84" t="s">
        <v>254</v>
      </c>
      <c r="E38" s="84" t="s">
        <v>254</v>
      </c>
      <c r="K38" s="2" t="s">
        <v>121</v>
      </c>
    </row>
    <row r="39" spans="2:12" x14ac:dyDescent="0.25">
      <c r="B39" s="90" t="s">
        <v>255</v>
      </c>
      <c r="C39" s="84" t="s">
        <v>60</v>
      </c>
      <c r="D39" s="84" t="s">
        <v>61</v>
      </c>
      <c r="E39" s="84" t="s">
        <v>61</v>
      </c>
      <c r="K39" s="2" t="s">
        <v>122</v>
      </c>
    </row>
    <row r="40" spans="2:12" x14ac:dyDescent="0.25">
      <c r="B40" s="90" t="s">
        <v>12</v>
      </c>
      <c r="C40" s="84" t="s">
        <v>60</v>
      </c>
      <c r="D40" s="84" t="s">
        <v>61</v>
      </c>
      <c r="E40" s="84" t="s">
        <v>61</v>
      </c>
      <c r="K40" s="2" t="s">
        <v>123</v>
      </c>
    </row>
    <row r="41" spans="2:12" x14ac:dyDescent="0.25">
      <c r="B41" s="90" t="s">
        <v>13</v>
      </c>
      <c r="C41" s="84" t="s">
        <v>60</v>
      </c>
      <c r="D41" s="84" t="s">
        <v>61</v>
      </c>
      <c r="E41" s="84" t="s">
        <v>61</v>
      </c>
      <c r="K41" s="2" t="s">
        <v>224</v>
      </c>
    </row>
    <row r="42" spans="2:12" x14ac:dyDescent="0.25">
      <c r="B42" s="90" t="s">
        <v>14</v>
      </c>
      <c r="C42" s="84" t="s">
        <v>60</v>
      </c>
      <c r="D42" s="84" t="s">
        <v>60</v>
      </c>
      <c r="E42" s="84" t="s">
        <v>75</v>
      </c>
      <c r="K42" s="2"/>
    </row>
    <row r="43" spans="2:12" x14ac:dyDescent="0.25">
      <c r="B43" s="90" t="s">
        <v>15</v>
      </c>
      <c r="C43" s="84" t="s">
        <v>60</v>
      </c>
      <c r="D43" s="84" t="s">
        <v>60</v>
      </c>
      <c r="E43" s="84" t="s">
        <v>60</v>
      </c>
      <c r="K43" s="2"/>
    </row>
    <row r="44" spans="2:12" x14ac:dyDescent="0.25">
      <c r="B44" s="90" t="s">
        <v>16</v>
      </c>
      <c r="C44" s="84" t="s">
        <v>60</v>
      </c>
      <c r="D44" s="84" t="s">
        <v>61</v>
      </c>
      <c r="E44" s="84" t="s">
        <v>61</v>
      </c>
      <c r="K44" s="2" t="s">
        <v>28</v>
      </c>
    </row>
    <row r="45" spans="2:12" x14ac:dyDescent="0.25">
      <c r="B45" s="90" t="s">
        <v>17</v>
      </c>
      <c r="C45" s="84" t="s">
        <v>60</v>
      </c>
      <c r="D45" s="84" t="s">
        <v>75</v>
      </c>
      <c r="E45" s="84" t="s">
        <v>75</v>
      </c>
      <c r="K45" s="2" t="s">
        <v>27</v>
      </c>
    </row>
    <row r="46" spans="2:12" x14ac:dyDescent="0.25">
      <c r="B46" s="90" t="s">
        <v>241</v>
      </c>
      <c r="C46" s="84" t="s">
        <v>60</v>
      </c>
      <c r="D46" s="84" t="s">
        <v>60</v>
      </c>
      <c r="E46" s="84" t="s">
        <v>75</v>
      </c>
      <c r="K46" s="2" t="s">
        <v>7</v>
      </c>
    </row>
    <row r="47" spans="2:12" x14ac:dyDescent="0.25">
      <c r="B47" s="90" t="s">
        <v>259</v>
      </c>
      <c r="C47" s="84" t="s">
        <v>60</v>
      </c>
      <c r="D47" s="84" t="s">
        <v>62</v>
      </c>
      <c r="E47" s="84" t="s">
        <v>75</v>
      </c>
      <c r="K47" s="2" t="s">
        <v>229</v>
      </c>
    </row>
    <row r="48" spans="2:12" x14ac:dyDescent="0.25">
      <c r="B48" s="90" t="s">
        <v>11</v>
      </c>
      <c r="C48" s="84" t="s">
        <v>60</v>
      </c>
      <c r="D48" s="84" t="s">
        <v>60</v>
      </c>
      <c r="E48" s="84" t="s">
        <v>75</v>
      </c>
      <c r="K48" s="2"/>
    </row>
    <row r="49" spans="2:12" ht="25" x14ac:dyDescent="0.25">
      <c r="B49" s="90" t="s">
        <v>127</v>
      </c>
      <c r="C49" s="84" t="s">
        <v>60</v>
      </c>
      <c r="D49" s="84" t="s">
        <v>60</v>
      </c>
      <c r="E49" s="84" t="s">
        <v>75</v>
      </c>
      <c r="K49" s="2"/>
    </row>
    <row r="50" spans="2:12" ht="25" x14ac:dyDescent="0.25">
      <c r="B50" s="90" t="s">
        <v>126</v>
      </c>
      <c r="C50" s="84" t="s">
        <v>60</v>
      </c>
      <c r="D50" s="84" t="s">
        <v>75</v>
      </c>
      <c r="E50" s="84" t="s">
        <v>75</v>
      </c>
    </row>
    <row r="51" spans="2:12" x14ac:dyDescent="0.25">
      <c r="B51" s="90"/>
      <c r="C51" s="91"/>
      <c r="K51" s="170" t="s">
        <v>332</v>
      </c>
      <c r="L51" s="86">
        <v>1</v>
      </c>
    </row>
    <row r="52" spans="2:12" x14ac:dyDescent="0.25">
      <c r="B52" s="90"/>
      <c r="C52" s="91"/>
      <c r="K52" s="170" t="s">
        <v>330</v>
      </c>
      <c r="L52" s="86">
        <v>1</v>
      </c>
    </row>
    <row r="53" spans="2:12" x14ac:dyDescent="0.25">
      <c r="B53" s="90"/>
      <c r="C53" s="91"/>
      <c r="K53" s="170" t="s">
        <v>329</v>
      </c>
      <c r="L53" s="86">
        <v>1</v>
      </c>
    </row>
    <row r="54" spans="2:12" x14ac:dyDescent="0.25">
      <c r="K54" s="85" t="s">
        <v>41</v>
      </c>
      <c r="L54" s="86">
        <v>1</v>
      </c>
    </row>
    <row r="55" spans="2:12" ht="13" x14ac:dyDescent="0.3">
      <c r="B55" s="83" t="s">
        <v>19</v>
      </c>
      <c r="C55" s="83"/>
      <c r="K55" s="85" t="s">
        <v>0</v>
      </c>
      <c r="L55" s="86">
        <v>1</v>
      </c>
    </row>
    <row r="56" spans="2:12" x14ac:dyDescent="0.25">
      <c r="B56" s="84" t="s">
        <v>104</v>
      </c>
      <c r="K56" s="85" t="s">
        <v>84</v>
      </c>
      <c r="L56" s="86">
        <v>0</v>
      </c>
    </row>
    <row r="57" spans="2:12" x14ac:dyDescent="0.25">
      <c r="B57" s="84" t="s">
        <v>20</v>
      </c>
      <c r="K57" s="170" t="s">
        <v>331</v>
      </c>
      <c r="L57" s="86">
        <v>1</v>
      </c>
    </row>
    <row r="58" spans="2:12" x14ac:dyDescent="0.25">
      <c r="B58" s="84" t="s">
        <v>22</v>
      </c>
      <c r="K58" s="85" t="s">
        <v>94</v>
      </c>
      <c r="L58" s="86">
        <v>1</v>
      </c>
    </row>
    <row r="59" spans="2:12" x14ac:dyDescent="0.25">
      <c r="B59" s="84" t="s">
        <v>21</v>
      </c>
      <c r="K59" s="85" t="s">
        <v>40</v>
      </c>
      <c r="L59" s="86">
        <v>1</v>
      </c>
    </row>
    <row r="60" spans="2:12" x14ac:dyDescent="0.25">
      <c r="K60" s="85" t="s">
        <v>44</v>
      </c>
      <c r="L60" s="86">
        <v>1</v>
      </c>
    </row>
    <row r="61" spans="2:12" ht="13" x14ac:dyDescent="0.3">
      <c r="B61" s="83" t="s">
        <v>24</v>
      </c>
      <c r="C61" s="83"/>
      <c r="K61" s="170" t="s">
        <v>235</v>
      </c>
      <c r="L61" s="86">
        <v>0</v>
      </c>
    </row>
    <row r="62" spans="2:12" x14ac:dyDescent="0.25">
      <c r="B62" s="84" t="s">
        <v>104</v>
      </c>
      <c r="K62" s="170" t="s">
        <v>208</v>
      </c>
      <c r="L62" s="86">
        <v>0</v>
      </c>
    </row>
    <row r="63" spans="2:12" x14ac:dyDescent="0.25">
      <c r="B63" s="84" t="s">
        <v>106</v>
      </c>
      <c r="K63" s="85" t="s">
        <v>243</v>
      </c>
      <c r="L63" s="86">
        <v>0</v>
      </c>
    </row>
    <row r="64" spans="2:12" x14ac:dyDescent="0.25">
      <c r="B64" s="84" t="s">
        <v>107</v>
      </c>
      <c r="K64" s="85" t="s">
        <v>244</v>
      </c>
      <c r="L64" s="86">
        <v>0</v>
      </c>
    </row>
    <row r="65" spans="2:12" x14ac:dyDescent="0.25">
      <c r="B65" s="84" t="s">
        <v>230</v>
      </c>
      <c r="K65" s="85" t="s">
        <v>245</v>
      </c>
      <c r="L65" s="86">
        <v>0</v>
      </c>
    </row>
    <row r="66" spans="2:12" x14ac:dyDescent="0.25">
      <c r="K66" s="85" t="s">
        <v>246</v>
      </c>
      <c r="L66" s="86">
        <v>0</v>
      </c>
    </row>
    <row r="67" spans="2:12" ht="13" x14ac:dyDescent="0.3">
      <c r="B67" s="83" t="s">
        <v>58</v>
      </c>
      <c r="C67" s="83"/>
      <c r="K67" s="85" t="s">
        <v>247</v>
      </c>
      <c r="L67" s="86">
        <v>0</v>
      </c>
    </row>
    <row r="68" spans="2:12" x14ac:dyDescent="0.25">
      <c r="B68" s="92" t="s">
        <v>59</v>
      </c>
      <c r="K68" s="85" t="s">
        <v>248</v>
      </c>
      <c r="L68" s="86">
        <v>0</v>
      </c>
    </row>
    <row r="69" spans="2:12" x14ac:dyDescent="0.25">
      <c r="B69" s="92" t="s">
        <v>91</v>
      </c>
      <c r="K69" s="85" t="s">
        <v>249</v>
      </c>
      <c r="L69" s="86">
        <v>0</v>
      </c>
    </row>
    <row r="70" spans="2:12" x14ac:dyDescent="0.25">
      <c r="B70" s="92" t="s">
        <v>92</v>
      </c>
      <c r="K70" s="85" t="s">
        <v>250</v>
      </c>
      <c r="L70" s="86">
        <v>0</v>
      </c>
    </row>
    <row r="71" spans="2:12" x14ac:dyDescent="0.25">
      <c r="B71" s="92" t="s">
        <v>23</v>
      </c>
      <c r="K71" s="85" t="s">
        <v>251</v>
      </c>
      <c r="L71" s="86">
        <v>0</v>
      </c>
    </row>
    <row r="72" spans="2:12" x14ac:dyDescent="0.25">
      <c r="K72" s="85" t="s">
        <v>252</v>
      </c>
      <c r="L72" s="86">
        <v>0</v>
      </c>
    </row>
    <row r="73" spans="2:12" ht="13" x14ac:dyDescent="0.3">
      <c r="B73" s="83" t="s">
        <v>119</v>
      </c>
    </row>
    <row r="74" spans="2:12" x14ac:dyDescent="0.25">
      <c r="B74" s="84" t="s">
        <v>104</v>
      </c>
    </row>
    <row r="75" spans="2:12" x14ac:dyDescent="0.25">
      <c r="B75" s="84" t="s">
        <v>49</v>
      </c>
    </row>
    <row r="76" spans="2:12" x14ac:dyDescent="0.25">
      <c r="B76" s="84" t="s">
        <v>128</v>
      </c>
    </row>
    <row r="77" spans="2:12" x14ac:dyDescent="0.25">
      <c r="B77" s="84" t="s">
        <v>23</v>
      </c>
    </row>
    <row r="78" spans="2:12" x14ac:dyDescent="0.25">
      <c r="B78" s="84" t="s">
        <v>48</v>
      </c>
    </row>
    <row r="81" spans="2:3" ht="13" x14ac:dyDescent="0.3">
      <c r="B81" s="216" t="s">
        <v>284</v>
      </c>
      <c r="C81" s="216"/>
    </row>
    <row r="82" spans="2:3" x14ac:dyDescent="0.25">
      <c r="B82" s="84" t="s">
        <v>285</v>
      </c>
      <c r="C82" s="84">
        <v>654</v>
      </c>
    </row>
    <row r="83" spans="2:3" x14ac:dyDescent="0.25">
      <c r="B83" s="84" t="s">
        <v>286</v>
      </c>
      <c r="C83" s="84">
        <v>654</v>
      </c>
    </row>
    <row r="86" spans="2:3" ht="13" x14ac:dyDescent="0.3">
      <c r="B86" s="83" t="s">
        <v>19</v>
      </c>
      <c r="C86" s="83"/>
    </row>
    <row r="87" spans="2:3" x14ac:dyDescent="0.25">
      <c r="B87" s="92" t="s">
        <v>340</v>
      </c>
    </row>
    <row r="88" spans="2:3" x14ac:dyDescent="0.25">
      <c r="B88" s="84" t="s">
        <v>60</v>
      </c>
    </row>
    <row r="89" spans="2:3" x14ac:dyDescent="0.25">
      <c r="B89" s="84" t="s">
        <v>62</v>
      </c>
    </row>
    <row r="90" spans="2:3" x14ac:dyDescent="0.25">
      <c r="B90" s="84" t="s">
        <v>61</v>
      </c>
    </row>
    <row r="91" spans="2:3" x14ac:dyDescent="0.25">
      <c r="B91" s="84" t="s">
        <v>75</v>
      </c>
    </row>
    <row r="92" spans="2:3" x14ac:dyDescent="0.25">
      <c r="B92" s="84" t="s">
        <v>254</v>
      </c>
    </row>
  </sheetData>
  <phoneticPr fontId="2"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IV53"/>
  <sheetViews>
    <sheetView workbookViewId="0">
      <selection activeCell="F6" sqref="F6"/>
    </sheetView>
  </sheetViews>
  <sheetFormatPr defaultRowHeight="12.5" x14ac:dyDescent="0.25"/>
  <cols>
    <col min="1" max="1" width="7.7265625" customWidth="1"/>
    <col min="2" max="2" width="19.81640625" bestFit="1" customWidth="1"/>
    <col min="3" max="4" width="12.1796875" customWidth="1"/>
    <col min="5" max="5" width="20" customWidth="1"/>
    <col min="6" max="12" width="13.7265625" customWidth="1"/>
    <col min="13" max="13" width="12" customWidth="1"/>
    <col min="14" max="14" width="11.26953125" customWidth="1"/>
  </cols>
  <sheetData>
    <row r="2" spans="1:256" ht="13" x14ac:dyDescent="0.3">
      <c r="E2" s="63" t="s">
        <v>258</v>
      </c>
      <c r="G2" s="81" t="s">
        <v>89</v>
      </c>
      <c r="H2" s="80">
        <v>3.5000000000000003E-2</v>
      </c>
      <c r="I2" s="81" t="s">
        <v>88</v>
      </c>
      <c r="J2" s="80">
        <v>3.5000000000000003E-2</v>
      </c>
    </row>
    <row r="3" spans="1:256" ht="13.5" thickBot="1" x14ac:dyDescent="0.35">
      <c r="E3" s="63"/>
    </row>
    <row r="4" spans="1:256" ht="13" x14ac:dyDescent="0.3">
      <c r="B4" t="s">
        <v>64</v>
      </c>
      <c r="C4" s="56">
        <f>'Project Details'!D9</f>
        <v>44013</v>
      </c>
      <c r="E4" s="64"/>
      <c r="F4" s="65">
        <v>43862</v>
      </c>
      <c r="G4" s="65">
        <v>44228</v>
      </c>
      <c r="H4" s="65">
        <v>44593</v>
      </c>
      <c r="I4" s="65">
        <v>44958</v>
      </c>
      <c r="J4" s="65">
        <v>45323</v>
      </c>
      <c r="K4" s="65">
        <v>45689</v>
      </c>
      <c r="L4" s="65">
        <v>46054</v>
      </c>
      <c r="M4" s="289">
        <v>46419</v>
      </c>
      <c r="N4" s="289">
        <v>46784</v>
      </c>
    </row>
    <row r="5" spans="1:256" ht="13" x14ac:dyDescent="0.3">
      <c r="C5" s="56"/>
      <c r="E5" s="68"/>
      <c r="F5" s="62">
        <v>44227</v>
      </c>
      <c r="G5" s="62">
        <v>44592</v>
      </c>
      <c r="H5" s="62">
        <v>44957</v>
      </c>
      <c r="I5" s="62">
        <v>45322</v>
      </c>
      <c r="J5" s="62">
        <v>45688</v>
      </c>
      <c r="K5" s="62">
        <v>46053</v>
      </c>
      <c r="L5" s="62">
        <v>46418</v>
      </c>
      <c r="M5" s="69">
        <v>46783</v>
      </c>
      <c r="N5" s="69">
        <v>47149</v>
      </c>
    </row>
    <row r="6" spans="1:256" x14ac:dyDescent="0.25">
      <c r="B6" t="s">
        <v>90</v>
      </c>
      <c r="C6" s="56">
        <f>C4+2000</f>
        <v>46013</v>
      </c>
      <c r="E6" s="79" t="s">
        <v>25</v>
      </c>
      <c r="F6" s="60">
        <v>17017</v>
      </c>
      <c r="G6" s="286">
        <f t="shared" ref="G6:N6" si="0">SUM(F6*$H$2)+F6</f>
        <v>17612.595000000001</v>
      </c>
      <c r="H6" s="286">
        <f t="shared" si="0"/>
        <v>18229.035825000003</v>
      </c>
      <c r="I6" s="286">
        <f t="shared" si="0"/>
        <v>18867.052078875004</v>
      </c>
      <c r="J6" s="286">
        <f t="shared" si="0"/>
        <v>19527.398901635628</v>
      </c>
      <c r="K6" s="286">
        <f t="shared" si="0"/>
        <v>20210.857863192876</v>
      </c>
      <c r="L6" s="286">
        <f t="shared" si="0"/>
        <v>20918.237888404627</v>
      </c>
      <c r="M6" s="286">
        <f t="shared" si="0"/>
        <v>21650.376214498789</v>
      </c>
      <c r="N6" s="287">
        <f t="shared" si="0"/>
        <v>22408.139382006248</v>
      </c>
    </row>
    <row r="7" spans="1:256" x14ac:dyDescent="0.25">
      <c r="E7" s="70" t="s">
        <v>56</v>
      </c>
      <c r="F7" s="60">
        <v>6447</v>
      </c>
      <c r="G7" s="286">
        <f t="shared" ref="G7:N7" si="1">SUM(F7*$H$2)+F7</f>
        <v>6672.6450000000004</v>
      </c>
      <c r="H7" s="286">
        <f t="shared" si="1"/>
        <v>6906.1875750000008</v>
      </c>
      <c r="I7" s="286">
        <f t="shared" si="1"/>
        <v>7147.9041401250006</v>
      </c>
      <c r="J7" s="286">
        <f t="shared" si="1"/>
        <v>7398.0807850293759</v>
      </c>
      <c r="K7" s="286">
        <f t="shared" si="1"/>
        <v>7657.0136125054041</v>
      </c>
      <c r="L7" s="286">
        <f t="shared" si="1"/>
        <v>7925.009088943093</v>
      </c>
      <c r="M7" s="286">
        <f t="shared" si="1"/>
        <v>8202.3844070561008</v>
      </c>
      <c r="N7" s="288">
        <f t="shared" si="1"/>
        <v>8489.4678613030646</v>
      </c>
      <c r="IV7" s="60"/>
    </row>
    <row r="8" spans="1:256" x14ac:dyDescent="0.25">
      <c r="B8" t="s">
        <v>6</v>
      </c>
      <c r="C8">
        <f>'Project Details'!P9</f>
        <v>0</v>
      </c>
      <c r="E8" s="70" t="s">
        <v>50</v>
      </c>
      <c r="F8" s="60">
        <v>52064</v>
      </c>
      <c r="G8" s="286">
        <f t="shared" ref="G8:N9" si="2">SUM(F8*$J$2)+F8</f>
        <v>53886.239999999998</v>
      </c>
      <c r="H8" s="286">
        <f t="shared" si="2"/>
        <v>55772.258399999999</v>
      </c>
      <c r="I8" s="286">
        <f t="shared" si="2"/>
        <v>57724.287444000001</v>
      </c>
      <c r="J8" s="286">
        <f t="shared" si="2"/>
        <v>59744.637504539998</v>
      </c>
      <c r="K8" s="286">
        <f t="shared" si="2"/>
        <v>61835.699817198896</v>
      </c>
      <c r="L8" s="286">
        <f t="shared" si="2"/>
        <v>63999.949310800861</v>
      </c>
      <c r="M8" s="286">
        <f t="shared" si="2"/>
        <v>66239.947536678897</v>
      </c>
      <c r="N8" s="288">
        <f t="shared" si="2"/>
        <v>68558.345700462654</v>
      </c>
    </row>
    <row r="9" spans="1:256" x14ac:dyDescent="0.25">
      <c r="E9" s="70" t="s">
        <v>235</v>
      </c>
      <c r="F9" s="93">
        <v>2817</v>
      </c>
      <c r="G9" s="286">
        <f>SUM(F9*$J$2)+F9</f>
        <v>2915.5949999999998</v>
      </c>
      <c r="H9" s="286">
        <f>SUM(G9*$J$2)+G9</f>
        <v>3017.6408249999999</v>
      </c>
      <c r="I9" s="286">
        <f t="shared" si="2"/>
        <v>3123.2582538749998</v>
      </c>
      <c r="J9" s="286">
        <f t="shared" si="2"/>
        <v>3232.5722927606248</v>
      </c>
      <c r="K9" s="286">
        <f t="shared" si="2"/>
        <v>3345.7123230072466</v>
      </c>
      <c r="L9" s="286">
        <f t="shared" si="2"/>
        <v>3462.8122543125</v>
      </c>
      <c r="M9" s="286">
        <f t="shared" si="2"/>
        <v>3584.0106832134375</v>
      </c>
      <c r="N9" s="288">
        <f t="shared" si="2"/>
        <v>3709.4510571259079</v>
      </c>
    </row>
    <row r="10" spans="1:256" ht="13" thickBot="1" x14ac:dyDescent="0.3">
      <c r="E10" s="71"/>
      <c r="F10" s="72"/>
      <c r="G10" s="72"/>
      <c r="H10" s="72"/>
      <c r="I10" s="72"/>
      <c r="J10" s="73"/>
      <c r="K10" s="72"/>
      <c r="L10" s="74"/>
      <c r="M10" s="74"/>
      <c r="N10" s="75"/>
    </row>
    <row r="11" spans="1:256" x14ac:dyDescent="0.25">
      <c r="F11" s="57"/>
      <c r="G11" s="57"/>
      <c r="H11" s="57"/>
      <c r="I11" s="57"/>
      <c r="J11" s="57"/>
      <c r="K11" s="57"/>
    </row>
    <row r="12" spans="1:256" ht="13" x14ac:dyDescent="0.3">
      <c r="A12" s="58" t="s">
        <v>85</v>
      </c>
      <c r="K12" s="57"/>
    </row>
    <row r="13" spans="1:256" s="54" customFormat="1" ht="52" x14ac:dyDescent="0.3">
      <c r="C13" s="54" t="s">
        <v>65</v>
      </c>
      <c r="D13" s="54" t="s">
        <v>178</v>
      </c>
      <c r="E13" s="54" t="s">
        <v>179</v>
      </c>
      <c r="F13" s="54" t="s">
        <v>180</v>
      </c>
      <c r="G13" s="54" t="s">
        <v>181</v>
      </c>
      <c r="H13" s="54" t="s">
        <v>70</v>
      </c>
      <c r="I13" s="54" t="s">
        <v>71</v>
      </c>
      <c r="J13" s="54" t="s">
        <v>72</v>
      </c>
      <c r="K13" s="54" t="s">
        <v>73</v>
      </c>
      <c r="L13" s="54" t="s">
        <v>2</v>
      </c>
    </row>
    <row r="14" spans="1:256" x14ac:dyDescent="0.25">
      <c r="A14" t="s">
        <v>53</v>
      </c>
      <c r="C14" s="56">
        <f>C4</f>
        <v>44013</v>
      </c>
      <c r="D14" s="56">
        <f>HLOOKUP(C14,ftedates,2)</f>
        <v>44227</v>
      </c>
      <c r="E14" s="57">
        <f>HLOOKUP(C14,ftedates,3)</f>
        <v>17017</v>
      </c>
      <c r="F14">
        <f>ROUND(((D14-C14)/30.4),0)</f>
        <v>7</v>
      </c>
      <c r="G14" s="57">
        <f>ROUND((E14/12*F14),0)</f>
        <v>9927</v>
      </c>
      <c r="H14" s="56">
        <f>IF(C14+365&lt;C$6,(C14+365),C$6)</f>
        <v>44378</v>
      </c>
      <c r="I14">
        <f>$C$8-F14</f>
        <v>-7</v>
      </c>
      <c r="J14" s="57">
        <f>HLOOKUP(H14,ftedates,3)</f>
        <v>17612.595000000001</v>
      </c>
      <c r="K14" s="57">
        <f>ROUND((J14/12*I14),0)</f>
        <v>-10274</v>
      </c>
      <c r="L14" s="57">
        <f>SUM(G14+K14)</f>
        <v>-347</v>
      </c>
      <c r="M14" s="57" t="e">
        <f>L14/$C$8*12</f>
        <v>#DIV/0!</v>
      </c>
    </row>
    <row r="15" spans="1:256" ht="13" x14ac:dyDescent="0.3">
      <c r="C15" s="56"/>
      <c r="D15" s="56"/>
      <c r="E15" s="57"/>
      <c r="G15" s="57"/>
      <c r="H15" s="56"/>
      <c r="J15" s="57"/>
      <c r="K15" s="53" t="s">
        <v>51</v>
      </c>
      <c r="L15" s="57">
        <f>SUM(L14:L14)</f>
        <v>-347</v>
      </c>
    </row>
    <row r="18" spans="1:13" ht="13" x14ac:dyDescent="0.3">
      <c r="A18" s="58" t="s">
        <v>86</v>
      </c>
      <c r="K18" s="57"/>
    </row>
    <row r="19" spans="1:13" s="54" customFormat="1" ht="52" x14ac:dyDescent="0.3">
      <c r="C19" s="54" t="s">
        <v>65</v>
      </c>
      <c r="D19" s="54" t="s">
        <v>178</v>
      </c>
      <c r="E19" s="54" t="s">
        <v>179</v>
      </c>
      <c r="F19" s="54" t="s">
        <v>180</v>
      </c>
      <c r="G19" s="54" t="s">
        <v>181</v>
      </c>
      <c r="H19" s="54" t="s">
        <v>70</v>
      </c>
      <c r="I19" s="54" t="s">
        <v>71</v>
      </c>
      <c r="J19" s="54" t="s">
        <v>72</v>
      </c>
      <c r="K19" s="54" t="s">
        <v>73</v>
      </c>
      <c r="L19" s="54" t="s">
        <v>2</v>
      </c>
    </row>
    <row r="20" spans="1:13" x14ac:dyDescent="0.25">
      <c r="A20" t="s">
        <v>53</v>
      </c>
      <c r="C20" s="56">
        <f>C14</f>
        <v>44013</v>
      </c>
      <c r="D20" s="56">
        <f>HLOOKUP(C20,ftedates,2)</f>
        <v>44227</v>
      </c>
      <c r="E20" s="57">
        <f>HLOOKUP(C20,ftedates,4)</f>
        <v>6447</v>
      </c>
      <c r="F20">
        <f>ROUND(((D20-C20)/30.4),0)</f>
        <v>7</v>
      </c>
      <c r="G20" s="57">
        <f>ROUND((E20/12*F20),0)</f>
        <v>3761</v>
      </c>
      <c r="H20" s="56">
        <f>IF(C20+365&lt;C$6,(C20+365),C$6)</f>
        <v>44378</v>
      </c>
      <c r="I20">
        <f>$C$8-F20</f>
        <v>-7</v>
      </c>
      <c r="J20" s="57">
        <f>HLOOKUP(H20,ftedates,4)</f>
        <v>6672.6450000000004</v>
      </c>
      <c r="K20" s="57">
        <f>ROUND((J20/12*I20),0)</f>
        <v>-3892</v>
      </c>
      <c r="L20" s="57">
        <f>SUM(G20+K20)</f>
        <v>-131</v>
      </c>
      <c r="M20" s="57" t="e">
        <f>L20/$C$8*12</f>
        <v>#DIV/0!</v>
      </c>
    </row>
    <row r="21" spans="1:13" ht="13" x14ac:dyDescent="0.3">
      <c r="C21" s="56"/>
      <c r="D21" s="56"/>
      <c r="E21" s="57"/>
      <c r="G21" s="57"/>
      <c r="H21" s="56"/>
      <c r="J21" s="57"/>
      <c r="K21" s="53" t="s">
        <v>51</v>
      </c>
      <c r="L21" s="57">
        <f>SUM(L20:L20)</f>
        <v>-131</v>
      </c>
    </row>
    <row r="24" spans="1:13" ht="13" x14ac:dyDescent="0.3">
      <c r="A24" s="58" t="s">
        <v>50</v>
      </c>
      <c r="K24" s="57"/>
    </row>
    <row r="25" spans="1:13" s="54" customFormat="1" ht="52" x14ac:dyDescent="0.3">
      <c r="C25" s="54" t="s">
        <v>65</v>
      </c>
      <c r="D25" s="54" t="s">
        <v>178</v>
      </c>
      <c r="E25" s="54" t="s">
        <v>179</v>
      </c>
      <c r="F25" s="54" t="s">
        <v>180</v>
      </c>
      <c r="G25" s="54" t="s">
        <v>181</v>
      </c>
      <c r="H25" s="54" t="s">
        <v>70</v>
      </c>
      <c r="I25" s="54" t="s">
        <v>71</v>
      </c>
      <c r="J25" s="54" t="s">
        <v>72</v>
      </c>
      <c r="K25" s="54" t="s">
        <v>73</v>
      </c>
      <c r="L25" s="54" t="s">
        <v>2</v>
      </c>
    </row>
    <row r="26" spans="1:13" x14ac:dyDescent="0.25">
      <c r="A26" t="s">
        <v>53</v>
      </c>
      <c r="C26" s="56">
        <f>C20</f>
        <v>44013</v>
      </c>
      <c r="D26" s="56">
        <f>HLOOKUP(C26,ftedates,2)</f>
        <v>44227</v>
      </c>
      <c r="E26" s="57">
        <f>HLOOKUP(C26,ftedates,5)</f>
        <v>52064</v>
      </c>
      <c r="F26">
        <f>ROUND(((D26-C26)/30.4),0)</f>
        <v>7</v>
      </c>
      <c r="G26" s="57">
        <f>ROUND((E26/12*F26),0)</f>
        <v>30371</v>
      </c>
      <c r="H26" s="56">
        <f>IF(C26+365&lt;C$6,(C26+365),C$6)</f>
        <v>44378</v>
      </c>
      <c r="I26">
        <f>$C$8-F26</f>
        <v>-7</v>
      </c>
      <c r="J26" s="57">
        <f>HLOOKUP(H26,ftedates,5)</f>
        <v>53886.239999999998</v>
      </c>
      <c r="K26" s="57">
        <f>ROUND((J26/12*I26),0)</f>
        <v>-31434</v>
      </c>
      <c r="L26" s="57">
        <f>SUM(G26+K26)</f>
        <v>-1063</v>
      </c>
      <c r="M26" s="57" t="e">
        <f>L26/$C$8*12</f>
        <v>#DIV/0!</v>
      </c>
    </row>
    <row r="27" spans="1:13" ht="13" x14ac:dyDescent="0.3">
      <c r="C27" s="56"/>
      <c r="D27" s="56"/>
      <c r="E27" s="57"/>
      <c r="G27" s="57"/>
      <c r="H27" s="56"/>
      <c r="J27" s="57"/>
      <c r="K27" s="53" t="s">
        <v>51</v>
      </c>
      <c r="L27" s="57">
        <f>SUM(L26:L26)</f>
        <v>-1063</v>
      </c>
    </row>
    <row r="28" spans="1:13" ht="13" x14ac:dyDescent="0.3">
      <c r="C28" s="56"/>
      <c r="D28" s="56"/>
      <c r="E28" s="57"/>
      <c r="G28" s="57"/>
      <c r="H28" s="56"/>
      <c r="J28" s="57"/>
      <c r="K28" s="53"/>
      <c r="L28" s="57"/>
    </row>
    <row r="29" spans="1:13" ht="13" x14ac:dyDescent="0.3">
      <c r="C29" s="56"/>
      <c r="D29" s="56"/>
      <c r="E29" s="57"/>
      <c r="G29" s="57"/>
      <c r="H29" s="56"/>
      <c r="J29" s="57"/>
      <c r="K29" s="53"/>
      <c r="L29" s="57"/>
    </row>
    <row r="30" spans="1:13" ht="13" x14ac:dyDescent="0.3">
      <c r="A30" s="58" t="s">
        <v>235</v>
      </c>
      <c r="K30" s="57"/>
    </row>
    <row r="31" spans="1:13" s="54" customFormat="1" ht="52" x14ac:dyDescent="0.3">
      <c r="C31" s="54" t="s">
        <v>65</v>
      </c>
      <c r="D31" s="54" t="s">
        <v>178</v>
      </c>
      <c r="E31" s="54" t="s">
        <v>179</v>
      </c>
      <c r="F31" s="54" t="s">
        <v>180</v>
      </c>
      <c r="G31" s="54" t="s">
        <v>181</v>
      </c>
      <c r="H31" s="54" t="s">
        <v>70</v>
      </c>
      <c r="I31" s="54" t="s">
        <v>71</v>
      </c>
      <c r="J31" s="54" t="s">
        <v>72</v>
      </c>
      <c r="K31" s="54" t="s">
        <v>73</v>
      </c>
      <c r="L31" s="54" t="s">
        <v>2</v>
      </c>
    </row>
    <row r="32" spans="1:13" x14ac:dyDescent="0.25">
      <c r="A32" t="s">
        <v>53</v>
      </c>
      <c r="C32" s="56">
        <f>C26</f>
        <v>44013</v>
      </c>
      <c r="D32" s="56">
        <f>HLOOKUP(C32,ftedates,2)</f>
        <v>44227</v>
      </c>
      <c r="E32" s="57">
        <f>HLOOKUP(C32,ftedates,6)</f>
        <v>2817</v>
      </c>
      <c r="F32">
        <f>ROUND(((D32-C32)/30.4),0)</f>
        <v>7</v>
      </c>
      <c r="G32" s="57">
        <f>ROUND((E32/12*F32),0)</f>
        <v>1643</v>
      </c>
      <c r="H32" s="56">
        <f>IF(C32+365&lt;C$6,(C32+365),C$6)</f>
        <v>44378</v>
      </c>
      <c r="I32">
        <f>$C$8-F32</f>
        <v>-7</v>
      </c>
      <c r="J32" s="57">
        <f>HLOOKUP(H32,ftedates,6)</f>
        <v>2915.5949999999998</v>
      </c>
      <c r="K32" s="57">
        <f>ROUND((J32/12*I32),0)</f>
        <v>-1701</v>
      </c>
      <c r="L32" s="57">
        <f>SUM(G32+K32)</f>
        <v>-58</v>
      </c>
      <c r="M32" s="57" t="e">
        <f>L32/$C$8*12</f>
        <v>#DIV/0!</v>
      </c>
    </row>
    <row r="33" spans="2:12" ht="13" x14ac:dyDescent="0.3">
      <c r="C33" s="56"/>
      <c r="D33" s="56"/>
      <c r="E33" s="57"/>
      <c r="G33" s="57"/>
      <c r="H33" s="56"/>
      <c r="J33" s="57"/>
      <c r="K33" s="53"/>
      <c r="L33" s="57"/>
    </row>
    <row r="36" spans="2:12" ht="13.5" thickBot="1" x14ac:dyDescent="0.35">
      <c r="B36" s="63" t="s">
        <v>125</v>
      </c>
    </row>
    <row r="37" spans="2:12" ht="13.5" thickBot="1" x14ac:dyDescent="0.35">
      <c r="B37" s="96"/>
      <c r="C37" s="97" t="s">
        <v>53</v>
      </c>
      <c r="D37" s="98" t="s">
        <v>120</v>
      </c>
      <c r="E37" s="98" t="s">
        <v>121</v>
      </c>
      <c r="F37" s="98" t="s">
        <v>122</v>
      </c>
      <c r="G37" s="99" t="s">
        <v>123</v>
      </c>
    </row>
    <row r="38" spans="2:12" ht="13" x14ac:dyDescent="0.3">
      <c r="B38" s="100" t="s">
        <v>106</v>
      </c>
      <c r="C38" s="304">
        <f>IF(($C$8&lt;=F14),E14,M14)</f>
        <v>17017</v>
      </c>
      <c r="D38" s="304">
        <f>$C38/1650</f>
        <v>10.313333333333333</v>
      </c>
      <c r="E38" s="304">
        <f>$C38/220</f>
        <v>77.349999999999994</v>
      </c>
      <c r="F38" s="304">
        <f>$C38/44</f>
        <v>386.75</v>
      </c>
      <c r="G38" s="305">
        <f>$C38/12</f>
        <v>1418.0833333333333</v>
      </c>
    </row>
    <row r="39" spans="2:12" ht="13" x14ac:dyDescent="0.3">
      <c r="B39" s="100" t="s">
        <v>107</v>
      </c>
      <c r="C39" s="304">
        <f>IF(($C$8&lt;=F20),E20,M20)</f>
        <v>6447</v>
      </c>
      <c r="D39" s="304">
        <f>C39/1650</f>
        <v>3.9072727272727272</v>
      </c>
      <c r="E39" s="304">
        <f>$C39/220</f>
        <v>29.304545454545455</v>
      </c>
      <c r="F39" s="304">
        <f>$C39/44</f>
        <v>146.52272727272728</v>
      </c>
      <c r="G39" s="306">
        <f>$C39/12</f>
        <v>537.25</v>
      </c>
    </row>
    <row r="40" spans="2:12" ht="13" x14ac:dyDescent="0.3">
      <c r="B40" s="100" t="s">
        <v>230</v>
      </c>
      <c r="C40" s="304">
        <v>0</v>
      </c>
      <c r="D40" s="304">
        <f>C40/1650</f>
        <v>0</v>
      </c>
      <c r="E40" s="304">
        <f>$C40/220</f>
        <v>0</v>
      </c>
      <c r="F40" s="304">
        <f>$C40/44</f>
        <v>0</v>
      </c>
      <c r="G40" s="306">
        <f>$C40/12</f>
        <v>0</v>
      </c>
    </row>
    <row r="41" spans="2:12" s="61" customFormat="1" ht="13" x14ac:dyDescent="0.3">
      <c r="B41" s="100" t="s">
        <v>50</v>
      </c>
      <c r="C41" s="307">
        <f>IF(($C$8&lt;=F26),E26,M26)</f>
        <v>52064</v>
      </c>
      <c r="D41" s="304">
        <f>C41/1650</f>
        <v>31.553939393939395</v>
      </c>
      <c r="E41" s="304">
        <f>$C41/220</f>
        <v>236.65454545454546</v>
      </c>
      <c r="F41" s="304">
        <f>$C41/44</f>
        <v>1183.2727272727273</v>
      </c>
      <c r="G41" s="306">
        <f>$C41/12</f>
        <v>4338.666666666667</v>
      </c>
    </row>
    <row r="42" spans="2:12" ht="13.5" thickBot="1" x14ac:dyDescent="0.35">
      <c r="B42" s="101" t="s">
        <v>351</v>
      </c>
      <c r="C42" s="308">
        <f>IF(($C$8&lt;=F32),E32,M32)</f>
        <v>2817</v>
      </c>
      <c r="D42" s="309">
        <f>C42/1650</f>
        <v>1.7072727272727273</v>
      </c>
      <c r="E42" s="309">
        <f>$C42/220</f>
        <v>12.804545454545455</v>
      </c>
      <c r="F42" s="309">
        <f>$C42/44</f>
        <v>64.022727272727266</v>
      </c>
      <c r="G42" s="310">
        <f>$C42/12</f>
        <v>234.75</v>
      </c>
    </row>
    <row r="45" spans="2:12" ht="13" x14ac:dyDescent="0.3">
      <c r="B45" s="58" t="s">
        <v>211</v>
      </c>
    </row>
    <row r="47" spans="2:12" x14ac:dyDescent="0.25">
      <c r="B47" t="s">
        <v>106</v>
      </c>
      <c r="C47" s="161">
        <v>0.8</v>
      </c>
    </row>
    <row r="48" spans="2:12" x14ac:dyDescent="0.25">
      <c r="C48" s="161"/>
    </row>
    <row r="49" spans="2:3" x14ac:dyDescent="0.25">
      <c r="B49" t="s">
        <v>212</v>
      </c>
      <c r="C49" s="161">
        <v>0.5</v>
      </c>
    </row>
    <row r="50" spans="2:3" x14ac:dyDescent="0.25">
      <c r="C50" s="161"/>
    </row>
    <row r="51" spans="2:3" x14ac:dyDescent="0.25">
      <c r="B51" t="s">
        <v>88</v>
      </c>
      <c r="C51" s="161">
        <v>0.2</v>
      </c>
    </row>
    <row r="53" spans="2:3" x14ac:dyDescent="0.25">
      <c r="B53" t="s">
        <v>230</v>
      </c>
      <c r="C53" s="161">
        <v>0</v>
      </c>
    </row>
  </sheetData>
  <phoneticPr fontId="2" type="noConversion"/>
  <pageMargins left="0.75" right="0.75" top="1" bottom="1" header="0.5" footer="0.5"/>
  <pageSetup paperSize="9" scale="46"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pageSetUpPr fitToPage="1"/>
  </sheetPr>
  <dimension ref="A2:AA193"/>
  <sheetViews>
    <sheetView workbookViewId="0"/>
  </sheetViews>
  <sheetFormatPr defaultRowHeight="12.5" x14ac:dyDescent="0.25"/>
  <cols>
    <col min="1" max="1" width="7.7265625" customWidth="1"/>
    <col min="2" max="2" width="28.453125" customWidth="1"/>
    <col min="3" max="4" width="12.1796875" customWidth="1"/>
    <col min="5" max="5" width="14.453125" customWidth="1"/>
    <col min="6" max="12" width="13.7265625" customWidth="1"/>
    <col min="13" max="13" width="12" customWidth="1"/>
    <col min="14" max="14" width="11.26953125" customWidth="1"/>
    <col min="19" max="19" width="11.26953125" customWidth="1"/>
    <col min="21" max="21" width="11.453125" customWidth="1"/>
    <col min="22" max="22" width="12.1796875" customWidth="1"/>
  </cols>
  <sheetData>
    <row r="2" spans="2:13" x14ac:dyDescent="0.25">
      <c r="C2" s="56"/>
    </row>
    <row r="4" spans="2:13" x14ac:dyDescent="0.25">
      <c r="B4" t="s">
        <v>64</v>
      </c>
      <c r="C4" s="56">
        <f>'Project Details'!D9</f>
        <v>44013</v>
      </c>
      <c r="E4" t="s">
        <v>6</v>
      </c>
      <c r="F4">
        <f>'Project Details'!P9</f>
        <v>0</v>
      </c>
    </row>
    <row r="5" spans="2:13" ht="13" x14ac:dyDescent="0.3">
      <c r="C5" s="56"/>
      <c r="H5" s="58" t="s">
        <v>326</v>
      </c>
      <c r="J5" s="283">
        <v>0.02</v>
      </c>
    </row>
    <row r="6" spans="2:13" ht="13" x14ac:dyDescent="0.3">
      <c r="B6" t="s">
        <v>90</v>
      </c>
      <c r="C6" s="56">
        <f>C4+2000</f>
        <v>46013</v>
      </c>
      <c r="H6" s="58" t="s">
        <v>231</v>
      </c>
      <c r="J6" s="203">
        <v>0.02</v>
      </c>
    </row>
    <row r="7" spans="2:13" ht="13" x14ac:dyDescent="0.3">
      <c r="C7" s="56"/>
      <c r="H7" s="58" t="s">
        <v>232</v>
      </c>
      <c r="M7" s="58" t="s">
        <v>233</v>
      </c>
    </row>
    <row r="8" spans="2:13" ht="13" x14ac:dyDescent="0.3">
      <c r="M8" s="58" t="s">
        <v>234</v>
      </c>
    </row>
    <row r="9" spans="2:13" ht="13.5" thickBot="1" x14ac:dyDescent="0.35">
      <c r="B9" s="63" t="s">
        <v>182</v>
      </c>
    </row>
    <row r="10" spans="2:13" ht="13" x14ac:dyDescent="0.3">
      <c r="B10" s="64"/>
      <c r="C10" s="66">
        <v>43678</v>
      </c>
      <c r="D10" s="66">
        <v>44044</v>
      </c>
      <c r="E10" s="66">
        <v>44409</v>
      </c>
      <c r="F10" s="66">
        <v>44774</v>
      </c>
      <c r="G10" s="66">
        <v>45139</v>
      </c>
      <c r="H10" s="66">
        <v>45505</v>
      </c>
      <c r="I10" s="66">
        <v>45870</v>
      </c>
      <c r="J10" s="66">
        <v>46235</v>
      </c>
      <c r="K10" s="67">
        <v>46600</v>
      </c>
      <c r="M10" s="204">
        <f>C10</f>
        <v>43678</v>
      </c>
    </row>
    <row r="11" spans="2:13" ht="13.5" thickBot="1" x14ac:dyDescent="0.35">
      <c r="B11" s="68"/>
      <c r="C11" s="62">
        <v>44043</v>
      </c>
      <c r="D11" s="62">
        <v>44408</v>
      </c>
      <c r="E11" s="62">
        <v>44773</v>
      </c>
      <c r="F11" s="62">
        <v>45138</v>
      </c>
      <c r="G11" s="62">
        <v>45504</v>
      </c>
      <c r="H11" s="62">
        <v>45869</v>
      </c>
      <c r="I11" s="62">
        <v>46234</v>
      </c>
      <c r="J11" s="62">
        <v>46599</v>
      </c>
      <c r="K11" s="69">
        <v>46965</v>
      </c>
      <c r="M11" s="213">
        <f>C11</f>
        <v>44043</v>
      </c>
    </row>
    <row r="12" spans="2:13" x14ac:dyDescent="0.25">
      <c r="B12" s="70" t="s">
        <v>0</v>
      </c>
      <c r="C12" s="298">
        <v>36914</v>
      </c>
      <c r="D12" s="284">
        <f t="shared" ref="D12:D22" si="0">SUM(C12*$J$5)+C12</f>
        <v>37652.28</v>
      </c>
      <c r="E12" s="197">
        <f t="shared" ref="E12:K22" si="1">SUM(D12*$J$6)+D12</f>
        <v>38405.325599999996</v>
      </c>
      <c r="F12" s="197">
        <f t="shared" si="1"/>
        <v>39173.432111999995</v>
      </c>
      <c r="G12" s="197">
        <f t="shared" si="1"/>
        <v>39956.900754239992</v>
      </c>
      <c r="H12" s="197">
        <f t="shared" si="1"/>
        <v>40756.03876932479</v>
      </c>
      <c r="I12" s="197">
        <f t="shared" si="1"/>
        <v>41571.159544711285</v>
      </c>
      <c r="J12" s="197">
        <f t="shared" si="1"/>
        <v>42402.582735605509</v>
      </c>
      <c r="K12" s="198">
        <f t="shared" si="1"/>
        <v>43250.634390317617</v>
      </c>
      <c r="M12" s="214">
        <f>C12</f>
        <v>36914</v>
      </c>
    </row>
    <row r="13" spans="2:13" x14ac:dyDescent="0.25">
      <c r="B13" s="70" t="s">
        <v>41</v>
      </c>
      <c r="C13" s="298">
        <v>48114</v>
      </c>
      <c r="D13" s="284">
        <f t="shared" si="0"/>
        <v>49076.28</v>
      </c>
      <c r="E13" s="197">
        <f t="shared" si="1"/>
        <v>50057.8056</v>
      </c>
      <c r="F13" s="197">
        <f t="shared" si="1"/>
        <v>51058.961711999997</v>
      </c>
      <c r="G13" s="197">
        <f t="shared" si="1"/>
        <v>52080.140946239997</v>
      </c>
      <c r="H13" s="197">
        <f t="shared" si="1"/>
        <v>53121.7437651648</v>
      </c>
      <c r="I13" s="197">
        <f t="shared" si="1"/>
        <v>54184.178640468097</v>
      </c>
      <c r="J13" s="197">
        <f t="shared" si="1"/>
        <v>55267.862213277462</v>
      </c>
      <c r="K13" s="199">
        <f t="shared" si="1"/>
        <v>56373.219457543011</v>
      </c>
      <c r="M13" s="205">
        <f>C13</f>
        <v>48114</v>
      </c>
    </row>
    <row r="14" spans="2:13" x14ac:dyDescent="0.25">
      <c r="B14" s="70" t="s">
        <v>329</v>
      </c>
      <c r="C14" s="298">
        <v>57418</v>
      </c>
      <c r="D14" s="284">
        <f t="shared" si="0"/>
        <v>58566.36</v>
      </c>
      <c r="E14" s="197">
        <f t="shared" si="1"/>
        <v>59737.6872</v>
      </c>
      <c r="F14" s="197">
        <f t="shared" si="1"/>
        <v>60932.440944000002</v>
      </c>
      <c r="G14" s="197">
        <f t="shared" si="1"/>
        <v>62151.089762880001</v>
      </c>
      <c r="H14" s="197">
        <f t="shared" si="1"/>
        <v>63394.1115581376</v>
      </c>
      <c r="I14" s="197">
        <f t="shared" si="1"/>
        <v>64661.993789300352</v>
      </c>
      <c r="J14" s="197">
        <f t="shared" si="1"/>
        <v>65955.233665086358</v>
      </c>
      <c r="K14" s="199">
        <f t="shared" si="1"/>
        <v>67274.338338388086</v>
      </c>
      <c r="M14" s="205">
        <f t="shared" ref="M14:M21" si="2">C14</f>
        <v>57418</v>
      </c>
    </row>
    <row r="15" spans="2:13" x14ac:dyDescent="0.25">
      <c r="B15" s="70" t="s">
        <v>330</v>
      </c>
      <c r="C15" s="298">
        <v>72294</v>
      </c>
      <c r="D15" s="284">
        <f t="shared" si="0"/>
        <v>73739.88</v>
      </c>
      <c r="E15" s="197">
        <f t="shared" si="1"/>
        <v>75214.67760000001</v>
      </c>
      <c r="F15" s="197">
        <f t="shared" si="1"/>
        <v>76718.971152000013</v>
      </c>
      <c r="G15" s="197">
        <f t="shared" si="1"/>
        <v>78253.350575040007</v>
      </c>
      <c r="H15" s="197">
        <f t="shared" si="1"/>
        <v>79818.417586540803</v>
      </c>
      <c r="I15" s="197">
        <f t="shared" si="1"/>
        <v>81414.785938271612</v>
      </c>
      <c r="J15" s="197">
        <f t="shared" si="1"/>
        <v>83043.081657037052</v>
      </c>
      <c r="K15" s="199">
        <f t="shared" si="1"/>
        <v>84703.943290177791</v>
      </c>
      <c r="M15" s="205">
        <f t="shared" si="2"/>
        <v>72294</v>
      </c>
    </row>
    <row r="16" spans="2:13" x14ac:dyDescent="0.25">
      <c r="B16" s="70" t="s">
        <v>332</v>
      </c>
      <c r="C16" s="298">
        <v>82019</v>
      </c>
      <c r="D16" s="284">
        <f t="shared" si="0"/>
        <v>83659.38</v>
      </c>
      <c r="E16" s="197">
        <f t="shared" si="1"/>
        <v>85332.567600000009</v>
      </c>
      <c r="F16" s="197">
        <f t="shared" si="1"/>
        <v>87039.21895200001</v>
      </c>
      <c r="G16" s="197">
        <f t="shared" si="1"/>
        <v>88780.003331040003</v>
      </c>
      <c r="H16" s="197">
        <f t="shared" si="1"/>
        <v>90555.603397660801</v>
      </c>
      <c r="I16" s="197">
        <f t="shared" si="1"/>
        <v>92366.715465614019</v>
      </c>
      <c r="J16" s="197">
        <f t="shared" si="1"/>
        <v>94214.049774926301</v>
      </c>
      <c r="K16" s="199">
        <f t="shared" si="1"/>
        <v>96098.330770424829</v>
      </c>
      <c r="M16" s="205">
        <f t="shared" si="2"/>
        <v>82019</v>
      </c>
    </row>
    <row r="17" spans="2:13" x14ac:dyDescent="0.25">
      <c r="B17" s="94" t="s">
        <v>93</v>
      </c>
      <c r="C17" s="298">
        <v>31865</v>
      </c>
      <c r="D17" s="284">
        <f t="shared" si="0"/>
        <v>32502.3</v>
      </c>
      <c r="E17" s="197">
        <f t="shared" si="1"/>
        <v>33152.345999999998</v>
      </c>
      <c r="F17" s="197">
        <f t="shared" si="1"/>
        <v>33815.392919999998</v>
      </c>
      <c r="G17" s="197">
        <f t="shared" si="1"/>
        <v>34491.700778400002</v>
      </c>
      <c r="H17" s="197">
        <f t="shared" si="1"/>
        <v>35181.534793968</v>
      </c>
      <c r="I17" s="197">
        <f t="shared" si="1"/>
        <v>35885.165489847357</v>
      </c>
      <c r="J17" s="197">
        <f t="shared" si="1"/>
        <v>36602.868799644304</v>
      </c>
      <c r="K17" s="199">
        <f t="shared" si="1"/>
        <v>37334.926175637193</v>
      </c>
      <c r="M17" s="205">
        <f t="shared" si="2"/>
        <v>31865</v>
      </c>
    </row>
    <row r="18" spans="2:13" x14ac:dyDescent="0.25">
      <c r="B18" s="94" t="s">
        <v>40</v>
      </c>
      <c r="C18" s="298">
        <v>36914</v>
      </c>
      <c r="D18" s="284">
        <f t="shared" si="0"/>
        <v>37652.28</v>
      </c>
      <c r="E18" s="197">
        <f t="shared" si="1"/>
        <v>38405.325599999996</v>
      </c>
      <c r="F18" s="197">
        <f t="shared" si="1"/>
        <v>39173.432111999995</v>
      </c>
      <c r="G18" s="197">
        <f t="shared" si="1"/>
        <v>39956.900754239992</v>
      </c>
      <c r="H18" s="197">
        <f t="shared" si="1"/>
        <v>40756.03876932479</v>
      </c>
      <c r="I18" s="197">
        <f t="shared" si="1"/>
        <v>41571.159544711285</v>
      </c>
      <c r="J18" s="197">
        <f t="shared" si="1"/>
        <v>42402.582735605509</v>
      </c>
      <c r="K18" s="199">
        <f t="shared" si="1"/>
        <v>43250.634390317617</v>
      </c>
      <c r="M18" s="205">
        <f t="shared" si="2"/>
        <v>36914</v>
      </c>
    </row>
    <row r="19" spans="2:13" x14ac:dyDescent="0.25">
      <c r="B19" s="94" t="s">
        <v>94</v>
      </c>
      <c r="C19" s="298">
        <v>45361</v>
      </c>
      <c r="D19" s="284">
        <f t="shared" si="0"/>
        <v>46268.22</v>
      </c>
      <c r="E19" s="197">
        <f t="shared" si="1"/>
        <v>47193.5844</v>
      </c>
      <c r="F19" s="197">
        <f t="shared" si="1"/>
        <v>48137.456087999999</v>
      </c>
      <c r="G19" s="197">
        <f t="shared" si="1"/>
        <v>49100.205209759995</v>
      </c>
      <c r="H19" s="197">
        <f t="shared" si="1"/>
        <v>50082.209313955194</v>
      </c>
      <c r="I19" s="197">
        <f t="shared" si="1"/>
        <v>51083.853500234298</v>
      </c>
      <c r="J19" s="197">
        <f t="shared" si="1"/>
        <v>52105.530570238981</v>
      </c>
      <c r="K19" s="199">
        <f t="shared" si="1"/>
        <v>53147.641181643761</v>
      </c>
      <c r="M19" s="205">
        <f t="shared" si="2"/>
        <v>45361</v>
      </c>
    </row>
    <row r="20" spans="2:13" s="61" customFormat="1" x14ac:dyDescent="0.25">
      <c r="B20" s="94" t="s">
        <v>331</v>
      </c>
      <c r="C20" s="298">
        <v>57418</v>
      </c>
      <c r="D20" s="284">
        <f t="shared" si="0"/>
        <v>58566.36</v>
      </c>
      <c r="E20" s="197">
        <f t="shared" si="1"/>
        <v>59737.6872</v>
      </c>
      <c r="F20" s="197">
        <f t="shared" si="1"/>
        <v>60932.440944000002</v>
      </c>
      <c r="G20" s="197">
        <f t="shared" si="1"/>
        <v>62151.089762880001</v>
      </c>
      <c r="H20" s="197">
        <f t="shared" si="1"/>
        <v>63394.1115581376</v>
      </c>
      <c r="I20" s="197">
        <f t="shared" si="1"/>
        <v>64661.993789300352</v>
      </c>
      <c r="J20" s="197">
        <f t="shared" si="1"/>
        <v>65955.233665086358</v>
      </c>
      <c r="K20" s="199">
        <f t="shared" si="1"/>
        <v>67274.338338388086</v>
      </c>
      <c r="M20" s="205">
        <f t="shared" si="2"/>
        <v>57418</v>
      </c>
    </row>
    <row r="21" spans="2:13" x14ac:dyDescent="0.25">
      <c r="B21" s="94" t="s">
        <v>235</v>
      </c>
      <c r="C21" s="298">
        <v>34804</v>
      </c>
      <c r="D21" s="284">
        <f t="shared" si="0"/>
        <v>35500.080000000002</v>
      </c>
      <c r="E21" s="197">
        <f t="shared" si="1"/>
        <v>36210.081600000005</v>
      </c>
      <c r="F21" s="197">
        <f t="shared" si="1"/>
        <v>36934.283232000002</v>
      </c>
      <c r="G21" s="197">
        <f t="shared" si="1"/>
        <v>37672.968896639999</v>
      </c>
      <c r="H21" s="197">
        <f t="shared" si="1"/>
        <v>38426.428274572798</v>
      </c>
      <c r="I21" s="197">
        <f t="shared" si="1"/>
        <v>39194.956840064253</v>
      </c>
      <c r="J21" s="197">
        <f t="shared" si="1"/>
        <v>39978.85597686554</v>
      </c>
      <c r="K21" s="199">
        <f t="shared" si="1"/>
        <v>40778.433096402849</v>
      </c>
      <c r="L21" s="61"/>
      <c r="M21" s="205">
        <f t="shared" si="2"/>
        <v>34804</v>
      </c>
    </row>
    <row r="22" spans="2:13" ht="13" thickBot="1" x14ac:dyDescent="0.3">
      <c r="B22" s="95" t="s">
        <v>236</v>
      </c>
      <c r="C22" s="73">
        <v>0</v>
      </c>
      <c r="D22" s="285">
        <f t="shared" si="0"/>
        <v>0</v>
      </c>
      <c r="E22" s="200">
        <f t="shared" si="1"/>
        <v>0</v>
      </c>
      <c r="F22" s="200">
        <f t="shared" si="1"/>
        <v>0</v>
      </c>
      <c r="G22" s="200">
        <f t="shared" si="1"/>
        <v>0</v>
      </c>
      <c r="H22" s="200">
        <f t="shared" si="1"/>
        <v>0</v>
      </c>
      <c r="I22" s="200">
        <f t="shared" si="1"/>
        <v>0</v>
      </c>
      <c r="J22" s="200">
        <f t="shared" si="1"/>
        <v>0</v>
      </c>
      <c r="K22" s="201">
        <f t="shared" si="1"/>
        <v>0</v>
      </c>
      <c r="M22" s="212">
        <v>0</v>
      </c>
    </row>
    <row r="23" spans="2:13" x14ac:dyDescent="0.25">
      <c r="C23" s="56"/>
      <c r="F23" s="151"/>
    </row>
    <row r="24" spans="2:13" ht="13.5" thickBot="1" x14ac:dyDescent="0.35">
      <c r="B24" s="63" t="s">
        <v>183</v>
      </c>
    </row>
    <row r="25" spans="2:13" ht="13" x14ac:dyDescent="0.3">
      <c r="B25" s="64"/>
      <c r="C25" s="66">
        <f>C10</f>
        <v>43678</v>
      </c>
      <c r="D25" s="66">
        <f t="shared" ref="D25:K25" si="3">D10</f>
        <v>44044</v>
      </c>
      <c r="E25" s="66">
        <f t="shared" si="3"/>
        <v>44409</v>
      </c>
      <c r="F25" s="66">
        <f t="shared" si="3"/>
        <v>44774</v>
      </c>
      <c r="G25" s="66">
        <f t="shared" si="3"/>
        <v>45139</v>
      </c>
      <c r="H25" s="66">
        <f t="shared" si="3"/>
        <v>45505</v>
      </c>
      <c r="I25" s="66">
        <f t="shared" si="3"/>
        <v>45870</v>
      </c>
      <c r="J25" s="66">
        <f t="shared" si="3"/>
        <v>46235</v>
      </c>
      <c r="K25" s="67">
        <f t="shared" si="3"/>
        <v>46600</v>
      </c>
      <c r="M25" s="204">
        <f>C25</f>
        <v>43678</v>
      </c>
    </row>
    <row r="26" spans="2:13" ht="13.5" thickBot="1" x14ac:dyDescent="0.35">
      <c r="B26" s="68"/>
      <c r="C26" s="62">
        <f>C11</f>
        <v>44043</v>
      </c>
      <c r="D26" s="62">
        <f t="shared" ref="D26:K26" si="4">D11</f>
        <v>44408</v>
      </c>
      <c r="E26" s="62">
        <f t="shared" si="4"/>
        <v>44773</v>
      </c>
      <c r="F26" s="62">
        <f t="shared" si="4"/>
        <v>45138</v>
      </c>
      <c r="G26" s="62">
        <f t="shared" si="4"/>
        <v>45504</v>
      </c>
      <c r="H26" s="62">
        <f t="shared" si="4"/>
        <v>45869</v>
      </c>
      <c r="I26" s="62">
        <f t="shared" si="4"/>
        <v>46234</v>
      </c>
      <c r="J26" s="62">
        <f t="shared" si="4"/>
        <v>46599</v>
      </c>
      <c r="K26" s="69">
        <f t="shared" si="4"/>
        <v>46965</v>
      </c>
      <c r="M26" s="213">
        <f>C26</f>
        <v>44043</v>
      </c>
    </row>
    <row r="27" spans="2:13" x14ac:dyDescent="0.25">
      <c r="B27" s="70" t="s">
        <v>0</v>
      </c>
      <c r="C27" s="293">
        <v>8520</v>
      </c>
      <c r="D27" s="299">
        <f>+D12*23.68%</f>
        <v>8916.0599039999997</v>
      </c>
      <c r="E27" s="297">
        <f t="shared" ref="E27:E37" si="5">SUM(D27*$J$6)+D27</f>
        <v>9094.3811020800003</v>
      </c>
      <c r="F27" s="197">
        <f t="shared" ref="F27:K37" si="6">SUM(E27*$J$6)+E27</f>
        <v>9276.2687241216008</v>
      </c>
      <c r="G27" s="197">
        <f t="shared" si="6"/>
        <v>9461.7940986040321</v>
      </c>
      <c r="H27" s="197">
        <f t="shared" si="6"/>
        <v>9651.0299805761133</v>
      </c>
      <c r="I27" s="197">
        <f t="shared" si="6"/>
        <v>9844.0505801876352</v>
      </c>
      <c r="J27" s="197">
        <f t="shared" si="6"/>
        <v>10040.931591791388</v>
      </c>
      <c r="K27" s="198">
        <f t="shared" si="6"/>
        <v>10241.750223627216</v>
      </c>
      <c r="M27" s="215">
        <f>C27</f>
        <v>8520</v>
      </c>
    </row>
    <row r="28" spans="2:13" x14ac:dyDescent="0.25">
      <c r="B28" s="70" t="s">
        <v>41</v>
      </c>
      <c r="C28" s="293">
        <v>11106</v>
      </c>
      <c r="D28" s="299">
        <f t="shared" ref="D28:D36" si="7">+D13*23.68%</f>
        <v>11621.263104</v>
      </c>
      <c r="E28" s="297">
        <f t="shared" si="5"/>
        <v>11853.688366079999</v>
      </c>
      <c r="F28" s="197">
        <f t="shared" si="6"/>
        <v>12090.7621334016</v>
      </c>
      <c r="G28" s="197">
        <f t="shared" si="6"/>
        <v>12332.577376069632</v>
      </c>
      <c r="H28" s="197">
        <f t="shared" si="6"/>
        <v>12579.228923591025</v>
      </c>
      <c r="I28" s="197">
        <f t="shared" si="6"/>
        <v>12830.813502062845</v>
      </c>
      <c r="J28" s="197">
        <f t="shared" si="6"/>
        <v>13087.429772104102</v>
      </c>
      <c r="K28" s="199">
        <f t="shared" si="6"/>
        <v>13349.178367546185</v>
      </c>
      <c r="M28" s="211">
        <f>C28</f>
        <v>11106</v>
      </c>
    </row>
    <row r="29" spans="2:13" x14ac:dyDescent="0.25">
      <c r="B29" s="70" t="str">
        <f>B14</f>
        <v>Associate HoD/Portfolio Leader</v>
      </c>
      <c r="C29" s="293">
        <v>13253</v>
      </c>
      <c r="D29" s="299">
        <f>+D14*23.68%</f>
        <v>13868.514048000001</v>
      </c>
      <c r="E29" s="297">
        <f t="shared" si="5"/>
        <v>14145.884328960001</v>
      </c>
      <c r="F29" s="197">
        <f t="shared" si="6"/>
        <v>14428.802015539201</v>
      </c>
      <c r="G29" s="197">
        <f t="shared" si="6"/>
        <v>14717.378055849984</v>
      </c>
      <c r="H29" s="197">
        <f t="shared" si="6"/>
        <v>15011.725616966984</v>
      </c>
      <c r="I29" s="197">
        <f t="shared" si="6"/>
        <v>15311.960129306322</v>
      </c>
      <c r="J29" s="197">
        <f t="shared" si="6"/>
        <v>15618.199331892449</v>
      </c>
      <c r="K29" s="199">
        <f t="shared" si="6"/>
        <v>15930.563318530298</v>
      </c>
      <c r="M29" s="211">
        <f t="shared" ref="M29:M36" si="8">C29</f>
        <v>13253</v>
      </c>
    </row>
    <row r="30" spans="2:13" x14ac:dyDescent="0.25">
      <c r="B30" s="70" t="str">
        <f>B15</f>
        <v>Academic Director/Professor</v>
      </c>
      <c r="C30" s="293">
        <v>16687</v>
      </c>
      <c r="D30" s="299">
        <f>+D15*0.2368</f>
        <v>17461.603584</v>
      </c>
      <c r="E30" s="297">
        <f t="shared" si="5"/>
        <v>17810.835655679999</v>
      </c>
      <c r="F30" s="197">
        <f t="shared" si="6"/>
        <v>18167.0523687936</v>
      </c>
      <c r="G30" s="197">
        <f t="shared" si="6"/>
        <v>18530.393416169471</v>
      </c>
      <c r="H30" s="197">
        <f t="shared" si="6"/>
        <v>18901.001284492861</v>
      </c>
      <c r="I30" s="197">
        <f t="shared" si="6"/>
        <v>19279.021310182718</v>
      </c>
      <c r="J30" s="197">
        <f t="shared" si="6"/>
        <v>19664.601736386372</v>
      </c>
      <c r="K30" s="199">
        <f t="shared" si="6"/>
        <v>20057.893771114101</v>
      </c>
      <c r="M30" s="211">
        <f t="shared" si="8"/>
        <v>16687</v>
      </c>
    </row>
    <row r="31" spans="2:13" x14ac:dyDescent="0.25">
      <c r="B31" s="70" t="str">
        <f>B16</f>
        <v>Exec Dean/Associate Dean/HoD</v>
      </c>
      <c r="C31" s="293">
        <v>18931</v>
      </c>
      <c r="D31" s="299">
        <f>+D16*23.68%</f>
        <v>19810.541184000002</v>
      </c>
      <c r="E31" s="297">
        <f t="shared" si="5"/>
        <v>20206.752007680003</v>
      </c>
      <c r="F31" s="197">
        <f t="shared" si="6"/>
        <v>20610.887047833603</v>
      </c>
      <c r="G31" s="197">
        <f t="shared" si="6"/>
        <v>21023.104788790275</v>
      </c>
      <c r="H31" s="197">
        <f t="shared" si="6"/>
        <v>21443.56688456608</v>
      </c>
      <c r="I31" s="197">
        <f t="shared" si="6"/>
        <v>21872.438222257402</v>
      </c>
      <c r="J31" s="197">
        <f t="shared" si="6"/>
        <v>22309.88698670255</v>
      </c>
      <c r="K31" s="199">
        <f t="shared" si="6"/>
        <v>22756.084726436602</v>
      </c>
      <c r="M31" s="211">
        <f t="shared" si="8"/>
        <v>18931</v>
      </c>
    </row>
    <row r="32" spans="2:13" x14ac:dyDescent="0.25">
      <c r="B32" s="94" t="s">
        <v>93</v>
      </c>
      <c r="C32" s="293">
        <v>7355</v>
      </c>
      <c r="D32" s="299">
        <f t="shared" si="7"/>
        <v>7696.5446400000001</v>
      </c>
      <c r="E32" s="297">
        <f t="shared" si="5"/>
        <v>7850.4755328000001</v>
      </c>
      <c r="F32" s="197">
        <f t="shared" si="6"/>
        <v>8007.4850434560003</v>
      </c>
      <c r="G32" s="197">
        <f t="shared" si="6"/>
        <v>8167.6347443251207</v>
      </c>
      <c r="H32" s="197">
        <f t="shared" si="6"/>
        <v>8330.9874392116235</v>
      </c>
      <c r="I32" s="197">
        <f t="shared" si="6"/>
        <v>8497.6071879958563</v>
      </c>
      <c r="J32" s="197">
        <f t="shared" si="6"/>
        <v>8667.5593317557741</v>
      </c>
      <c r="K32" s="199">
        <f t="shared" si="6"/>
        <v>8840.9105183908905</v>
      </c>
      <c r="M32" s="211">
        <f t="shared" si="8"/>
        <v>7355</v>
      </c>
    </row>
    <row r="33" spans="2:13" x14ac:dyDescent="0.25">
      <c r="B33" s="94" t="s">
        <v>40</v>
      </c>
      <c r="C33" s="293">
        <v>8520</v>
      </c>
      <c r="D33" s="299">
        <f t="shared" si="7"/>
        <v>8916.0599039999997</v>
      </c>
      <c r="E33" s="297">
        <f t="shared" si="5"/>
        <v>9094.3811020800003</v>
      </c>
      <c r="F33" s="197">
        <f t="shared" si="6"/>
        <v>9276.2687241216008</v>
      </c>
      <c r="G33" s="197">
        <f t="shared" si="6"/>
        <v>9461.7940986040321</v>
      </c>
      <c r="H33" s="197">
        <f t="shared" si="6"/>
        <v>9651.0299805761133</v>
      </c>
      <c r="I33" s="197">
        <f t="shared" si="6"/>
        <v>9844.0505801876352</v>
      </c>
      <c r="J33" s="197">
        <f t="shared" si="6"/>
        <v>10040.931591791388</v>
      </c>
      <c r="K33" s="199">
        <f t="shared" si="6"/>
        <v>10241.750223627216</v>
      </c>
      <c r="M33" s="211">
        <f t="shared" si="8"/>
        <v>8520</v>
      </c>
    </row>
    <row r="34" spans="2:13" x14ac:dyDescent="0.25">
      <c r="B34" s="94" t="s">
        <v>94</v>
      </c>
      <c r="C34" s="293">
        <v>10470</v>
      </c>
      <c r="D34" s="299">
        <f t="shared" si="7"/>
        <v>10956.314496000001</v>
      </c>
      <c r="E34" s="297">
        <f t="shared" si="5"/>
        <v>11175.44078592</v>
      </c>
      <c r="F34" s="197">
        <f t="shared" si="6"/>
        <v>11398.9496016384</v>
      </c>
      <c r="G34" s="197">
        <f t="shared" si="6"/>
        <v>11626.928593671168</v>
      </c>
      <c r="H34" s="197">
        <f t="shared" si="6"/>
        <v>11859.467165544591</v>
      </c>
      <c r="I34" s="197">
        <f t="shared" si="6"/>
        <v>12096.656508855483</v>
      </c>
      <c r="J34" s="197">
        <f t="shared" si="6"/>
        <v>12338.589639032592</v>
      </c>
      <c r="K34" s="199">
        <f t="shared" si="6"/>
        <v>12585.361431813244</v>
      </c>
      <c r="M34" s="211">
        <f t="shared" si="8"/>
        <v>10470</v>
      </c>
    </row>
    <row r="35" spans="2:13" s="61" customFormat="1" x14ac:dyDescent="0.25">
      <c r="B35" s="94" t="str">
        <f>B20</f>
        <v>Associate Professor</v>
      </c>
      <c r="C35" s="293">
        <v>13253</v>
      </c>
      <c r="D35" s="299">
        <f t="shared" si="7"/>
        <v>13868.514048000001</v>
      </c>
      <c r="E35" s="297">
        <f t="shared" si="5"/>
        <v>14145.884328960001</v>
      </c>
      <c r="F35" s="197">
        <f t="shared" si="6"/>
        <v>14428.802015539201</v>
      </c>
      <c r="G35" s="197">
        <f t="shared" si="6"/>
        <v>14717.378055849984</v>
      </c>
      <c r="H35" s="197">
        <f t="shared" si="6"/>
        <v>15011.725616966984</v>
      </c>
      <c r="I35" s="197">
        <f t="shared" si="6"/>
        <v>15311.960129306322</v>
      </c>
      <c r="J35" s="197">
        <f t="shared" si="6"/>
        <v>15618.199331892449</v>
      </c>
      <c r="K35" s="199">
        <f t="shared" si="6"/>
        <v>15930.563318530298</v>
      </c>
      <c r="M35" s="211">
        <f t="shared" si="8"/>
        <v>13253</v>
      </c>
    </row>
    <row r="36" spans="2:13" x14ac:dyDescent="0.25">
      <c r="B36" s="94" t="s">
        <v>235</v>
      </c>
      <c r="C36" s="293">
        <v>8033</v>
      </c>
      <c r="D36" s="299">
        <f t="shared" si="7"/>
        <v>8406.4189440000009</v>
      </c>
      <c r="E36" s="297">
        <f t="shared" si="5"/>
        <v>8574.5473228800001</v>
      </c>
      <c r="F36" s="197">
        <f t="shared" si="6"/>
        <v>8746.0382693375996</v>
      </c>
      <c r="G36" s="197">
        <f t="shared" si="6"/>
        <v>8920.959034724352</v>
      </c>
      <c r="H36" s="197">
        <f t="shared" si="6"/>
        <v>9099.3782154188393</v>
      </c>
      <c r="I36" s="197">
        <f t="shared" si="6"/>
        <v>9281.3657797272153</v>
      </c>
      <c r="J36" s="197">
        <f t="shared" si="6"/>
        <v>9466.993095321759</v>
      </c>
      <c r="K36" s="199">
        <f t="shared" si="6"/>
        <v>9656.3329572281946</v>
      </c>
      <c r="L36" s="61"/>
      <c r="M36" s="211">
        <f t="shared" si="8"/>
        <v>8033</v>
      </c>
    </row>
    <row r="37" spans="2:13" ht="13" thickBot="1" x14ac:dyDescent="0.3">
      <c r="B37" s="95" t="s">
        <v>236</v>
      </c>
      <c r="C37" s="73">
        <v>0</v>
      </c>
      <c r="D37" s="285">
        <f t="shared" ref="D37" si="9">SUM(C37*$J$5)+C37</f>
        <v>0</v>
      </c>
      <c r="E37" s="73">
        <f t="shared" si="5"/>
        <v>0</v>
      </c>
      <c r="F37" s="200">
        <f t="shared" si="6"/>
        <v>0</v>
      </c>
      <c r="G37" s="200">
        <f t="shared" si="6"/>
        <v>0</v>
      </c>
      <c r="H37" s="200">
        <f t="shared" si="6"/>
        <v>0</v>
      </c>
      <c r="I37" s="200">
        <f t="shared" si="6"/>
        <v>0</v>
      </c>
      <c r="J37" s="200">
        <f t="shared" si="6"/>
        <v>0</v>
      </c>
      <c r="K37" s="201">
        <f t="shared" si="6"/>
        <v>0</v>
      </c>
      <c r="M37" s="212">
        <v>0</v>
      </c>
    </row>
    <row r="39" spans="2:13" ht="13.5" thickBot="1" x14ac:dyDescent="0.35">
      <c r="B39" s="63" t="s">
        <v>184</v>
      </c>
    </row>
    <row r="40" spans="2:13" ht="13" x14ac:dyDescent="0.3">
      <c r="B40" s="64"/>
      <c r="C40" s="66">
        <f>C10</f>
        <v>43678</v>
      </c>
      <c r="D40" s="66">
        <f t="shared" ref="D40:K40" si="10">D10</f>
        <v>44044</v>
      </c>
      <c r="E40" s="66">
        <f t="shared" si="10"/>
        <v>44409</v>
      </c>
      <c r="F40" s="66">
        <f t="shared" si="10"/>
        <v>44774</v>
      </c>
      <c r="G40" s="66">
        <f t="shared" si="10"/>
        <v>45139</v>
      </c>
      <c r="H40" s="66">
        <f t="shared" si="10"/>
        <v>45505</v>
      </c>
      <c r="I40" s="66">
        <f t="shared" si="10"/>
        <v>45870</v>
      </c>
      <c r="J40" s="66">
        <f t="shared" si="10"/>
        <v>46235</v>
      </c>
      <c r="K40" s="67">
        <f t="shared" si="10"/>
        <v>46600</v>
      </c>
      <c r="M40" s="204">
        <f>C40</f>
        <v>43678</v>
      </c>
    </row>
    <row r="41" spans="2:13" ht="13" x14ac:dyDescent="0.3">
      <c r="B41" s="68"/>
      <c r="C41" s="62">
        <f>C11</f>
        <v>44043</v>
      </c>
      <c r="D41" s="62">
        <f t="shared" ref="D41:K41" si="11">D11</f>
        <v>44408</v>
      </c>
      <c r="E41" s="62">
        <f t="shared" si="11"/>
        <v>44773</v>
      </c>
      <c r="F41" s="62">
        <f t="shared" si="11"/>
        <v>45138</v>
      </c>
      <c r="G41" s="62">
        <f t="shared" si="11"/>
        <v>45504</v>
      </c>
      <c r="H41" s="62">
        <f t="shared" si="11"/>
        <v>45869</v>
      </c>
      <c r="I41" s="62">
        <f t="shared" si="11"/>
        <v>46234</v>
      </c>
      <c r="J41" s="62">
        <f t="shared" si="11"/>
        <v>46599</v>
      </c>
      <c r="K41" s="69">
        <f t="shared" si="11"/>
        <v>46965</v>
      </c>
      <c r="M41" s="213">
        <f>C41</f>
        <v>44043</v>
      </c>
    </row>
    <row r="42" spans="2:13" x14ac:dyDescent="0.25">
      <c r="B42" s="70" t="s">
        <v>0</v>
      </c>
      <c r="C42" s="293">
        <v>3903</v>
      </c>
      <c r="D42" s="293">
        <v>4005</v>
      </c>
      <c r="E42" s="293">
        <v>4109</v>
      </c>
      <c r="F42" s="293">
        <v>4215</v>
      </c>
      <c r="G42" s="293">
        <v>4323</v>
      </c>
      <c r="H42" s="293">
        <v>4434</v>
      </c>
      <c r="I42" s="294">
        <v>4546</v>
      </c>
      <c r="J42" s="292">
        <v>4661</v>
      </c>
      <c r="K42" s="295">
        <v>4778</v>
      </c>
      <c r="M42" s="210">
        <f>C42</f>
        <v>3903</v>
      </c>
    </row>
    <row r="43" spans="2:13" x14ac:dyDescent="0.25">
      <c r="B43" s="70" t="s">
        <v>41</v>
      </c>
      <c r="C43" s="293">
        <v>5449</v>
      </c>
      <c r="D43" s="293">
        <v>5582</v>
      </c>
      <c r="E43" s="293">
        <v>5717</v>
      </c>
      <c r="F43" s="293">
        <v>5855</v>
      </c>
      <c r="G43" s="293">
        <v>5996</v>
      </c>
      <c r="H43" s="293">
        <v>6140</v>
      </c>
      <c r="I43" s="292">
        <v>6287</v>
      </c>
      <c r="J43" s="292">
        <v>6436</v>
      </c>
      <c r="K43" s="295">
        <v>6589</v>
      </c>
      <c r="M43" s="205">
        <f>C43</f>
        <v>5449</v>
      </c>
    </row>
    <row r="44" spans="2:13" x14ac:dyDescent="0.25">
      <c r="B44" s="70" t="s">
        <v>329</v>
      </c>
      <c r="C44" s="293">
        <v>6733</v>
      </c>
      <c r="D44" s="293">
        <v>6891</v>
      </c>
      <c r="E44" s="293">
        <v>7053</v>
      </c>
      <c r="F44" s="293">
        <v>7218</v>
      </c>
      <c r="G44" s="293">
        <v>7386</v>
      </c>
      <c r="H44" s="293">
        <v>7558</v>
      </c>
      <c r="I44" s="292">
        <v>7733</v>
      </c>
      <c r="J44" s="292">
        <v>7911</v>
      </c>
      <c r="K44" s="295">
        <v>8093</v>
      </c>
      <c r="M44" s="205">
        <f t="shared" ref="M44:M51" si="12">C44</f>
        <v>6733</v>
      </c>
    </row>
    <row r="45" spans="2:13" x14ac:dyDescent="0.25">
      <c r="B45" s="70" t="s">
        <v>330</v>
      </c>
      <c r="C45" s="293">
        <v>8786</v>
      </c>
      <c r="D45" s="293">
        <v>8985</v>
      </c>
      <c r="E45" s="293">
        <v>9189</v>
      </c>
      <c r="F45" s="293">
        <v>9397</v>
      </c>
      <c r="G45" s="293">
        <v>9608</v>
      </c>
      <c r="H45" s="293">
        <v>9824</v>
      </c>
      <c r="I45" s="292">
        <v>10045</v>
      </c>
      <c r="J45" s="292">
        <v>10269</v>
      </c>
      <c r="K45" s="295">
        <v>10498</v>
      </c>
      <c r="M45" s="205">
        <f t="shared" si="12"/>
        <v>8786</v>
      </c>
    </row>
    <row r="46" spans="2:13" x14ac:dyDescent="0.25">
      <c r="B46" s="70" t="s">
        <v>332</v>
      </c>
      <c r="C46" s="293">
        <v>10128</v>
      </c>
      <c r="D46" s="293">
        <v>10354</v>
      </c>
      <c r="E46" s="293">
        <v>10585</v>
      </c>
      <c r="F46" s="293">
        <v>10821</v>
      </c>
      <c r="G46" s="293">
        <v>11061</v>
      </c>
      <c r="H46" s="293">
        <v>11306</v>
      </c>
      <c r="I46" s="292">
        <v>11556</v>
      </c>
      <c r="J46" s="292">
        <v>11811</v>
      </c>
      <c r="K46" s="295">
        <v>12071</v>
      </c>
      <c r="M46" s="205">
        <f t="shared" si="12"/>
        <v>10128</v>
      </c>
    </row>
    <row r="47" spans="2:13" x14ac:dyDescent="0.25">
      <c r="B47" s="94" t="s">
        <v>93</v>
      </c>
      <c r="C47" s="293">
        <v>3207</v>
      </c>
      <c r="D47" s="293">
        <v>3295</v>
      </c>
      <c r="E47" s="293">
        <v>3384</v>
      </c>
      <c r="F47" s="293">
        <v>3476</v>
      </c>
      <c r="G47" s="293">
        <v>3569</v>
      </c>
      <c r="H47" s="293">
        <v>3664</v>
      </c>
      <c r="I47" s="292">
        <v>3761</v>
      </c>
      <c r="J47" s="292">
        <v>3861</v>
      </c>
      <c r="K47" s="295">
        <v>3962</v>
      </c>
      <c r="M47" s="205">
        <f t="shared" si="12"/>
        <v>3207</v>
      </c>
    </row>
    <row r="48" spans="2:13" x14ac:dyDescent="0.25">
      <c r="B48" s="94" t="s">
        <v>40</v>
      </c>
      <c r="C48" s="293">
        <v>3903</v>
      </c>
      <c r="D48" s="293">
        <v>4005</v>
      </c>
      <c r="E48" s="293">
        <v>4109</v>
      </c>
      <c r="F48" s="293">
        <v>4215</v>
      </c>
      <c r="G48" s="293">
        <v>4323</v>
      </c>
      <c r="H48" s="293">
        <v>4434</v>
      </c>
      <c r="I48" s="292">
        <v>4546</v>
      </c>
      <c r="J48" s="292">
        <v>4661</v>
      </c>
      <c r="K48" s="295">
        <v>4778</v>
      </c>
      <c r="M48" s="205">
        <f t="shared" si="12"/>
        <v>3903</v>
      </c>
    </row>
    <row r="49" spans="2:14" x14ac:dyDescent="0.25">
      <c r="B49" s="94" t="s">
        <v>94</v>
      </c>
      <c r="C49" s="293">
        <v>5069</v>
      </c>
      <c r="D49" s="293">
        <v>5194</v>
      </c>
      <c r="E49" s="293">
        <v>5322</v>
      </c>
      <c r="F49" s="293">
        <v>5452</v>
      </c>
      <c r="G49" s="293">
        <v>5585</v>
      </c>
      <c r="H49" s="293">
        <v>5721</v>
      </c>
      <c r="I49" s="292">
        <v>5859</v>
      </c>
      <c r="J49" s="292">
        <v>6000</v>
      </c>
      <c r="K49" s="295">
        <v>6144</v>
      </c>
      <c r="M49" s="205">
        <f t="shared" si="12"/>
        <v>5069</v>
      </c>
    </row>
    <row r="50" spans="2:14" s="61" customFormat="1" ht="12" customHeight="1" x14ac:dyDescent="0.25">
      <c r="B50" s="94" t="s">
        <v>331</v>
      </c>
      <c r="C50" s="293">
        <v>6733</v>
      </c>
      <c r="D50" s="293">
        <v>6891</v>
      </c>
      <c r="E50" s="293">
        <v>7053</v>
      </c>
      <c r="F50" s="293">
        <v>7218</v>
      </c>
      <c r="G50" s="293">
        <v>7386</v>
      </c>
      <c r="H50" s="293">
        <v>7558</v>
      </c>
      <c r="I50" s="292">
        <v>7733</v>
      </c>
      <c r="J50" s="292">
        <v>7911</v>
      </c>
      <c r="K50" s="295">
        <v>8093</v>
      </c>
      <c r="M50" s="205">
        <f t="shared" si="12"/>
        <v>6733</v>
      </c>
    </row>
    <row r="51" spans="2:14" s="61" customFormat="1" x14ac:dyDescent="0.25">
      <c r="B51" s="94" t="s">
        <v>235</v>
      </c>
      <c r="C51" s="293">
        <v>3612</v>
      </c>
      <c r="D51" s="293">
        <v>3708</v>
      </c>
      <c r="E51" s="293">
        <v>3806</v>
      </c>
      <c r="F51" s="293">
        <v>3906</v>
      </c>
      <c r="G51" s="293">
        <v>4008</v>
      </c>
      <c r="H51" s="293">
        <v>4112</v>
      </c>
      <c r="I51" s="292">
        <v>4218</v>
      </c>
      <c r="J51" s="292">
        <v>4326</v>
      </c>
      <c r="K51" s="295">
        <v>4437</v>
      </c>
      <c r="M51" s="205">
        <f t="shared" si="12"/>
        <v>3612</v>
      </c>
    </row>
    <row r="52" spans="2:14" ht="13" thickBot="1" x14ac:dyDescent="0.3">
      <c r="B52" s="95" t="s">
        <v>236</v>
      </c>
      <c r="C52" s="73">
        <v>0</v>
      </c>
      <c r="D52" s="73">
        <v>0</v>
      </c>
      <c r="E52" s="73">
        <v>0</v>
      </c>
      <c r="F52" s="73">
        <v>0</v>
      </c>
      <c r="G52" s="73">
        <v>0</v>
      </c>
      <c r="H52" s="73">
        <v>0</v>
      </c>
      <c r="I52" s="73">
        <v>0</v>
      </c>
      <c r="J52" s="73">
        <f t="shared" ref="J52:K52" si="13">SUM(I52*$J$6)+I52</f>
        <v>0</v>
      </c>
      <c r="K52" s="296">
        <f t="shared" si="13"/>
        <v>0</v>
      </c>
      <c r="M52" s="212">
        <v>0</v>
      </c>
    </row>
    <row r="54" spans="2:14" ht="13.5" thickBot="1" x14ac:dyDescent="0.35">
      <c r="B54" s="63" t="s">
        <v>87</v>
      </c>
    </row>
    <row r="55" spans="2:14" ht="13" x14ac:dyDescent="0.3">
      <c r="B55" s="64"/>
      <c r="C55" s="66">
        <f>C10</f>
        <v>43678</v>
      </c>
      <c r="D55" s="66">
        <f t="shared" ref="D55:K55" si="14">D10</f>
        <v>44044</v>
      </c>
      <c r="E55" s="66">
        <f t="shared" si="14"/>
        <v>44409</v>
      </c>
      <c r="F55" s="66">
        <f t="shared" si="14"/>
        <v>44774</v>
      </c>
      <c r="G55" s="66">
        <f t="shared" si="14"/>
        <v>45139</v>
      </c>
      <c r="H55" s="66">
        <f t="shared" si="14"/>
        <v>45505</v>
      </c>
      <c r="I55" s="66">
        <f t="shared" si="14"/>
        <v>45870</v>
      </c>
      <c r="J55" s="66">
        <f t="shared" si="14"/>
        <v>46235</v>
      </c>
      <c r="K55" s="67">
        <f t="shared" si="14"/>
        <v>46600</v>
      </c>
      <c r="M55" s="204">
        <f>C55</f>
        <v>43678</v>
      </c>
    </row>
    <row r="56" spans="2:14" ht="13" x14ac:dyDescent="0.3">
      <c r="B56" s="68"/>
      <c r="C56" s="62">
        <f>C11</f>
        <v>44043</v>
      </c>
      <c r="D56" s="62">
        <f t="shared" ref="D56:K56" si="15">D11</f>
        <v>44408</v>
      </c>
      <c r="E56" s="62">
        <f t="shared" si="15"/>
        <v>44773</v>
      </c>
      <c r="F56" s="62">
        <f t="shared" si="15"/>
        <v>45138</v>
      </c>
      <c r="G56" s="62">
        <f t="shared" si="15"/>
        <v>45504</v>
      </c>
      <c r="H56" s="62">
        <f t="shared" si="15"/>
        <v>45869</v>
      </c>
      <c r="I56" s="62">
        <f t="shared" si="15"/>
        <v>46234</v>
      </c>
      <c r="J56" s="62">
        <f t="shared" si="15"/>
        <v>46599</v>
      </c>
      <c r="K56" s="69">
        <f t="shared" si="15"/>
        <v>46965</v>
      </c>
      <c r="M56" s="213">
        <f>C56</f>
        <v>44043</v>
      </c>
      <c r="N56" s="61"/>
    </row>
    <row r="57" spans="2:14" x14ac:dyDescent="0.25">
      <c r="B57" s="70" t="s">
        <v>0</v>
      </c>
      <c r="C57" s="93">
        <f>SUM(C12+C27+C42)</f>
        <v>49337</v>
      </c>
      <c r="D57" s="93">
        <f t="shared" ref="D57:K57" si="16">SUM(D12+D27+D42)</f>
        <v>50573.339904</v>
      </c>
      <c r="E57" s="93">
        <f t="shared" si="16"/>
        <v>51608.706702079995</v>
      </c>
      <c r="F57" s="93">
        <f t="shared" si="16"/>
        <v>52664.700836121599</v>
      </c>
      <c r="G57" s="93">
        <f t="shared" si="16"/>
        <v>53741.694852844026</v>
      </c>
      <c r="H57" s="93">
        <f t="shared" si="16"/>
        <v>54841.068749900907</v>
      </c>
      <c r="I57" s="93">
        <f t="shared" si="16"/>
        <v>55961.21012489892</v>
      </c>
      <c r="J57" s="93">
        <f t="shared" si="16"/>
        <v>57104.514327396901</v>
      </c>
      <c r="K57" s="300">
        <f t="shared" si="16"/>
        <v>58270.384613944829</v>
      </c>
      <c r="L57" s="61"/>
      <c r="M57" s="205">
        <f t="shared" ref="M57:M67" si="17">SUM(M12+M27+M42)</f>
        <v>49337</v>
      </c>
      <c r="N57" s="61"/>
    </row>
    <row r="58" spans="2:14" x14ac:dyDescent="0.25">
      <c r="B58" s="70" t="s">
        <v>41</v>
      </c>
      <c r="C58" s="93">
        <f t="shared" ref="C58:K58" si="18">SUM(C13+C28+C43)</f>
        <v>64669</v>
      </c>
      <c r="D58" s="93">
        <f t="shared" si="18"/>
        <v>66279.543103999997</v>
      </c>
      <c r="E58" s="93">
        <f t="shared" si="18"/>
        <v>67628.493966080001</v>
      </c>
      <c r="F58" s="93">
        <f t="shared" si="18"/>
        <v>69004.723845401604</v>
      </c>
      <c r="G58" s="93">
        <f t="shared" si="18"/>
        <v>70408.718322309636</v>
      </c>
      <c r="H58" s="93">
        <f t="shared" si="18"/>
        <v>71840.972688755821</v>
      </c>
      <c r="I58" s="93">
        <f t="shared" si="18"/>
        <v>73301.992142530944</v>
      </c>
      <c r="J58" s="93">
        <f t="shared" si="18"/>
        <v>74791.291985381569</v>
      </c>
      <c r="K58" s="301">
        <f t="shared" si="18"/>
        <v>76311.397825089196</v>
      </c>
      <c r="L58" s="61"/>
      <c r="M58" s="205">
        <f t="shared" si="17"/>
        <v>64669</v>
      </c>
      <c r="N58" s="61"/>
    </row>
    <row r="59" spans="2:14" x14ac:dyDescent="0.25">
      <c r="B59" s="70" t="str">
        <f>B44</f>
        <v>Associate HoD/Portfolio Leader</v>
      </c>
      <c r="C59" s="93">
        <f t="shared" ref="C59:K59" si="19">SUM(C14+C29+C44)</f>
        <v>77404</v>
      </c>
      <c r="D59" s="93">
        <f t="shared" si="19"/>
        <v>79325.874047999998</v>
      </c>
      <c r="E59" s="93">
        <f t="shared" si="19"/>
        <v>80936.571528960005</v>
      </c>
      <c r="F59" s="93">
        <f t="shared" si="19"/>
        <v>82579.242959539202</v>
      </c>
      <c r="G59" s="93">
        <f t="shared" si="19"/>
        <v>84254.467818729987</v>
      </c>
      <c r="H59" s="93">
        <f t="shared" si="19"/>
        <v>85963.837175104578</v>
      </c>
      <c r="I59" s="93">
        <f t="shared" si="19"/>
        <v>87706.953918606669</v>
      </c>
      <c r="J59" s="93">
        <f t="shared" si="19"/>
        <v>89484.432996978809</v>
      </c>
      <c r="K59" s="301">
        <f t="shared" si="19"/>
        <v>91297.901656918388</v>
      </c>
      <c r="L59" s="61"/>
      <c r="M59" s="205">
        <f t="shared" si="17"/>
        <v>77404</v>
      </c>
      <c r="N59" s="61"/>
    </row>
    <row r="60" spans="2:14" x14ac:dyDescent="0.25">
      <c r="B60" s="70" t="str">
        <f t="shared" ref="B60:B65" si="20">B45</f>
        <v>Academic Director/Professor</v>
      </c>
      <c r="C60" s="93">
        <f t="shared" ref="C60:K60" si="21">SUM(C15+C30+C45)</f>
        <v>97767</v>
      </c>
      <c r="D60" s="93">
        <f t="shared" si="21"/>
        <v>100186.483584</v>
      </c>
      <c r="E60" s="93">
        <f t="shared" si="21"/>
        <v>102214.51325568001</v>
      </c>
      <c r="F60" s="93">
        <f t="shared" si="21"/>
        <v>104283.02352079362</v>
      </c>
      <c r="G60" s="93">
        <f t="shared" si="21"/>
        <v>106391.74399120949</v>
      </c>
      <c r="H60" s="93">
        <f t="shared" si="21"/>
        <v>108543.41887103366</v>
      </c>
      <c r="I60" s="93">
        <f t="shared" si="21"/>
        <v>110738.80724845434</v>
      </c>
      <c r="J60" s="93">
        <f t="shared" si="21"/>
        <v>112976.68339342342</v>
      </c>
      <c r="K60" s="301">
        <f t="shared" si="21"/>
        <v>115259.8370612919</v>
      </c>
      <c r="L60" s="61"/>
      <c r="M60" s="205">
        <f t="shared" si="17"/>
        <v>97767</v>
      </c>
      <c r="N60" s="61"/>
    </row>
    <row r="61" spans="2:14" x14ac:dyDescent="0.25">
      <c r="B61" s="70" t="str">
        <f t="shared" si="20"/>
        <v>Exec Dean/Associate Dean/HoD</v>
      </c>
      <c r="C61" s="93">
        <f t="shared" ref="C61:K61" si="22">SUM(C16+C31+C46)</f>
        <v>111078</v>
      </c>
      <c r="D61" s="93">
        <f t="shared" si="22"/>
        <v>113823.92118400001</v>
      </c>
      <c r="E61" s="93">
        <f t="shared" si="22"/>
        <v>116124.31960768001</v>
      </c>
      <c r="F61" s="93">
        <f t="shared" si="22"/>
        <v>118471.10599983361</v>
      </c>
      <c r="G61" s="93">
        <f t="shared" si="22"/>
        <v>120864.10811983029</v>
      </c>
      <c r="H61" s="93">
        <f t="shared" si="22"/>
        <v>123305.17028222689</v>
      </c>
      <c r="I61" s="93">
        <f t="shared" si="22"/>
        <v>125795.15368787143</v>
      </c>
      <c r="J61" s="93">
        <f t="shared" si="22"/>
        <v>128334.93676162885</v>
      </c>
      <c r="K61" s="301">
        <f t="shared" si="22"/>
        <v>130925.41549686143</v>
      </c>
      <c r="L61" s="61"/>
      <c r="M61" s="205">
        <f t="shared" si="17"/>
        <v>111078</v>
      </c>
      <c r="N61" s="61"/>
    </row>
    <row r="62" spans="2:14" x14ac:dyDescent="0.25">
      <c r="B62" s="70" t="str">
        <f t="shared" si="20"/>
        <v>Research  Associate</v>
      </c>
      <c r="C62" s="93">
        <f t="shared" ref="C62:K62" si="23">SUM(C17+C32+C47)</f>
        <v>42427</v>
      </c>
      <c r="D62" s="93">
        <f t="shared" si="23"/>
        <v>43493.844639999996</v>
      </c>
      <c r="E62" s="93">
        <f t="shared" si="23"/>
        <v>44386.821532800001</v>
      </c>
      <c r="F62" s="93">
        <f t="shared" si="23"/>
        <v>45298.877963455998</v>
      </c>
      <c r="G62" s="93">
        <f t="shared" si="23"/>
        <v>46228.335522725123</v>
      </c>
      <c r="H62" s="93">
        <f t="shared" si="23"/>
        <v>47176.522233179625</v>
      </c>
      <c r="I62" s="93">
        <f t="shared" si="23"/>
        <v>48143.772677843212</v>
      </c>
      <c r="J62" s="93">
        <f t="shared" si="23"/>
        <v>49131.428131400076</v>
      </c>
      <c r="K62" s="301">
        <f t="shared" si="23"/>
        <v>50137.836694028083</v>
      </c>
      <c r="L62" s="61"/>
      <c r="M62" s="205">
        <f t="shared" si="17"/>
        <v>42427</v>
      </c>
      <c r="N62" s="61"/>
    </row>
    <row r="63" spans="2:14" x14ac:dyDescent="0.25">
      <c r="B63" s="70" t="str">
        <f t="shared" si="20"/>
        <v>Research Fellow</v>
      </c>
      <c r="C63" s="93">
        <f t="shared" ref="C63:K63" si="24">SUM(C18+C33+C48)</f>
        <v>49337</v>
      </c>
      <c r="D63" s="93">
        <f t="shared" si="24"/>
        <v>50573.339904</v>
      </c>
      <c r="E63" s="93">
        <f t="shared" si="24"/>
        <v>51608.706702079995</v>
      </c>
      <c r="F63" s="93">
        <f t="shared" si="24"/>
        <v>52664.700836121599</v>
      </c>
      <c r="G63" s="93">
        <f t="shared" si="24"/>
        <v>53741.694852844026</v>
      </c>
      <c r="H63" s="93">
        <f t="shared" si="24"/>
        <v>54841.068749900907</v>
      </c>
      <c r="I63" s="93">
        <f t="shared" si="24"/>
        <v>55961.21012489892</v>
      </c>
      <c r="J63" s="93">
        <f t="shared" si="24"/>
        <v>57104.514327396901</v>
      </c>
      <c r="K63" s="301">
        <f t="shared" si="24"/>
        <v>58270.384613944829</v>
      </c>
      <c r="L63" s="61"/>
      <c r="M63" s="205">
        <f t="shared" si="17"/>
        <v>49337</v>
      </c>
      <c r="N63" s="61"/>
    </row>
    <row r="64" spans="2:14" x14ac:dyDescent="0.25">
      <c r="B64" s="70" t="str">
        <f t="shared" si="20"/>
        <v>Snr Research Fellow</v>
      </c>
      <c r="C64" s="93">
        <f t="shared" ref="C64:K64" si="25">SUM(C19+C34+C49)</f>
        <v>60900</v>
      </c>
      <c r="D64" s="93">
        <f t="shared" si="25"/>
        <v>62418.534496</v>
      </c>
      <c r="E64" s="93">
        <f t="shared" si="25"/>
        <v>63691.02518592</v>
      </c>
      <c r="F64" s="93">
        <f t="shared" si="25"/>
        <v>64988.405689638399</v>
      </c>
      <c r="G64" s="93">
        <f t="shared" si="25"/>
        <v>66312.133803431163</v>
      </c>
      <c r="H64" s="93">
        <f t="shared" si="25"/>
        <v>67662.676479499787</v>
      </c>
      <c r="I64" s="93">
        <f t="shared" si="25"/>
        <v>69039.510009089776</v>
      </c>
      <c r="J64" s="93">
        <f t="shared" si="25"/>
        <v>70444.120209271583</v>
      </c>
      <c r="K64" s="301">
        <f t="shared" si="25"/>
        <v>71877.002613457007</v>
      </c>
      <c r="L64" s="61"/>
      <c r="M64" s="205">
        <f t="shared" si="17"/>
        <v>60900</v>
      </c>
      <c r="N64" s="61"/>
    </row>
    <row r="65" spans="1:27" s="61" customFormat="1" x14ac:dyDescent="0.25">
      <c r="B65" s="70" t="str">
        <f t="shared" si="20"/>
        <v>Associate Professor</v>
      </c>
      <c r="C65" s="93">
        <f t="shared" ref="C65:H65" si="26">SUM(C20+C35+C50)</f>
        <v>77404</v>
      </c>
      <c r="D65" s="93">
        <f t="shared" si="26"/>
        <v>79325.874047999998</v>
      </c>
      <c r="E65" s="93">
        <f t="shared" si="26"/>
        <v>80936.571528960005</v>
      </c>
      <c r="F65" s="93">
        <f t="shared" si="26"/>
        <v>82579.242959539202</v>
      </c>
      <c r="G65" s="93">
        <f t="shared" si="26"/>
        <v>84254.467818729987</v>
      </c>
      <c r="H65" s="93">
        <f t="shared" si="26"/>
        <v>85963.837175104578</v>
      </c>
      <c r="I65" s="93">
        <f t="shared" ref="I65:K66" si="27">SUM(I20+I35+I50)</f>
        <v>87706.953918606669</v>
      </c>
      <c r="J65" s="93">
        <f t="shared" si="27"/>
        <v>89484.432996978809</v>
      </c>
      <c r="K65" s="301">
        <f t="shared" si="27"/>
        <v>91297.901656918388</v>
      </c>
      <c r="M65" s="205">
        <f t="shared" si="17"/>
        <v>77404</v>
      </c>
    </row>
    <row r="66" spans="1:27" x14ac:dyDescent="0.25">
      <c r="B66" s="94" t="s">
        <v>235</v>
      </c>
      <c r="C66" s="93">
        <f>SUM(C21+C36+C51)</f>
        <v>46449</v>
      </c>
      <c r="D66" s="93">
        <f t="shared" ref="D66:H66" si="28">SUM(D21+D36+D51)</f>
        <v>47614.498944000006</v>
      </c>
      <c r="E66" s="93">
        <f t="shared" si="28"/>
        <v>48590.628922880001</v>
      </c>
      <c r="F66" s="93">
        <f t="shared" si="28"/>
        <v>49586.321501337603</v>
      </c>
      <c r="G66" s="93">
        <f t="shared" si="28"/>
        <v>50601.927931364349</v>
      </c>
      <c r="H66" s="93">
        <f t="shared" si="28"/>
        <v>51637.806489991635</v>
      </c>
      <c r="I66" s="93">
        <f t="shared" si="27"/>
        <v>52694.32261979147</v>
      </c>
      <c r="J66" s="93">
        <f t="shared" si="27"/>
        <v>53771.849072187295</v>
      </c>
      <c r="K66" s="301">
        <f t="shared" si="27"/>
        <v>54871.766053631043</v>
      </c>
      <c r="L66" s="61"/>
      <c r="M66" s="205">
        <f t="shared" si="17"/>
        <v>46449</v>
      </c>
      <c r="N66" s="61"/>
    </row>
    <row r="67" spans="1:27" ht="13" thickBot="1" x14ac:dyDescent="0.3">
      <c r="B67" s="95" t="s">
        <v>236</v>
      </c>
      <c r="C67" s="72">
        <f t="shared" ref="C67:K67" si="29">SUM(C22+C37+C52)</f>
        <v>0</v>
      </c>
      <c r="D67" s="72">
        <f t="shared" si="29"/>
        <v>0</v>
      </c>
      <c r="E67" s="72">
        <f t="shared" si="29"/>
        <v>0</v>
      </c>
      <c r="F67" s="72">
        <f t="shared" si="29"/>
        <v>0</v>
      </c>
      <c r="G67" s="72">
        <f t="shared" si="29"/>
        <v>0</v>
      </c>
      <c r="H67" s="72">
        <f t="shared" si="29"/>
        <v>0</v>
      </c>
      <c r="I67" s="72">
        <f t="shared" si="29"/>
        <v>0</v>
      </c>
      <c r="J67" s="72">
        <f t="shared" si="29"/>
        <v>0</v>
      </c>
      <c r="K67" s="202">
        <f t="shared" si="29"/>
        <v>0</v>
      </c>
      <c r="L67" s="61"/>
      <c r="M67" s="206">
        <f t="shared" si="17"/>
        <v>0</v>
      </c>
      <c r="N67" s="61"/>
    </row>
    <row r="68" spans="1:27" ht="13" thickBot="1" x14ac:dyDescent="0.3">
      <c r="B68" s="61"/>
      <c r="C68" s="60"/>
      <c r="D68" s="60"/>
      <c r="E68" s="60"/>
      <c r="F68" s="60"/>
      <c r="G68" s="60"/>
      <c r="H68" s="93"/>
      <c r="I68" s="61"/>
      <c r="J68" s="61"/>
      <c r="K68" s="61"/>
      <c r="L68" s="61"/>
      <c r="M68" s="61"/>
      <c r="N68" s="61"/>
    </row>
    <row r="69" spans="1:27" x14ac:dyDescent="0.25">
      <c r="F69" s="57"/>
      <c r="G69" s="57"/>
      <c r="H69" s="57"/>
      <c r="I69" s="132" t="s">
        <v>131</v>
      </c>
      <c r="J69" s="133"/>
      <c r="K69" s="133"/>
      <c r="L69" s="134"/>
      <c r="M69" s="135"/>
    </row>
    <row r="70" spans="1:27" ht="13.5" thickBot="1" x14ac:dyDescent="0.35">
      <c r="A70" s="58" t="s">
        <v>67</v>
      </c>
      <c r="I70" s="136" t="s">
        <v>132</v>
      </c>
      <c r="J70" s="137"/>
      <c r="K70" s="138"/>
      <c r="L70" s="137"/>
      <c r="M70" s="139"/>
    </row>
    <row r="71" spans="1:27" s="54" customFormat="1" ht="65" x14ac:dyDescent="0.3">
      <c r="C71" s="54" t="s">
        <v>65</v>
      </c>
      <c r="D71" s="54" t="s">
        <v>66</v>
      </c>
      <c r="E71" s="54" t="s">
        <v>68</v>
      </c>
      <c r="F71" s="54" t="s">
        <v>185</v>
      </c>
      <c r="G71" s="54" t="s">
        <v>186</v>
      </c>
      <c r="H71" s="54" t="s">
        <v>187</v>
      </c>
      <c r="I71" s="54" t="s">
        <v>188</v>
      </c>
      <c r="J71" s="54" t="s">
        <v>189</v>
      </c>
      <c r="K71" s="54" t="s">
        <v>190</v>
      </c>
      <c r="L71" s="54" t="s">
        <v>69</v>
      </c>
      <c r="M71" s="54" t="s">
        <v>70</v>
      </c>
      <c r="N71" s="54" t="s">
        <v>71</v>
      </c>
      <c r="O71" s="54" t="s">
        <v>191</v>
      </c>
      <c r="P71" s="54" t="s">
        <v>192</v>
      </c>
      <c r="Q71" s="54" t="s">
        <v>193</v>
      </c>
      <c r="R71" s="54" t="s">
        <v>194</v>
      </c>
      <c r="S71" s="54" t="s">
        <v>195</v>
      </c>
      <c r="T71" s="54" t="s">
        <v>196</v>
      </c>
      <c r="U71" s="54" t="s">
        <v>73</v>
      </c>
      <c r="V71" s="54" t="s">
        <v>2</v>
      </c>
      <c r="W71" s="54" t="s">
        <v>197</v>
      </c>
      <c r="X71" s="54" t="s">
        <v>198</v>
      </c>
      <c r="Y71" s="54" t="s">
        <v>199</v>
      </c>
      <c r="Z71" s="54" t="s">
        <v>200</v>
      </c>
      <c r="AA71" s="54" t="s">
        <v>201</v>
      </c>
    </row>
    <row r="72" spans="1:27" x14ac:dyDescent="0.25">
      <c r="A72" t="s">
        <v>53</v>
      </c>
      <c r="C72" s="56">
        <f>$C$4</f>
        <v>44013</v>
      </c>
      <c r="D72" s="56">
        <f>HLOOKUP(C72,dates,2)</f>
        <v>44043</v>
      </c>
      <c r="E72">
        <f>ROUND(((D72-C72)/30.4),0)</f>
        <v>1</v>
      </c>
      <c r="F72" s="57">
        <f>HLOOKUP(C72,basic,3)</f>
        <v>36914</v>
      </c>
      <c r="G72" s="57">
        <f>HLOOKUP(C72,pension,3)</f>
        <v>8520</v>
      </c>
      <c r="H72" s="57">
        <f>HLOOKUP(C72,ni,3)</f>
        <v>3903</v>
      </c>
      <c r="I72" s="57">
        <f>SUM(F72/12*$E72)</f>
        <v>3076.1666666666665</v>
      </c>
      <c r="J72" s="57">
        <f>SUM(G72/12*$E72)</f>
        <v>710</v>
      </c>
      <c r="K72" s="57">
        <f>SUM(H72/12*$E72)</f>
        <v>325.25</v>
      </c>
      <c r="L72" s="57">
        <f>SUM(I72:K72)</f>
        <v>4111.4166666666661</v>
      </c>
      <c r="M72" s="56">
        <f>IF(C72+365&lt;C$6,(C72+365),C$6)</f>
        <v>44378</v>
      </c>
      <c r="N72">
        <f>$F$4-E72</f>
        <v>-1</v>
      </c>
      <c r="O72" s="57">
        <f>HLOOKUP(M72,basic,3)</f>
        <v>37652.28</v>
      </c>
      <c r="P72" s="57">
        <f>HLOOKUP(M72,pension,3)</f>
        <v>8916.0599039999997</v>
      </c>
      <c r="Q72" s="57">
        <f>HLOOKUP(M72,ni,3)</f>
        <v>4005</v>
      </c>
      <c r="R72" s="57">
        <f>SUM(O72/12*$N72)</f>
        <v>-3137.69</v>
      </c>
      <c r="S72" s="57">
        <f>SUM(P72/12*$N72)</f>
        <v>-743.00499200000002</v>
      </c>
      <c r="T72" s="57">
        <f>SUM(Q72/12*$N72)</f>
        <v>-333.75</v>
      </c>
      <c r="U72" s="57">
        <f>SUM(R72:T72)</f>
        <v>-4214.4449920000006</v>
      </c>
      <c r="V72" s="57">
        <f>ROUND((L72+U72),0)</f>
        <v>-103</v>
      </c>
      <c r="W72" s="57">
        <f>IF(N72&gt;0,SUM(V72/AA72*12),F72+G72+H72)</f>
        <v>49337</v>
      </c>
      <c r="X72" s="57">
        <f>IF(N72&gt;0,ROUND(((I72+R72)/$AA72*12),0),F72)</f>
        <v>36914</v>
      </c>
      <c r="Y72" s="57">
        <f>IF(N72&gt;0,ROUND(((J72+S72)/$AA72*12),0),G72)</f>
        <v>8520</v>
      </c>
      <c r="Z72" s="57">
        <f>IF(N72&gt;0,ROUND(((K72+T72)/$AA72*12),0),H72)</f>
        <v>3903</v>
      </c>
      <c r="AA72">
        <f>SUM(E72+N72)</f>
        <v>0</v>
      </c>
    </row>
    <row r="73" spans="1:27" ht="13" x14ac:dyDescent="0.3">
      <c r="C73" s="56"/>
      <c r="D73" s="56"/>
      <c r="E73" s="57"/>
      <c r="G73" s="57"/>
      <c r="H73" s="56"/>
      <c r="J73" s="57"/>
      <c r="K73" s="53"/>
      <c r="L73" s="57"/>
    </row>
    <row r="76" spans="1:27" ht="13" x14ac:dyDescent="0.3">
      <c r="A76" s="58" t="s">
        <v>74</v>
      </c>
      <c r="K76" s="57"/>
    </row>
    <row r="77" spans="1:27" s="54" customFormat="1" ht="65" x14ac:dyDescent="0.3">
      <c r="C77" s="54" t="s">
        <v>65</v>
      </c>
      <c r="D77" s="54" t="s">
        <v>66</v>
      </c>
      <c r="E77" s="54" t="s">
        <v>68</v>
      </c>
      <c r="F77" s="54" t="s">
        <v>185</v>
      </c>
      <c r="G77" s="54" t="s">
        <v>186</v>
      </c>
      <c r="H77" s="54" t="s">
        <v>187</v>
      </c>
      <c r="I77" s="54" t="s">
        <v>188</v>
      </c>
      <c r="J77" s="54" t="s">
        <v>189</v>
      </c>
      <c r="K77" s="54" t="s">
        <v>190</v>
      </c>
      <c r="L77" s="54" t="s">
        <v>69</v>
      </c>
      <c r="M77" s="54" t="s">
        <v>70</v>
      </c>
      <c r="N77" s="54" t="s">
        <v>71</v>
      </c>
      <c r="O77" s="54" t="s">
        <v>191</v>
      </c>
      <c r="P77" s="54" t="s">
        <v>192</v>
      </c>
      <c r="Q77" s="54" t="s">
        <v>193</v>
      </c>
      <c r="R77" s="54" t="s">
        <v>194</v>
      </c>
      <c r="S77" s="54" t="s">
        <v>195</v>
      </c>
      <c r="T77" s="54" t="s">
        <v>196</v>
      </c>
      <c r="U77" s="54" t="s">
        <v>73</v>
      </c>
      <c r="V77" s="54" t="s">
        <v>2</v>
      </c>
      <c r="W77" s="54" t="s">
        <v>197</v>
      </c>
      <c r="X77" s="54" t="s">
        <v>198</v>
      </c>
      <c r="Y77" s="54" t="s">
        <v>199</v>
      </c>
      <c r="Z77" s="54" t="s">
        <v>200</v>
      </c>
      <c r="AA77" s="54" t="s">
        <v>201</v>
      </c>
    </row>
    <row r="78" spans="1:27" x14ac:dyDescent="0.25">
      <c r="A78" t="s">
        <v>53</v>
      </c>
      <c r="C78" s="56">
        <f>$C$4</f>
        <v>44013</v>
      </c>
      <c r="D78" s="56">
        <f>HLOOKUP(C78,dates,2)</f>
        <v>44043</v>
      </c>
      <c r="E78">
        <f>ROUND(((D78-C78)/30.4),0)</f>
        <v>1</v>
      </c>
      <c r="F78" s="57">
        <f>HLOOKUP(C78,basic,4)</f>
        <v>48114</v>
      </c>
      <c r="G78" s="57">
        <f>HLOOKUP(C78,pension,4)</f>
        <v>11106</v>
      </c>
      <c r="H78" s="57">
        <f>HLOOKUP(C78,ni,4)</f>
        <v>5449</v>
      </c>
      <c r="I78" s="57">
        <f>SUM(F78/12*$E78)</f>
        <v>4009.5</v>
      </c>
      <c r="J78" s="57">
        <f>SUM(G78/12*$E78)</f>
        <v>925.5</v>
      </c>
      <c r="K78" s="57">
        <f>SUM(H78/12*$E78)</f>
        <v>454.08333333333331</v>
      </c>
      <c r="L78" s="57">
        <f>SUM(I78:K78)</f>
        <v>5389.083333333333</v>
      </c>
      <c r="M78" s="56">
        <f>IF(C78+365&lt;C$6,(C78+365),C$6)</f>
        <v>44378</v>
      </c>
      <c r="N78">
        <f>$F$4-E78</f>
        <v>-1</v>
      </c>
      <c r="O78" s="57">
        <f>HLOOKUP(M78,basic,4)</f>
        <v>49076.28</v>
      </c>
      <c r="P78" s="57">
        <f>HLOOKUP(M78,pension,4)</f>
        <v>11621.263104</v>
      </c>
      <c r="Q78" s="57">
        <f>HLOOKUP(M78,ni,4)</f>
        <v>5582</v>
      </c>
      <c r="R78" s="57">
        <f>SUM(O78/12*$N78)</f>
        <v>-4089.69</v>
      </c>
      <c r="S78" s="57">
        <f>SUM(P78/12*$N78)</f>
        <v>-968.43859199999997</v>
      </c>
      <c r="T78" s="57">
        <f>SUM(Q78/12*$N78)</f>
        <v>-465.16666666666669</v>
      </c>
      <c r="U78" s="57">
        <f>SUM(R78:T78)</f>
        <v>-5523.295258666667</v>
      </c>
      <c r="V78" s="57">
        <f>ROUND((L78+U78),0)</f>
        <v>-134</v>
      </c>
      <c r="W78" s="57">
        <f>IF(N78&gt;0,SUM(V78/AA78*12),F78+G78+H78)</f>
        <v>64669</v>
      </c>
      <c r="X78" s="57">
        <f>IF(N78&gt;0,ROUND(((I78+R78)/$AA78*12),0),F78)</f>
        <v>48114</v>
      </c>
      <c r="Y78" s="57">
        <f>IF(N78&gt;0,ROUND(((J78+S78)/$AA78*12),0),G78)</f>
        <v>11106</v>
      </c>
      <c r="Z78" s="57">
        <f>IF(N78&gt;0,ROUND(((K78+T78)/$AA78*12),0),H78)</f>
        <v>5449</v>
      </c>
      <c r="AA78">
        <f>SUM(E78+N78)</f>
        <v>0</v>
      </c>
    </row>
    <row r="79" spans="1:27" ht="13" x14ac:dyDescent="0.3">
      <c r="C79" s="56"/>
      <c r="D79" s="56"/>
      <c r="E79" s="57"/>
      <c r="G79" s="57"/>
      <c r="H79" s="56"/>
      <c r="J79" s="57"/>
      <c r="K79" s="53" t="s">
        <v>51</v>
      </c>
      <c r="L79" s="57">
        <f>SUM(L78:L78)</f>
        <v>5389.083333333333</v>
      </c>
    </row>
    <row r="82" spans="1:27" ht="13" x14ac:dyDescent="0.3">
      <c r="A82" s="58" t="s">
        <v>333</v>
      </c>
      <c r="K82" s="57"/>
    </row>
    <row r="83" spans="1:27" s="54" customFormat="1" ht="65" x14ac:dyDescent="0.3">
      <c r="C83" s="54" t="s">
        <v>65</v>
      </c>
      <c r="D83" s="54" t="s">
        <v>66</v>
      </c>
      <c r="E83" s="54" t="s">
        <v>68</v>
      </c>
      <c r="F83" s="54" t="s">
        <v>185</v>
      </c>
      <c r="G83" s="54" t="s">
        <v>186</v>
      </c>
      <c r="H83" s="54" t="s">
        <v>187</v>
      </c>
      <c r="I83" s="54" t="s">
        <v>188</v>
      </c>
      <c r="J83" s="54" t="s">
        <v>189</v>
      </c>
      <c r="K83" s="54" t="s">
        <v>190</v>
      </c>
      <c r="L83" s="54" t="s">
        <v>69</v>
      </c>
      <c r="M83" s="54" t="s">
        <v>70</v>
      </c>
      <c r="N83" s="54" t="s">
        <v>71</v>
      </c>
      <c r="O83" s="54" t="s">
        <v>191</v>
      </c>
      <c r="P83" s="54" t="s">
        <v>192</v>
      </c>
      <c r="Q83" s="54" t="s">
        <v>193</v>
      </c>
      <c r="R83" s="54" t="s">
        <v>194</v>
      </c>
      <c r="S83" s="54" t="s">
        <v>195</v>
      </c>
      <c r="T83" s="54" t="s">
        <v>196</v>
      </c>
      <c r="U83" s="54" t="s">
        <v>73</v>
      </c>
      <c r="V83" s="54" t="s">
        <v>2</v>
      </c>
      <c r="W83" s="54" t="s">
        <v>197</v>
      </c>
      <c r="X83" s="54" t="s">
        <v>198</v>
      </c>
      <c r="Y83" s="54" t="s">
        <v>199</v>
      </c>
      <c r="Z83" s="54" t="s">
        <v>200</v>
      </c>
      <c r="AA83" s="54" t="s">
        <v>201</v>
      </c>
    </row>
    <row r="84" spans="1:27" x14ac:dyDescent="0.25">
      <c r="A84" t="s">
        <v>53</v>
      </c>
      <c r="C84" s="56">
        <f>$C$4</f>
        <v>44013</v>
      </c>
      <c r="D84" s="56">
        <f>HLOOKUP(C84,dates,2)</f>
        <v>44043</v>
      </c>
      <c r="E84">
        <f>ROUND(((D84-C84)/30.4),0)</f>
        <v>1</v>
      </c>
      <c r="F84" s="57">
        <f>HLOOKUP(C84,basic,5)</f>
        <v>57418</v>
      </c>
      <c r="G84" s="57">
        <f>HLOOKUP(C84,pension,5)</f>
        <v>13253</v>
      </c>
      <c r="H84" s="57">
        <f>HLOOKUP(C84,ni,5)</f>
        <v>6733</v>
      </c>
      <c r="I84" s="57">
        <f>SUM(F84/12*$E84)</f>
        <v>4784.833333333333</v>
      </c>
      <c r="J84" s="57">
        <f>SUM(G84/12*$E84)</f>
        <v>1104.4166666666667</v>
      </c>
      <c r="K84" s="57">
        <f>SUM(H84/12*$E84)</f>
        <v>561.08333333333337</v>
      </c>
      <c r="L84" s="57">
        <f>SUM(I84:K84)</f>
        <v>6450.333333333333</v>
      </c>
      <c r="M84" s="56">
        <f>IF(C84+365&lt;C$6,(C84+365),C$6)</f>
        <v>44378</v>
      </c>
      <c r="N84">
        <f>$F$4-E84</f>
        <v>-1</v>
      </c>
      <c r="O84" s="57">
        <f>HLOOKUP(M84,basic,5)</f>
        <v>58566.36</v>
      </c>
      <c r="P84" s="57">
        <f>HLOOKUP(M84,pension,5)</f>
        <v>13868.514048000001</v>
      </c>
      <c r="Q84" s="57">
        <f>HLOOKUP(M84,ni,5)</f>
        <v>6891</v>
      </c>
      <c r="R84" s="57">
        <f>SUM(O84/12*$N84)</f>
        <v>-4880.53</v>
      </c>
      <c r="S84" s="57">
        <f>SUM(P84/12*$N84)</f>
        <v>-1155.7095040000002</v>
      </c>
      <c r="T84" s="57">
        <f>SUM(Q84/12*$N84)</f>
        <v>-574.25</v>
      </c>
      <c r="U84" s="57">
        <f>SUM(R84:T84)</f>
        <v>-6610.4895040000001</v>
      </c>
      <c r="V84" s="57">
        <f>ROUND((L84+U84),0)</f>
        <v>-160</v>
      </c>
      <c r="W84" s="57">
        <f>IF(N84&gt;0,SUM(V84/AA84*12),F84+G84+H84)</f>
        <v>77404</v>
      </c>
      <c r="X84" s="57">
        <f>IF(N84&gt;0,ROUND(((I84+R84)/$AA84*12),0),F84)</f>
        <v>57418</v>
      </c>
      <c r="Y84" s="57">
        <f>IF(N84&gt;0,ROUND(((J84+S84)/$AA84*12),0),G84)</f>
        <v>13253</v>
      </c>
      <c r="Z84" s="57">
        <f>IF(N84&gt;0,ROUND(((K84+T84)/$AA84*12),0),H84)</f>
        <v>6733</v>
      </c>
      <c r="AA84">
        <f>SUM(E84+N84)</f>
        <v>0</v>
      </c>
    </row>
    <row r="85" spans="1:27" ht="13" x14ac:dyDescent="0.3">
      <c r="C85" s="56"/>
      <c r="D85" s="56"/>
      <c r="E85" s="57"/>
      <c r="G85" s="57"/>
      <c r="H85" s="56"/>
      <c r="J85" s="57"/>
      <c r="K85" s="53" t="s">
        <v>51</v>
      </c>
      <c r="L85" s="57">
        <f>SUM(L84:L84)</f>
        <v>6450.333333333333</v>
      </c>
    </row>
    <row r="88" spans="1:27" ht="13" x14ac:dyDescent="0.3">
      <c r="A88" s="58" t="s">
        <v>334</v>
      </c>
      <c r="K88" s="57"/>
    </row>
    <row r="89" spans="1:27" s="54" customFormat="1" ht="65" x14ac:dyDescent="0.3">
      <c r="C89" s="54" t="s">
        <v>65</v>
      </c>
      <c r="D89" s="54" t="s">
        <v>66</v>
      </c>
      <c r="E89" s="54" t="s">
        <v>68</v>
      </c>
      <c r="F89" s="54" t="s">
        <v>185</v>
      </c>
      <c r="G89" s="54" t="s">
        <v>186</v>
      </c>
      <c r="H89" s="54" t="s">
        <v>187</v>
      </c>
      <c r="I89" s="54" t="s">
        <v>188</v>
      </c>
      <c r="J89" s="54" t="s">
        <v>189</v>
      </c>
      <c r="K89" s="54" t="s">
        <v>190</v>
      </c>
      <c r="L89" s="54" t="s">
        <v>69</v>
      </c>
      <c r="M89" s="54" t="s">
        <v>70</v>
      </c>
      <c r="N89" s="54" t="s">
        <v>71</v>
      </c>
      <c r="O89" s="54" t="s">
        <v>191</v>
      </c>
      <c r="P89" s="54" t="s">
        <v>192</v>
      </c>
      <c r="Q89" s="54" t="s">
        <v>193</v>
      </c>
      <c r="R89" s="54" t="s">
        <v>194</v>
      </c>
      <c r="S89" s="54" t="s">
        <v>195</v>
      </c>
      <c r="T89" s="54" t="s">
        <v>196</v>
      </c>
      <c r="U89" s="54" t="s">
        <v>73</v>
      </c>
      <c r="V89" s="54" t="s">
        <v>2</v>
      </c>
      <c r="W89" s="54" t="s">
        <v>197</v>
      </c>
      <c r="X89" s="54" t="s">
        <v>198</v>
      </c>
      <c r="Y89" s="54" t="s">
        <v>199</v>
      </c>
      <c r="Z89" s="54" t="s">
        <v>200</v>
      </c>
      <c r="AA89" s="54" t="s">
        <v>201</v>
      </c>
    </row>
    <row r="90" spans="1:27" x14ac:dyDescent="0.25">
      <c r="A90" t="s">
        <v>53</v>
      </c>
      <c r="C90" s="56">
        <f>$C$4</f>
        <v>44013</v>
      </c>
      <c r="D90" s="56">
        <f>HLOOKUP(C90,dates,2)</f>
        <v>44043</v>
      </c>
      <c r="E90">
        <f>ROUND(((D90-C90)/30.4),0)</f>
        <v>1</v>
      </c>
      <c r="F90" s="57">
        <f>HLOOKUP(C90,basic,6)</f>
        <v>72294</v>
      </c>
      <c r="G90" s="57">
        <f>HLOOKUP(C90,pension,6)</f>
        <v>16687</v>
      </c>
      <c r="H90" s="57">
        <f>HLOOKUP(C90,ni,6)</f>
        <v>8786</v>
      </c>
      <c r="I90" s="57">
        <f>SUM(F90/12*$E90)</f>
        <v>6024.5</v>
      </c>
      <c r="J90" s="57">
        <f>SUM(G90/12*$E90)</f>
        <v>1390.5833333333333</v>
      </c>
      <c r="K90" s="57">
        <f>SUM(H90/12*$E90)</f>
        <v>732.16666666666663</v>
      </c>
      <c r="L90" s="57">
        <f>SUM(I90:K90)</f>
        <v>8147.25</v>
      </c>
      <c r="M90" s="56">
        <f>IF(C90+365&lt;C$6,(C90+365),C$6)</f>
        <v>44378</v>
      </c>
      <c r="N90">
        <f>$F$4-E90</f>
        <v>-1</v>
      </c>
      <c r="O90" s="57">
        <f>HLOOKUP(M90,basic,6)</f>
        <v>73739.88</v>
      </c>
      <c r="P90" s="57">
        <f>HLOOKUP(M90,pension,6)</f>
        <v>17461.603584</v>
      </c>
      <c r="Q90" s="57">
        <f>HLOOKUP(M90,ni,6)</f>
        <v>8985</v>
      </c>
      <c r="R90" s="57">
        <f>SUM(O90/12*$N90)</f>
        <v>-6144.9900000000007</v>
      </c>
      <c r="S90" s="57">
        <f>SUM(P90/12*$N90)</f>
        <v>-1455.133632</v>
      </c>
      <c r="T90" s="57">
        <f>SUM(Q90/12*$N90)</f>
        <v>-748.75</v>
      </c>
      <c r="U90" s="57">
        <f>SUM(R90:T90)</f>
        <v>-8348.8736320000007</v>
      </c>
      <c r="V90" s="57">
        <f>ROUND((L90+U90),0)</f>
        <v>-202</v>
      </c>
      <c r="W90" s="57">
        <f>IF(N90&gt;0,SUM(V90/AA90*12),F90+G90+H90)</f>
        <v>97767</v>
      </c>
      <c r="X90" s="57">
        <f>IF(N90&gt;0,ROUND(((I90+R90)/$AA90*12),0),F90)</f>
        <v>72294</v>
      </c>
      <c r="Y90" s="57">
        <f>IF(N90&gt;0,ROUND(((J90+S90)/$AA90*12),0),G90)</f>
        <v>16687</v>
      </c>
      <c r="Z90" s="57">
        <f>IF(N90&gt;0,ROUND(((K90+T90)/$AA90*12),0),H90)</f>
        <v>8786</v>
      </c>
      <c r="AA90">
        <f>SUM(E90+N90)</f>
        <v>0</v>
      </c>
    </row>
    <row r="91" spans="1:27" ht="13" x14ac:dyDescent="0.3">
      <c r="C91" s="56"/>
      <c r="D91" s="56"/>
      <c r="E91" s="57"/>
      <c r="G91" s="57"/>
      <c r="H91" s="56"/>
      <c r="J91" s="57"/>
      <c r="K91" s="53" t="s">
        <v>51</v>
      </c>
      <c r="L91" s="57">
        <f>SUM(L90:L90)</f>
        <v>8147.25</v>
      </c>
    </row>
    <row r="94" spans="1:27" ht="13" x14ac:dyDescent="0.3">
      <c r="A94" s="58" t="s">
        <v>335</v>
      </c>
      <c r="K94" s="57"/>
    </row>
    <row r="95" spans="1:27" s="54" customFormat="1" ht="65" x14ac:dyDescent="0.3">
      <c r="C95" s="54" t="s">
        <v>65</v>
      </c>
      <c r="D95" s="54" t="s">
        <v>66</v>
      </c>
      <c r="E95" s="54" t="s">
        <v>68</v>
      </c>
      <c r="F95" s="54" t="s">
        <v>185</v>
      </c>
      <c r="G95" s="54" t="s">
        <v>186</v>
      </c>
      <c r="H95" s="54" t="s">
        <v>187</v>
      </c>
      <c r="I95" s="54" t="s">
        <v>188</v>
      </c>
      <c r="J95" s="54" t="s">
        <v>189</v>
      </c>
      <c r="K95" s="54" t="s">
        <v>190</v>
      </c>
      <c r="L95" s="54" t="s">
        <v>69</v>
      </c>
      <c r="M95" s="54" t="s">
        <v>70</v>
      </c>
      <c r="N95" s="54" t="s">
        <v>71</v>
      </c>
      <c r="O95" s="54" t="s">
        <v>191</v>
      </c>
      <c r="P95" s="54" t="s">
        <v>192</v>
      </c>
      <c r="Q95" s="54" t="s">
        <v>193</v>
      </c>
      <c r="R95" s="54" t="s">
        <v>194</v>
      </c>
      <c r="S95" s="54" t="s">
        <v>195</v>
      </c>
      <c r="T95" s="54" t="s">
        <v>196</v>
      </c>
      <c r="U95" s="54" t="s">
        <v>73</v>
      </c>
      <c r="V95" s="54" t="s">
        <v>2</v>
      </c>
      <c r="W95" s="54" t="s">
        <v>197</v>
      </c>
      <c r="X95" s="54" t="s">
        <v>198</v>
      </c>
      <c r="Y95" s="54" t="s">
        <v>199</v>
      </c>
      <c r="Z95" s="54" t="s">
        <v>200</v>
      </c>
      <c r="AA95" s="54" t="s">
        <v>201</v>
      </c>
    </row>
    <row r="96" spans="1:27" x14ac:dyDescent="0.25">
      <c r="A96" t="s">
        <v>53</v>
      </c>
      <c r="C96" s="56">
        <f>$C$4</f>
        <v>44013</v>
      </c>
      <c r="D96" s="56">
        <f>HLOOKUP(C96,dates,2)</f>
        <v>44043</v>
      </c>
      <c r="E96">
        <f>ROUND(((D96-C96)/30.4),0)</f>
        <v>1</v>
      </c>
      <c r="F96" s="57">
        <f>HLOOKUP(C96,basic,7)</f>
        <v>82019</v>
      </c>
      <c r="G96" s="57">
        <f>HLOOKUP(C96,pension,7)</f>
        <v>18931</v>
      </c>
      <c r="H96" s="57">
        <f>HLOOKUP(C96,ni,7)</f>
        <v>10128</v>
      </c>
      <c r="I96" s="57">
        <f>SUM(F96/12*$E96)</f>
        <v>6834.916666666667</v>
      </c>
      <c r="J96" s="57">
        <f>SUM(G96/12*$E96)</f>
        <v>1577.5833333333333</v>
      </c>
      <c r="K96" s="57">
        <f>SUM(H96/12*$E96)</f>
        <v>844</v>
      </c>
      <c r="L96" s="57">
        <f>SUM(I96:K96)</f>
        <v>9256.5</v>
      </c>
      <c r="M96" s="56">
        <f>IF(C96+365&lt;C$6,(C96+365),C$6)</f>
        <v>44378</v>
      </c>
      <c r="N96">
        <f>$F$4-E96</f>
        <v>-1</v>
      </c>
      <c r="O96" s="57">
        <f>HLOOKUP(M96,basic,7)</f>
        <v>83659.38</v>
      </c>
      <c r="P96" s="57">
        <f>HLOOKUP(M96,pension,7)</f>
        <v>19810.541184000002</v>
      </c>
      <c r="Q96" s="57">
        <f>HLOOKUP(M96,ni,7)</f>
        <v>10354</v>
      </c>
      <c r="R96" s="57">
        <f>SUM(O96/12*$N96)</f>
        <v>-6971.6150000000007</v>
      </c>
      <c r="S96" s="57">
        <f>SUM(P96/12*$N96)</f>
        <v>-1650.8784320000002</v>
      </c>
      <c r="T96" s="57">
        <f>SUM(Q96/12*$N96)</f>
        <v>-862.83333333333337</v>
      </c>
      <c r="U96" s="57">
        <f>SUM(R96:T96)</f>
        <v>-9485.3267653333351</v>
      </c>
      <c r="V96" s="57">
        <f>ROUND((L96+U96),0)</f>
        <v>-229</v>
      </c>
      <c r="W96" s="57">
        <f>IF(N96&gt;0,SUM(V96/AA96*12),F96+G96+H96)</f>
        <v>111078</v>
      </c>
      <c r="X96" s="57">
        <f>IF(N96&gt;0,ROUND(((I96+R96)/$AA96*12),0),F96)</f>
        <v>82019</v>
      </c>
      <c r="Y96" s="57">
        <f>IF(N96&gt;0,ROUND(((J96+S96)/$AA96*12),0),G96)</f>
        <v>18931</v>
      </c>
      <c r="Z96" s="57">
        <f>IF(N96&gt;0,ROUND(((K96+T96)/$AA96*12),0),H96)</f>
        <v>10128</v>
      </c>
      <c r="AA96">
        <f>SUM(E96+N96)</f>
        <v>0</v>
      </c>
    </row>
    <row r="97" spans="1:27" ht="13" x14ac:dyDescent="0.3">
      <c r="C97" s="56"/>
      <c r="D97" s="56"/>
      <c r="E97" s="57"/>
      <c r="G97" s="57"/>
      <c r="H97" s="56"/>
      <c r="J97" s="57"/>
      <c r="K97" s="53" t="s">
        <v>51</v>
      </c>
      <c r="L97" s="57">
        <f>SUM(L96:L96)</f>
        <v>9256.5</v>
      </c>
    </row>
    <row r="100" spans="1:27" ht="13" x14ac:dyDescent="0.3">
      <c r="A100" s="58" t="s">
        <v>95</v>
      </c>
      <c r="K100" s="57"/>
    </row>
    <row r="101" spans="1:27" s="54" customFormat="1" ht="65" x14ac:dyDescent="0.3">
      <c r="C101" s="54" t="s">
        <v>65</v>
      </c>
      <c r="D101" s="54" t="s">
        <v>66</v>
      </c>
      <c r="E101" s="54" t="s">
        <v>68</v>
      </c>
      <c r="F101" s="54" t="s">
        <v>185</v>
      </c>
      <c r="G101" s="54" t="s">
        <v>186</v>
      </c>
      <c r="H101" s="54" t="s">
        <v>187</v>
      </c>
      <c r="I101" s="54" t="s">
        <v>188</v>
      </c>
      <c r="J101" s="54" t="s">
        <v>189</v>
      </c>
      <c r="K101" s="54" t="s">
        <v>190</v>
      </c>
      <c r="L101" s="54" t="s">
        <v>69</v>
      </c>
      <c r="M101" s="54" t="s">
        <v>70</v>
      </c>
      <c r="N101" s="54" t="s">
        <v>71</v>
      </c>
      <c r="O101" s="54" t="s">
        <v>191</v>
      </c>
      <c r="P101" s="54" t="s">
        <v>192</v>
      </c>
      <c r="Q101" s="54" t="s">
        <v>193</v>
      </c>
      <c r="R101" s="54" t="s">
        <v>194</v>
      </c>
      <c r="S101" s="54" t="s">
        <v>195</v>
      </c>
      <c r="T101" s="54" t="s">
        <v>196</v>
      </c>
      <c r="U101" s="54" t="s">
        <v>73</v>
      </c>
      <c r="V101" s="54" t="s">
        <v>2</v>
      </c>
      <c r="W101" s="54" t="s">
        <v>197</v>
      </c>
      <c r="X101" s="54" t="s">
        <v>198</v>
      </c>
      <c r="Y101" s="54" t="s">
        <v>199</v>
      </c>
      <c r="Z101" s="54" t="s">
        <v>200</v>
      </c>
      <c r="AA101" s="54" t="s">
        <v>201</v>
      </c>
    </row>
    <row r="102" spans="1:27" x14ac:dyDescent="0.25">
      <c r="A102" t="s">
        <v>53</v>
      </c>
      <c r="C102" s="56">
        <f>$C$4</f>
        <v>44013</v>
      </c>
      <c r="D102" s="56">
        <f>HLOOKUP(C102,dates,2)</f>
        <v>44043</v>
      </c>
      <c r="E102">
        <f>ROUND(((D102-C102)/30.4),0)</f>
        <v>1</v>
      </c>
      <c r="F102" s="57">
        <f>HLOOKUP(C102,basic,8)</f>
        <v>31865</v>
      </c>
      <c r="G102" s="57">
        <f>HLOOKUP(C102,pension,8)</f>
        <v>7355</v>
      </c>
      <c r="H102" s="57">
        <f>HLOOKUP(C102,ni,8)</f>
        <v>3207</v>
      </c>
      <c r="I102" s="57">
        <f>SUM(F102/12*$E102)</f>
        <v>2655.4166666666665</v>
      </c>
      <c r="J102" s="57">
        <f>SUM(G102/12*$E102)</f>
        <v>612.91666666666663</v>
      </c>
      <c r="K102" s="57">
        <f>SUM(H102/12*$E102)</f>
        <v>267.25</v>
      </c>
      <c r="L102" s="57">
        <f>SUM(I102:K102)</f>
        <v>3535.583333333333</v>
      </c>
      <c r="M102" s="56">
        <f>IF(C102+365&lt;C$6,(C102+365),C$6)</f>
        <v>44378</v>
      </c>
      <c r="N102">
        <f>$F$4-E102</f>
        <v>-1</v>
      </c>
      <c r="O102" s="57">
        <f>HLOOKUP(M102,basic,8)</f>
        <v>32502.3</v>
      </c>
      <c r="P102" s="57">
        <f>HLOOKUP(M102,pension,8)</f>
        <v>7696.5446400000001</v>
      </c>
      <c r="Q102" s="57">
        <f>HLOOKUP(M102,ni,8)</f>
        <v>3295</v>
      </c>
      <c r="R102" s="57">
        <f>SUM(O102/12*$N102)</f>
        <v>-2708.5250000000001</v>
      </c>
      <c r="S102" s="57">
        <f>SUM(P102/12*$N102)</f>
        <v>-641.37872000000004</v>
      </c>
      <c r="T102" s="57">
        <f>SUM(Q102/12*$N102)</f>
        <v>-274.58333333333331</v>
      </c>
      <c r="U102" s="57">
        <f>SUM(R102:T102)</f>
        <v>-3624.4870533333337</v>
      </c>
      <c r="V102" s="57">
        <f>ROUND((L102+U102),0)</f>
        <v>-89</v>
      </c>
      <c r="W102" s="57">
        <f>IF(N102&gt;0,SUM(V102/AA102*12),F102+G102+H102)</f>
        <v>42427</v>
      </c>
      <c r="X102" s="57">
        <f>IF(N102&gt;0,ROUND(((I102+R102)/$AA102*12),0),F102)</f>
        <v>31865</v>
      </c>
      <c r="Y102" s="57">
        <f>IF(N102&gt;0,ROUND(((J102+S102)/$AA102*12),0),G102)</f>
        <v>7355</v>
      </c>
      <c r="Z102" s="57">
        <f>IF(N102&gt;0,ROUND(((K102+T102)/$AA102*12),0),H102)</f>
        <v>3207</v>
      </c>
      <c r="AA102">
        <f>SUM(E102+N102)</f>
        <v>0</v>
      </c>
    </row>
    <row r="103" spans="1:27" ht="13" x14ac:dyDescent="0.3">
      <c r="K103" s="53" t="s">
        <v>51</v>
      </c>
      <c r="L103" s="57">
        <f>SUM(L102:L102)</f>
        <v>3535.583333333333</v>
      </c>
    </row>
    <row r="106" spans="1:27" ht="13" x14ac:dyDescent="0.3">
      <c r="A106" s="58" t="s">
        <v>96</v>
      </c>
      <c r="K106" s="57"/>
    </row>
    <row r="107" spans="1:27" s="54" customFormat="1" ht="65" x14ac:dyDescent="0.3">
      <c r="C107" s="54" t="s">
        <v>65</v>
      </c>
      <c r="D107" s="54" t="s">
        <v>66</v>
      </c>
      <c r="E107" s="54" t="s">
        <v>68</v>
      </c>
      <c r="F107" s="54" t="s">
        <v>185</v>
      </c>
      <c r="G107" s="54" t="s">
        <v>186</v>
      </c>
      <c r="H107" s="54" t="s">
        <v>187</v>
      </c>
      <c r="I107" s="54" t="s">
        <v>188</v>
      </c>
      <c r="J107" s="54" t="s">
        <v>189</v>
      </c>
      <c r="K107" s="54" t="s">
        <v>190</v>
      </c>
      <c r="L107" s="54" t="s">
        <v>69</v>
      </c>
      <c r="M107" s="54" t="s">
        <v>70</v>
      </c>
      <c r="N107" s="54" t="s">
        <v>71</v>
      </c>
      <c r="O107" s="54" t="s">
        <v>191</v>
      </c>
      <c r="P107" s="54" t="s">
        <v>192</v>
      </c>
      <c r="Q107" s="54" t="s">
        <v>193</v>
      </c>
      <c r="R107" s="54" t="s">
        <v>194</v>
      </c>
      <c r="S107" s="54" t="s">
        <v>195</v>
      </c>
      <c r="T107" s="54" t="s">
        <v>196</v>
      </c>
      <c r="U107" s="54" t="s">
        <v>73</v>
      </c>
      <c r="V107" s="54" t="s">
        <v>2</v>
      </c>
      <c r="W107" s="54" t="s">
        <v>197</v>
      </c>
      <c r="X107" s="54" t="s">
        <v>198</v>
      </c>
      <c r="Y107" s="54" t="s">
        <v>199</v>
      </c>
      <c r="Z107" s="54" t="s">
        <v>200</v>
      </c>
      <c r="AA107" s="54" t="s">
        <v>201</v>
      </c>
    </row>
    <row r="108" spans="1:27" x14ac:dyDescent="0.25">
      <c r="A108" t="s">
        <v>53</v>
      </c>
      <c r="C108" s="56">
        <f>$C$4</f>
        <v>44013</v>
      </c>
      <c r="D108" s="56">
        <f>HLOOKUP(C108,dates,2)</f>
        <v>44043</v>
      </c>
      <c r="E108">
        <f>ROUND(((D108-C108)/30.4),0)</f>
        <v>1</v>
      </c>
      <c r="F108" s="57">
        <f>HLOOKUP(C108,basic,9)</f>
        <v>36914</v>
      </c>
      <c r="G108" s="57">
        <f>HLOOKUP(C108,pension,9)</f>
        <v>8520</v>
      </c>
      <c r="H108" s="57">
        <f>HLOOKUP(C108,ni,9)</f>
        <v>3903</v>
      </c>
      <c r="I108" s="57">
        <f>SUM(F108/12*$E108)</f>
        <v>3076.1666666666665</v>
      </c>
      <c r="J108" s="57">
        <f>SUM(G108/12*$E108)</f>
        <v>710</v>
      </c>
      <c r="K108" s="57">
        <f>SUM(H108/12*$E108)</f>
        <v>325.25</v>
      </c>
      <c r="L108" s="57">
        <f>SUM(I108:K108)</f>
        <v>4111.4166666666661</v>
      </c>
      <c r="M108" s="56">
        <f>IF(C108+365&lt;C$6,(C108+365),C$6)</f>
        <v>44378</v>
      </c>
      <c r="N108">
        <f>$F$4-E108</f>
        <v>-1</v>
      </c>
      <c r="O108" s="57">
        <f>HLOOKUP(M108,basic,9)</f>
        <v>37652.28</v>
      </c>
      <c r="P108" s="57">
        <f>HLOOKUP(M108,pension,9)</f>
        <v>8916.0599039999997</v>
      </c>
      <c r="Q108" s="57">
        <f>HLOOKUP(M108,ni,9)</f>
        <v>4005</v>
      </c>
      <c r="R108" s="57">
        <f>SUM(O108/12*$N108)</f>
        <v>-3137.69</v>
      </c>
      <c r="S108" s="57">
        <f>SUM(P108/12*$N108)</f>
        <v>-743.00499200000002</v>
      </c>
      <c r="T108" s="57">
        <f>SUM(Q108/12*$N108)</f>
        <v>-333.75</v>
      </c>
      <c r="U108" s="57">
        <f>SUM(R108:T108)</f>
        <v>-4214.4449920000006</v>
      </c>
      <c r="V108" s="57">
        <f>ROUND((L108+U108),0)</f>
        <v>-103</v>
      </c>
      <c r="W108" s="57">
        <f>IF(N108&gt;0,SUM(V108/AA108*12),F108+G108+H108)</f>
        <v>49337</v>
      </c>
      <c r="X108" s="57">
        <f>IF(N108&gt;0,ROUND(((I108+R108)/$AA108*12),0),F108)</f>
        <v>36914</v>
      </c>
      <c r="Y108" s="57">
        <f>IF(N108&gt;0,ROUND(((J108+S108)/$AA108*12),0),G108)</f>
        <v>8520</v>
      </c>
      <c r="Z108" s="57">
        <f>IF(N108&gt;0,ROUND(((K108+T108)/$AA108*12),0),H108)</f>
        <v>3903</v>
      </c>
      <c r="AA108">
        <f>SUM(E108+N108)</f>
        <v>0</v>
      </c>
    </row>
    <row r="109" spans="1:27" ht="13" x14ac:dyDescent="0.3">
      <c r="K109" s="53" t="s">
        <v>51</v>
      </c>
      <c r="L109" s="57">
        <f>SUM(L108:L108)</f>
        <v>4111.4166666666661</v>
      </c>
    </row>
    <row r="112" spans="1:27" ht="13" x14ac:dyDescent="0.3">
      <c r="A112" s="58" t="s">
        <v>97</v>
      </c>
      <c r="K112" s="57"/>
    </row>
    <row r="113" spans="1:27" s="54" customFormat="1" ht="65" x14ac:dyDescent="0.3">
      <c r="C113" s="54" t="s">
        <v>65</v>
      </c>
      <c r="D113" s="54" t="s">
        <v>66</v>
      </c>
      <c r="E113" s="54" t="s">
        <v>68</v>
      </c>
      <c r="F113" s="54" t="s">
        <v>185</v>
      </c>
      <c r="G113" s="54" t="s">
        <v>186</v>
      </c>
      <c r="H113" s="54" t="s">
        <v>187</v>
      </c>
      <c r="I113" s="54" t="s">
        <v>188</v>
      </c>
      <c r="J113" s="54" t="s">
        <v>189</v>
      </c>
      <c r="K113" s="54" t="s">
        <v>190</v>
      </c>
      <c r="L113" s="54" t="s">
        <v>69</v>
      </c>
      <c r="M113" s="54" t="s">
        <v>70</v>
      </c>
      <c r="N113" s="54" t="s">
        <v>71</v>
      </c>
      <c r="O113" s="54" t="s">
        <v>191</v>
      </c>
      <c r="P113" s="54" t="s">
        <v>192</v>
      </c>
      <c r="Q113" s="54" t="s">
        <v>193</v>
      </c>
      <c r="R113" s="54" t="s">
        <v>194</v>
      </c>
      <c r="S113" s="54" t="s">
        <v>195</v>
      </c>
      <c r="T113" s="54" t="s">
        <v>196</v>
      </c>
      <c r="U113" s="54" t="s">
        <v>73</v>
      </c>
      <c r="V113" s="54" t="s">
        <v>2</v>
      </c>
      <c r="W113" s="54" t="s">
        <v>197</v>
      </c>
      <c r="X113" s="54" t="s">
        <v>198</v>
      </c>
      <c r="Y113" s="54" t="s">
        <v>199</v>
      </c>
      <c r="Z113" s="54" t="s">
        <v>200</v>
      </c>
      <c r="AA113" s="54" t="s">
        <v>201</v>
      </c>
    </row>
    <row r="114" spans="1:27" x14ac:dyDescent="0.25">
      <c r="A114" t="s">
        <v>53</v>
      </c>
      <c r="C114" s="56">
        <f>$C$4</f>
        <v>44013</v>
      </c>
      <c r="D114" s="56">
        <f>HLOOKUP(C114,dates,2)</f>
        <v>44043</v>
      </c>
      <c r="E114">
        <f>ROUND(((D114-C114)/30.4),0)</f>
        <v>1</v>
      </c>
      <c r="F114" s="57">
        <f>HLOOKUP(C114,basic,10)</f>
        <v>45361</v>
      </c>
      <c r="G114" s="57">
        <f>HLOOKUP(C114,pension,10)</f>
        <v>10470</v>
      </c>
      <c r="H114" s="57">
        <f>HLOOKUP(C114,ni,10)</f>
        <v>5069</v>
      </c>
      <c r="I114" s="57">
        <f>SUM(F114/12*$E114)</f>
        <v>3780.0833333333335</v>
      </c>
      <c r="J114" s="57">
        <f>SUM(G114/12*$E114)</f>
        <v>872.5</v>
      </c>
      <c r="K114" s="57">
        <f>SUM(H114/12*$E114)</f>
        <v>422.41666666666669</v>
      </c>
      <c r="L114" s="57">
        <f>SUM(I114:K114)</f>
        <v>5075.0000000000009</v>
      </c>
      <c r="M114" s="56">
        <f>IF(C114+365&lt;C$6,(C114+365),C$6)</f>
        <v>44378</v>
      </c>
      <c r="N114">
        <f>$F$4-E114</f>
        <v>-1</v>
      </c>
      <c r="O114" s="57">
        <f>HLOOKUP(M114,basic,10)</f>
        <v>46268.22</v>
      </c>
      <c r="P114" s="57">
        <f>HLOOKUP(M114,pension,10)</f>
        <v>10956.314496000001</v>
      </c>
      <c r="Q114" s="57">
        <f>HLOOKUP(M114,ni,10)</f>
        <v>5194</v>
      </c>
      <c r="R114" s="57">
        <f>SUM(O114/12*$N114)</f>
        <v>-3855.6849999999999</v>
      </c>
      <c r="S114" s="57">
        <f>SUM(P114/12*$N114)</f>
        <v>-913.02620800000011</v>
      </c>
      <c r="T114" s="57">
        <f>SUM(Q114/12*$N114)</f>
        <v>-432.83333333333331</v>
      </c>
      <c r="U114" s="57">
        <f>SUM(R114:T114)</f>
        <v>-5201.5445413333327</v>
      </c>
      <c r="V114" s="57">
        <f>ROUND((L114+U114),0)</f>
        <v>-127</v>
      </c>
      <c r="W114" s="57">
        <f>IF(N114&gt;0,SUM(V114/AA114*12),F114+G114+H114)</f>
        <v>60900</v>
      </c>
      <c r="X114" s="57">
        <f>IF(N114&gt;0,ROUND(((I114+R114)/$AA114*12),0),F114)</f>
        <v>45361</v>
      </c>
      <c r="Y114" s="57">
        <f>IF(N114&gt;0,ROUND(((J114+S114)/$AA114*12),0),G114)</f>
        <v>10470</v>
      </c>
      <c r="Z114" s="57">
        <f>IF(N114&gt;0,ROUND(((K114+T114)/$AA114*12),0),H114)</f>
        <v>5069</v>
      </c>
      <c r="AA114">
        <f>SUM(E114+N114)</f>
        <v>0</v>
      </c>
    </row>
    <row r="115" spans="1:27" ht="13" x14ac:dyDescent="0.3">
      <c r="K115" s="53" t="s">
        <v>51</v>
      </c>
      <c r="L115" s="57">
        <f>SUM(L114:L114)</f>
        <v>5075.0000000000009</v>
      </c>
    </row>
    <row r="118" spans="1:27" ht="13" x14ac:dyDescent="0.3">
      <c r="A118" s="58" t="s">
        <v>336</v>
      </c>
      <c r="K118" s="57"/>
    </row>
    <row r="119" spans="1:27" s="54" customFormat="1" ht="65" x14ac:dyDescent="0.3">
      <c r="C119" s="54" t="s">
        <v>65</v>
      </c>
      <c r="D119" s="54" t="s">
        <v>66</v>
      </c>
      <c r="E119" s="54" t="s">
        <v>68</v>
      </c>
      <c r="F119" s="54" t="s">
        <v>185</v>
      </c>
      <c r="G119" s="54" t="s">
        <v>186</v>
      </c>
      <c r="H119" s="54" t="s">
        <v>187</v>
      </c>
      <c r="I119" s="54" t="s">
        <v>188</v>
      </c>
      <c r="J119" s="54" t="s">
        <v>189</v>
      </c>
      <c r="K119" s="54" t="s">
        <v>190</v>
      </c>
      <c r="L119" s="54" t="s">
        <v>69</v>
      </c>
      <c r="M119" s="54" t="s">
        <v>70</v>
      </c>
      <c r="N119" s="54" t="s">
        <v>71</v>
      </c>
      <c r="O119" s="54" t="s">
        <v>191</v>
      </c>
      <c r="P119" s="54" t="s">
        <v>192</v>
      </c>
      <c r="Q119" s="54" t="s">
        <v>193</v>
      </c>
      <c r="R119" s="54" t="s">
        <v>194</v>
      </c>
      <c r="S119" s="54" t="s">
        <v>195</v>
      </c>
      <c r="T119" s="54" t="s">
        <v>196</v>
      </c>
      <c r="U119" s="54" t="s">
        <v>73</v>
      </c>
      <c r="V119" s="54" t="s">
        <v>2</v>
      </c>
      <c r="W119" s="54" t="s">
        <v>197</v>
      </c>
      <c r="X119" s="54" t="s">
        <v>198</v>
      </c>
      <c r="Y119" s="54" t="s">
        <v>199</v>
      </c>
      <c r="Z119" s="54" t="s">
        <v>200</v>
      </c>
      <c r="AA119" s="54" t="s">
        <v>201</v>
      </c>
    </row>
    <row r="120" spans="1:27" x14ac:dyDescent="0.25">
      <c r="A120" t="s">
        <v>53</v>
      </c>
      <c r="C120" s="56">
        <f>$C$4</f>
        <v>44013</v>
      </c>
      <c r="D120" s="56">
        <f>HLOOKUP(C120,dates,2)</f>
        <v>44043</v>
      </c>
      <c r="E120">
        <f>ROUND(((D120-C120)/30.4),0)</f>
        <v>1</v>
      </c>
      <c r="F120" s="57">
        <f>HLOOKUP(C120,basic,11)</f>
        <v>57418</v>
      </c>
      <c r="G120" s="57">
        <f>HLOOKUP(C120,pension,11)</f>
        <v>13253</v>
      </c>
      <c r="H120" s="57">
        <f>HLOOKUP(C120,ni,11)</f>
        <v>6733</v>
      </c>
      <c r="I120" s="57">
        <f>SUM(F120/12*$E120)</f>
        <v>4784.833333333333</v>
      </c>
      <c r="J120" s="57">
        <f>SUM(G120/12*$E120)</f>
        <v>1104.4166666666667</v>
      </c>
      <c r="K120" s="57">
        <f>SUM(H120/12*$E120)</f>
        <v>561.08333333333337</v>
      </c>
      <c r="L120" s="57">
        <f>SUM(I120:K120)</f>
        <v>6450.333333333333</v>
      </c>
      <c r="M120" s="56">
        <f>IF(C120+365&lt;C$6,(C120+365),C$6)</f>
        <v>44378</v>
      </c>
      <c r="N120">
        <f>$F$4-E120</f>
        <v>-1</v>
      </c>
      <c r="O120" s="57">
        <f>HLOOKUP(M120,basic,11)</f>
        <v>58566.36</v>
      </c>
      <c r="P120" s="57">
        <f>HLOOKUP(M120,pension,11)</f>
        <v>13868.514048000001</v>
      </c>
      <c r="Q120" s="57">
        <f>HLOOKUP(M120,ni,11)</f>
        <v>6891</v>
      </c>
      <c r="R120" s="57">
        <f>SUM(O120/12*$N120)</f>
        <v>-4880.53</v>
      </c>
      <c r="S120" s="57">
        <f>SUM(P120/12*$N120)</f>
        <v>-1155.7095040000002</v>
      </c>
      <c r="T120" s="57">
        <f>SUM(Q120/12*$N120)</f>
        <v>-574.25</v>
      </c>
      <c r="U120" s="57">
        <f>SUM(R120:T120)</f>
        <v>-6610.4895040000001</v>
      </c>
      <c r="V120" s="57">
        <f>ROUND((L120+U120),0)</f>
        <v>-160</v>
      </c>
      <c r="W120" s="57">
        <f>IF(N120&gt;0,SUM(V120/AA120*12),F120+G120+H120)</f>
        <v>77404</v>
      </c>
      <c r="X120" s="57">
        <f>IF(N120&gt;0,ROUND(((I120+R120)/$AA120*12),0),F120)</f>
        <v>57418</v>
      </c>
      <c r="Y120" s="57">
        <f>IF(N120&gt;0,ROUND(((J120+S120)/$AA120*12),0),G120)</f>
        <v>13253</v>
      </c>
      <c r="Z120" s="57">
        <f>IF(N120&gt;0,ROUND(((K120+T120)/$AA120*12),0),H120)</f>
        <v>6733</v>
      </c>
      <c r="AA120">
        <f>SUM(E120+N120)</f>
        <v>0</v>
      </c>
    </row>
    <row r="121" spans="1:27" x14ac:dyDescent="0.25">
      <c r="C121" s="56"/>
      <c r="D121" s="56"/>
      <c r="F121" s="57"/>
      <c r="G121" s="57"/>
      <c r="H121" s="57"/>
      <c r="I121" s="57"/>
      <c r="J121" s="57"/>
      <c r="K121" s="57"/>
      <c r="L121" s="57"/>
      <c r="M121" s="56"/>
      <c r="O121" s="57"/>
      <c r="P121" s="57"/>
      <c r="Q121" s="57"/>
      <c r="R121" s="57"/>
      <c r="S121" s="57"/>
      <c r="T121" s="57"/>
      <c r="U121" s="57"/>
      <c r="V121" s="57"/>
      <c r="W121" s="57"/>
      <c r="X121" s="57"/>
      <c r="Y121" s="57"/>
      <c r="Z121" s="57"/>
    </row>
    <row r="122" spans="1:27" x14ac:dyDescent="0.25">
      <c r="C122" s="56"/>
      <c r="D122" s="56"/>
      <c r="F122" s="57"/>
      <c r="G122" s="57"/>
      <c r="H122" s="57"/>
      <c r="I122" s="57"/>
      <c r="J122" s="57"/>
      <c r="K122" s="57"/>
      <c r="L122" s="57"/>
      <c r="M122" s="56"/>
      <c r="O122" s="57"/>
      <c r="P122" s="57"/>
      <c r="Q122" s="57"/>
      <c r="R122" s="57"/>
      <c r="S122" s="57"/>
      <c r="T122" s="57"/>
      <c r="U122" s="57"/>
      <c r="V122" s="57"/>
      <c r="W122" s="57"/>
      <c r="X122" s="57"/>
      <c r="Y122" s="57"/>
      <c r="Z122" s="57"/>
    </row>
    <row r="123" spans="1:27" x14ac:dyDescent="0.25">
      <c r="C123" s="56"/>
      <c r="D123" s="56"/>
      <c r="F123" s="57"/>
      <c r="G123" s="57"/>
      <c r="H123" s="57"/>
      <c r="I123" s="57"/>
      <c r="J123" s="57"/>
      <c r="K123" s="57"/>
      <c r="L123" s="57"/>
      <c r="M123" s="56"/>
      <c r="O123" s="57"/>
      <c r="P123" s="57"/>
      <c r="Q123" s="57"/>
      <c r="R123" s="57"/>
      <c r="S123" s="57"/>
      <c r="T123" s="57"/>
      <c r="U123" s="57"/>
      <c r="V123" s="57"/>
      <c r="W123" s="57"/>
      <c r="X123" s="57"/>
      <c r="Y123" s="57"/>
      <c r="Z123" s="57"/>
    </row>
    <row r="124" spans="1:27" ht="13" x14ac:dyDescent="0.3">
      <c r="A124" s="58" t="s">
        <v>237</v>
      </c>
      <c r="K124" s="57"/>
    </row>
    <row r="125" spans="1:27" s="54" customFormat="1" ht="65" x14ac:dyDescent="0.3">
      <c r="C125" s="54" t="s">
        <v>65</v>
      </c>
      <c r="D125" s="54" t="s">
        <v>66</v>
      </c>
      <c r="E125" s="54" t="s">
        <v>68</v>
      </c>
      <c r="F125" s="54" t="s">
        <v>185</v>
      </c>
      <c r="G125" s="54" t="s">
        <v>186</v>
      </c>
      <c r="H125" s="54" t="s">
        <v>187</v>
      </c>
      <c r="I125" s="54" t="s">
        <v>188</v>
      </c>
      <c r="J125" s="54" t="s">
        <v>189</v>
      </c>
      <c r="K125" s="54" t="s">
        <v>190</v>
      </c>
      <c r="L125" s="54" t="s">
        <v>69</v>
      </c>
      <c r="M125" s="54" t="s">
        <v>70</v>
      </c>
      <c r="N125" s="54" t="s">
        <v>71</v>
      </c>
      <c r="O125" s="54" t="s">
        <v>191</v>
      </c>
      <c r="P125" s="54" t="s">
        <v>192</v>
      </c>
      <c r="Q125" s="54" t="s">
        <v>193</v>
      </c>
      <c r="R125" s="54" t="s">
        <v>194</v>
      </c>
      <c r="S125" s="54" t="s">
        <v>195</v>
      </c>
      <c r="T125" s="54" t="s">
        <v>196</v>
      </c>
      <c r="U125" s="54" t="s">
        <v>73</v>
      </c>
      <c r="V125" s="54" t="s">
        <v>2</v>
      </c>
      <c r="W125" s="54" t="s">
        <v>197</v>
      </c>
      <c r="X125" s="54" t="s">
        <v>198</v>
      </c>
      <c r="Y125" s="54" t="s">
        <v>199</v>
      </c>
      <c r="Z125" s="54" t="s">
        <v>200</v>
      </c>
      <c r="AA125" s="54" t="s">
        <v>201</v>
      </c>
    </row>
    <row r="126" spans="1:27" x14ac:dyDescent="0.25">
      <c r="A126" t="s">
        <v>53</v>
      </c>
      <c r="C126" s="56">
        <f>$C$4</f>
        <v>44013</v>
      </c>
      <c r="D126" s="56">
        <f>HLOOKUP(C126,dates,2)</f>
        <v>44043</v>
      </c>
      <c r="E126">
        <f>ROUND(((D126-C126)/30.4),0)</f>
        <v>1</v>
      </c>
      <c r="F126" s="57">
        <f>HLOOKUP(C126,basic,12)</f>
        <v>34804</v>
      </c>
      <c r="G126" s="57">
        <f>HLOOKUP(C126,pension,12)</f>
        <v>8033</v>
      </c>
      <c r="H126" s="57">
        <f>HLOOKUP(C126,ni,12)</f>
        <v>3612</v>
      </c>
      <c r="I126" s="57">
        <f>SUM(F126/12*$E126)</f>
        <v>2900.3333333333335</v>
      </c>
      <c r="J126" s="57">
        <f>SUM(G126/12*$E126)</f>
        <v>669.41666666666663</v>
      </c>
      <c r="K126" s="57">
        <f>SUM(H126/12*$E126)</f>
        <v>301</v>
      </c>
      <c r="L126" s="57">
        <f>SUM(I126:K126)</f>
        <v>3870.75</v>
      </c>
      <c r="M126" s="56">
        <f>IF(C126+365&lt;C$6,(C126+365),C$6)</f>
        <v>44378</v>
      </c>
      <c r="N126">
        <f>$F$4-E126</f>
        <v>-1</v>
      </c>
      <c r="O126" s="57">
        <f>HLOOKUP(M126,basic,12)</f>
        <v>35500.080000000002</v>
      </c>
      <c r="P126" s="57">
        <f>HLOOKUP(M126,pension,12)</f>
        <v>8406.4189440000009</v>
      </c>
      <c r="Q126" s="57">
        <f>HLOOKUP(M126,ni,12)</f>
        <v>3708</v>
      </c>
      <c r="R126" s="57">
        <f>SUM(O126/12*$N126)</f>
        <v>-2958.34</v>
      </c>
      <c r="S126" s="57">
        <f>SUM(P126/12*$N126)</f>
        <v>-700.53491200000008</v>
      </c>
      <c r="T126" s="57">
        <f>SUM(Q126/12*$N126)</f>
        <v>-309</v>
      </c>
      <c r="U126" s="57">
        <f>SUM(R126:T126)</f>
        <v>-3967.8749120000002</v>
      </c>
      <c r="V126" s="57">
        <f>ROUND((L126+U126),0)</f>
        <v>-97</v>
      </c>
      <c r="W126" s="57">
        <f>IF(N126&gt;0,SUM(V126/AA126*12),F126+G126+H126)</f>
        <v>46449</v>
      </c>
      <c r="X126" s="57">
        <f>IF(N126&gt;0,ROUND(((I126+R126)/$AA126*12),0),F126)</f>
        <v>34804</v>
      </c>
      <c r="Y126" s="57">
        <f>IF(N126&gt;0,ROUND(((J126+S126)/$AA126*12),0),G126)</f>
        <v>8033</v>
      </c>
      <c r="Z126" s="57">
        <f>IF(N126&gt;0,ROUND(((K126+T126)/$AA126*12),0),H126)</f>
        <v>3612</v>
      </c>
      <c r="AA126">
        <f>SUM(E126+N126)</f>
        <v>0</v>
      </c>
    </row>
    <row r="127" spans="1:27" x14ac:dyDescent="0.25">
      <c r="C127" s="56"/>
      <c r="D127" s="56"/>
      <c r="F127" s="57"/>
      <c r="G127" s="57"/>
      <c r="H127" s="57"/>
      <c r="I127" s="57"/>
      <c r="J127" s="57"/>
      <c r="K127" s="57"/>
      <c r="L127" s="57"/>
      <c r="M127" s="56"/>
      <c r="O127" s="57"/>
      <c r="P127" s="57"/>
      <c r="Q127" s="57"/>
      <c r="R127" s="57"/>
      <c r="S127" s="57"/>
      <c r="T127" s="57"/>
      <c r="U127" s="57"/>
      <c r="V127" s="57"/>
      <c r="W127" s="57"/>
      <c r="X127" s="57"/>
      <c r="Y127" s="57"/>
      <c r="Z127" s="57"/>
    </row>
    <row r="128" spans="1:27" x14ac:dyDescent="0.25">
      <c r="C128" s="56"/>
      <c r="D128" s="56"/>
      <c r="F128" s="57"/>
      <c r="G128" s="57"/>
      <c r="H128" s="57"/>
      <c r="I128" s="57"/>
      <c r="J128" s="57"/>
      <c r="K128" s="57"/>
      <c r="L128" s="57"/>
      <c r="M128" s="56"/>
      <c r="O128" s="57"/>
      <c r="P128" s="57"/>
      <c r="Q128" s="57"/>
      <c r="R128" s="57"/>
      <c r="S128" s="57"/>
      <c r="T128" s="57"/>
      <c r="U128" s="57"/>
      <c r="V128" s="57"/>
      <c r="W128" s="57"/>
      <c r="X128" s="57"/>
      <c r="Y128" s="57"/>
      <c r="Z128" s="57"/>
    </row>
    <row r="129" spans="1:27" x14ac:dyDescent="0.25">
      <c r="C129" s="56"/>
      <c r="D129" s="56"/>
      <c r="F129" s="57"/>
      <c r="G129" s="57"/>
      <c r="H129" s="57"/>
      <c r="I129" s="57"/>
      <c r="J129" s="57"/>
      <c r="K129" s="57"/>
      <c r="L129" s="57"/>
      <c r="M129" s="56"/>
      <c r="O129" s="57"/>
      <c r="P129" s="57"/>
      <c r="Q129" s="57"/>
      <c r="R129" s="57"/>
      <c r="S129" s="57"/>
      <c r="T129" s="57"/>
      <c r="U129" s="57"/>
      <c r="V129" s="57"/>
      <c r="W129" s="57"/>
      <c r="X129" s="57"/>
      <c r="Y129" s="57"/>
      <c r="Z129" s="57"/>
    </row>
    <row r="130" spans="1:27" ht="13" x14ac:dyDescent="0.3">
      <c r="A130" s="58" t="s">
        <v>238</v>
      </c>
      <c r="K130" s="57"/>
    </row>
    <row r="131" spans="1:27" s="54" customFormat="1" ht="65" x14ac:dyDescent="0.3">
      <c r="C131" s="54" t="s">
        <v>65</v>
      </c>
      <c r="D131" s="54" t="s">
        <v>66</v>
      </c>
      <c r="E131" s="54" t="s">
        <v>68</v>
      </c>
      <c r="F131" s="54" t="s">
        <v>185</v>
      </c>
      <c r="G131" s="54" t="s">
        <v>186</v>
      </c>
      <c r="H131" s="54" t="s">
        <v>187</v>
      </c>
      <c r="I131" s="54" t="s">
        <v>188</v>
      </c>
      <c r="J131" s="54" t="s">
        <v>189</v>
      </c>
      <c r="K131" s="54" t="s">
        <v>190</v>
      </c>
      <c r="L131" s="54" t="s">
        <v>69</v>
      </c>
      <c r="M131" s="54" t="s">
        <v>70</v>
      </c>
      <c r="N131" s="54" t="s">
        <v>71</v>
      </c>
      <c r="O131" s="54" t="s">
        <v>191</v>
      </c>
      <c r="P131" s="54" t="s">
        <v>192</v>
      </c>
      <c r="Q131" s="54" t="s">
        <v>193</v>
      </c>
      <c r="R131" s="54" t="s">
        <v>194</v>
      </c>
      <c r="S131" s="54" t="s">
        <v>195</v>
      </c>
      <c r="T131" s="54" t="s">
        <v>196</v>
      </c>
      <c r="U131" s="54" t="s">
        <v>73</v>
      </c>
      <c r="V131" s="54" t="s">
        <v>2</v>
      </c>
      <c r="W131" s="54" t="s">
        <v>197</v>
      </c>
      <c r="X131" s="54" t="s">
        <v>198</v>
      </c>
      <c r="Y131" s="54" t="s">
        <v>199</v>
      </c>
      <c r="Z131" s="54" t="s">
        <v>200</v>
      </c>
      <c r="AA131" s="54" t="s">
        <v>201</v>
      </c>
    </row>
    <row r="132" spans="1:27" x14ac:dyDescent="0.25">
      <c r="A132" t="s">
        <v>53</v>
      </c>
      <c r="C132" s="56">
        <f>$C$4</f>
        <v>44013</v>
      </c>
      <c r="D132" s="56">
        <f>HLOOKUP(C132,dates,2)</f>
        <v>44043</v>
      </c>
      <c r="E132">
        <f>ROUND(((D132-C132)/30.4),0)</f>
        <v>1</v>
      </c>
      <c r="F132" s="57">
        <f>HLOOKUP(C132,basic,13)</f>
        <v>0</v>
      </c>
      <c r="G132" s="57">
        <f>HLOOKUP(C132,pension,13)</f>
        <v>0</v>
      </c>
      <c r="H132" s="57">
        <f>HLOOKUP(C132,ni,13)</f>
        <v>0</v>
      </c>
      <c r="I132" s="57">
        <f>SUM(F132/12*$E132)</f>
        <v>0</v>
      </c>
      <c r="J132" s="57">
        <f>SUM(G132/12*$E132)</f>
        <v>0</v>
      </c>
      <c r="K132" s="57">
        <f>SUM(H132/12*$E132)</f>
        <v>0</v>
      </c>
      <c r="L132" s="57">
        <f>SUM(I132:K132)</f>
        <v>0</v>
      </c>
      <c r="M132" s="56">
        <f>IF(C132+365&lt;C$6,(C132+365),C$6)</f>
        <v>44378</v>
      </c>
      <c r="N132">
        <f>$F$4-E132</f>
        <v>-1</v>
      </c>
      <c r="O132" s="57">
        <f>HLOOKUP(M132,basic,13)</f>
        <v>0</v>
      </c>
      <c r="P132" s="57">
        <f>HLOOKUP(M132,pension,13)</f>
        <v>0</v>
      </c>
      <c r="Q132" s="57">
        <f>HLOOKUP(M132,ni,13)</f>
        <v>0</v>
      </c>
      <c r="R132" s="57">
        <f>SUM(O132/12*$N132)</f>
        <v>0</v>
      </c>
      <c r="S132" s="57">
        <f>SUM(P132/12*$N132)</f>
        <v>0</v>
      </c>
      <c r="T132" s="57">
        <f>SUM(Q132/12*$N132)</f>
        <v>0</v>
      </c>
      <c r="U132" s="57">
        <f>SUM(R132:T132)</f>
        <v>0</v>
      </c>
      <c r="V132" s="57">
        <f>ROUND((L132+U132),0)</f>
        <v>0</v>
      </c>
      <c r="W132" s="57">
        <f>IF(N132&gt;0,SUM(V132/AA132*12),F132+G132+H132)</f>
        <v>0</v>
      </c>
      <c r="X132" s="57">
        <f>IF(N132&gt;0,ROUND(((I132+R132)/$AA132*12),0),F132)</f>
        <v>0</v>
      </c>
      <c r="Y132" s="57">
        <f>IF(N132&gt;0,ROUND(((J132+S132)/$AA132*12),0),G132)</f>
        <v>0</v>
      </c>
      <c r="Z132" s="57">
        <f>IF(N132&gt;0,ROUND(((K132+T132)/$AA132*12),0),H132)</f>
        <v>0</v>
      </c>
      <c r="AA132">
        <f>SUM(E132+N132)</f>
        <v>0</v>
      </c>
    </row>
    <row r="133" spans="1:27" x14ac:dyDescent="0.25">
      <c r="C133" s="56"/>
      <c r="D133" s="56"/>
      <c r="F133" s="57"/>
      <c r="G133" s="57"/>
      <c r="H133" s="57"/>
      <c r="I133" s="57"/>
      <c r="J133" s="57"/>
      <c r="K133" s="57"/>
      <c r="L133" s="57"/>
      <c r="M133" s="56"/>
      <c r="O133" s="57"/>
      <c r="P133" s="57"/>
      <c r="Q133" s="57"/>
      <c r="R133" s="57"/>
      <c r="S133" s="57"/>
      <c r="T133" s="57"/>
      <c r="U133" s="57"/>
      <c r="V133" s="57"/>
      <c r="W133" s="57"/>
      <c r="X133" s="57"/>
      <c r="Y133" s="57"/>
      <c r="Z133" s="57"/>
    </row>
    <row r="134" spans="1:27" ht="13" x14ac:dyDescent="0.3">
      <c r="K134" s="53" t="s">
        <v>51</v>
      </c>
      <c r="L134" s="57">
        <f>SUM(L120:L120)</f>
        <v>6450.333333333333</v>
      </c>
    </row>
    <row r="136" spans="1:27" ht="13.5" thickBot="1" x14ac:dyDescent="0.35">
      <c r="B136" s="63" t="s">
        <v>124</v>
      </c>
    </row>
    <row r="137" spans="1:27" ht="13.5" thickBot="1" x14ac:dyDescent="0.35">
      <c r="B137" s="96"/>
      <c r="C137" s="97" t="s">
        <v>53</v>
      </c>
      <c r="D137" s="98" t="s">
        <v>120</v>
      </c>
      <c r="E137" s="98" t="s">
        <v>121</v>
      </c>
      <c r="F137" s="98" t="s">
        <v>122</v>
      </c>
      <c r="G137" s="99" t="s">
        <v>123</v>
      </c>
    </row>
    <row r="138" spans="1:27" ht="13" x14ac:dyDescent="0.3">
      <c r="B138" s="100" t="str">
        <f>B12</f>
        <v>Lecturer</v>
      </c>
      <c r="C138" s="60">
        <f>W72</f>
        <v>49337</v>
      </c>
      <c r="D138" s="108">
        <f>$C138/1650</f>
        <v>29.901212121212122</v>
      </c>
      <c r="E138" s="108">
        <f t="shared" ref="E138:E148" si="30">$C138/220</f>
        <v>224.2590909090909</v>
      </c>
      <c r="F138" s="108">
        <f t="shared" ref="F138:F148" si="31">$C138/44</f>
        <v>1121.2954545454545</v>
      </c>
      <c r="G138" s="109">
        <f t="shared" ref="G138:G148" si="32">$C138/12</f>
        <v>4111.416666666667</v>
      </c>
    </row>
    <row r="139" spans="1:27" ht="13" x14ac:dyDescent="0.3">
      <c r="B139" s="100" t="str">
        <f t="shared" ref="B139:B148" si="33">B13</f>
        <v>Senior Lecturer</v>
      </c>
      <c r="C139" s="60">
        <f>W78</f>
        <v>64669</v>
      </c>
      <c r="D139" s="108">
        <f t="shared" ref="D139:D148" si="34">C139/1650</f>
        <v>39.193333333333335</v>
      </c>
      <c r="E139" s="108">
        <f t="shared" si="30"/>
        <v>293.95</v>
      </c>
      <c r="F139" s="108">
        <f t="shared" si="31"/>
        <v>1469.75</v>
      </c>
      <c r="G139" s="110">
        <f t="shared" si="32"/>
        <v>5389.083333333333</v>
      </c>
    </row>
    <row r="140" spans="1:27" ht="13" x14ac:dyDescent="0.3">
      <c r="B140" s="100" t="str">
        <f t="shared" si="33"/>
        <v>Associate HoD/Portfolio Leader</v>
      </c>
      <c r="C140" s="60">
        <f>W84</f>
        <v>77404</v>
      </c>
      <c r="D140" s="108">
        <f t="shared" si="34"/>
        <v>46.911515151515154</v>
      </c>
      <c r="E140" s="108">
        <f t="shared" si="30"/>
        <v>351.83636363636361</v>
      </c>
      <c r="F140" s="108">
        <f t="shared" si="31"/>
        <v>1759.1818181818182</v>
      </c>
      <c r="G140" s="110">
        <f t="shared" si="32"/>
        <v>6450.333333333333</v>
      </c>
    </row>
    <row r="141" spans="1:27" ht="13" x14ac:dyDescent="0.3">
      <c r="B141" s="100" t="str">
        <f t="shared" si="33"/>
        <v>Academic Director/Professor</v>
      </c>
      <c r="C141" s="60">
        <f>W90</f>
        <v>97767</v>
      </c>
      <c r="D141" s="108">
        <f t="shared" si="34"/>
        <v>59.25272727272727</v>
      </c>
      <c r="E141" s="108">
        <f t="shared" si="30"/>
        <v>444.39545454545453</v>
      </c>
      <c r="F141" s="108">
        <f t="shared" si="31"/>
        <v>2221.9772727272725</v>
      </c>
      <c r="G141" s="110">
        <f t="shared" si="32"/>
        <v>8147.25</v>
      </c>
    </row>
    <row r="142" spans="1:27" ht="13" x14ac:dyDescent="0.3">
      <c r="B142" s="100" t="str">
        <f t="shared" si="33"/>
        <v>Exec Dean/Associate Dean/HoD</v>
      </c>
      <c r="C142" s="60">
        <f>W96</f>
        <v>111078</v>
      </c>
      <c r="D142" s="108">
        <f t="shared" si="34"/>
        <v>67.319999999999993</v>
      </c>
      <c r="E142" s="108">
        <f t="shared" si="30"/>
        <v>504.9</v>
      </c>
      <c r="F142" s="108">
        <f t="shared" si="31"/>
        <v>2524.5</v>
      </c>
      <c r="G142" s="110">
        <f t="shared" si="32"/>
        <v>9256.5</v>
      </c>
    </row>
    <row r="143" spans="1:27" ht="13" x14ac:dyDescent="0.3">
      <c r="B143" s="100" t="str">
        <f t="shared" si="33"/>
        <v>Research  Associate</v>
      </c>
      <c r="C143" s="60">
        <f>W102</f>
        <v>42427</v>
      </c>
      <c r="D143" s="108">
        <f t="shared" si="34"/>
        <v>25.713333333333335</v>
      </c>
      <c r="E143" s="108">
        <f t="shared" si="30"/>
        <v>192.85</v>
      </c>
      <c r="F143" s="108">
        <f t="shared" si="31"/>
        <v>964.25</v>
      </c>
      <c r="G143" s="110">
        <f t="shared" si="32"/>
        <v>3535.5833333333335</v>
      </c>
    </row>
    <row r="144" spans="1:27" ht="13" x14ac:dyDescent="0.3">
      <c r="B144" s="100" t="str">
        <f t="shared" si="33"/>
        <v>Research Fellow</v>
      </c>
      <c r="C144" s="60">
        <f>W108</f>
        <v>49337</v>
      </c>
      <c r="D144" s="108">
        <f t="shared" si="34"/>
        <v>29.901212121212122</v>
      </c>
      <c r="E144" s="108">
        <f t="shared" si="30"/>
        <v>224.2590909090909</v>
      </c>
      <c r="F144" s="108">
        <f t="shared" si="31"/>
        <v>1121.2954545454545</v>
      </c>
      <c r="G144" s="110">
        <f t="shared" si="32"/>
        <v>4111.416666666667</v>
      </c>
    </row>
    <row r="145" spans="2:7" ht="13" x14ac:dyDescent="0.3">
      <c r="B145" s="100" t="str">
        <f t="shared" si="33"/>
        <v>Snr Research Fellow</v>
      </c>
      <c r="C145" s="60">
        <f>W114</f>
        <v>60900</v>
      </c>
      <c r="D145" s="108">
        <f t="shared" si="34"/>
        <v>36.909090909090907</v>
      </c>
      <c r="E145" s="108">
        <f t="shared" si="30"/>
        <v>276.81818181818181</v>
      </c>
      <c r="F145" s="108">
        <f t="shared" si="31"/>
        <v>1384.090909090909</v>
      </c>
      <c r="G145" s="110">
        <f t="shared" si="32"/>
        <v>5075</v>
      </c>
    </row>
    <row r="146" spans="2:7" s="61" customFormat="1" ht="13" x14ac:dyDescent="0.3">
      <c r="B146" s="100" t="str">
        <f t="shared" si="33"/>
        <v>Associate Professor</v>
      </c>
      <c r="C146" s="207">
        <f>W120</f>
        <v>77404</v>
      </c>
      <c r="D146" s="108">
        <f t="shared" si="34"/>
        <v>46.911515151515154</v>
      </c>
      <c r="E146" s="108">
        <f t="shared" si="30"/>
        <v>351.83636363636361</v>
      </c>
      <c r="F146" s="108">
        <f t="shared" si="31"/>
        <v>1759.1818181818182</v>
      </c>
      <c r="G146" s="110">
        <f t="shared" si="32"/>
        <v>6450.333333333333</v>
      </c>
    </row>
    <row r="147" spans="2:7" s="61" customFormat="1" ht="13" x14ac:dyDescent="0.3">
      <c r="B147" s="100" t="str">
        <f t="shared" si="33"/>
        <v>Lab Technician</v>
      </c>
      <c r="C147" s="207">
        <f>W126</f>
        <v>46449</v>
      </c>
      <c r="D147" s="108">
        <f t="shared" si="34"/>
        <v>28.150909090909092</v>
      </c>
      <c r="E147" s="108">
        <f t="shared" si="30"/>
        <v>211.13181818181818</v>
      </c>
      <c r="F147" s="108">
        <f t="shared" si="31"/>
        <v>1055.659090909091</v>
      </c>
      <c r="G147" s="110">
        <f t="shared" si="32"/>
        <v>3870.75</v>
      </c>
    </row>
    <row r="148" spans="2:7" ht="13.5" thickBot="1" x14ac:dyDescent="0.35">
      <c r="B148" s="100" t="str">
        <f t="shared" si="33"/>
        <v>Senior Lab Technician</v>
      </c>
      <c r="C148" s="131">
        <f>W132</f>
        <v>0</v>
      </c>
      <c r="D148" s="111">
        <f t="shared" si="34"/>
        <v>0</v>
      </c>
      <c r="E148" s="111">
        <f t="shared" si="30"/>
        <v>0</v>
      </c>
      <c r="F148" s="111">
        <f t="shared" si="31"/>
        <v>0</v>
      </c>
      <c r="G148" s="112">
        <f t="shared" si="32"/>
        <v>0</v>
      </c>
    </row>
    <row r="149" spans="2:7" ht="13" x14ac:dyDescent="0.3">
      <c r="B149" s="152"/>
      <c r="C149" s="60"/>
      <c r="D149" s="108"/>
      <c r="E149" s="108"/>
      <c r="F149" s="108"/>
      <c r="G149" s="108"/>
    </row>
    <row r="151" spans="2:7" ht="13.5" thickBot="1" x14ac:dyDescent="0.35">
      <c r="B151" s="63" t="s">
        <v>202</v>
      </c>
    </row>
    <row r="152" spans="2:7" ht="13.5" thickBot="1" x14ac:dyDescent="0.35">
      <c r="B152" s="96"/>
      <c r="C152" s="97" t="s">
        <v>53</v>
      </c>
      <c r="D152" s="98" t="s">
        <v>120</v>
      </c>
      <c r="E152" s="98" t="s">
        <v>121</v>
      </c>
      <c r="F152" s="98" t="s">
        <v>122</v>
      </c>
      <c r="G152" s="99" t="s">
        <v>123</v>
      </c>
    </row>
    <row r="153" spans="2:7" ht="13" x14ac:dyDescent="0.3">
      <c r="B153" s="100" t="s">
        <v>0</v>
      </c>
      <c r="C153" s="60">
        <f>X72</f>
        <v>36914</v>
      </c>
      <c r="D153" s="108">
        <f>$C153/1650</f>
        <v>22.372121212121211</v>
      </c>
      <c r="E153" s="108">
        <f t="shared" ref="E153:E163" si="35">$C153/220</f>
        <v>167.79090909090908</v>
      </c>
      <c r="F153" s="108">
        <f t="shared" ref="F153:F163" si="36">$C153/44</f>
        <v>838.9545454545455</v>
      </c>
      <c r="G153" s="109">
        <f t="shared" ref="G153:G163" si="37">$C153/12</f>
        <v>3076.1666666666665</v>
      </c>
    </row>
    <row r="154" spans="2:7" ht="13" x14ac:dyDescent="0.3">
      <c r="B154" s="100" t="s">
        <v>41</v>
      </c>
      <c r="C154" s="60">
        <f>X78</f>
        <v>48114</v>
      </c>
      <c r="D154" s="108">
        <f t="shared" ref="D154:D163" si="38">C154/1650</f>
        <v>29.16</v>
      </c>
      <c r="E154" s="108">
        <f t="shared" si="35"/>
        <v>218.7</v>
      </c>
      <c r="F154" s="108">
        <f t="shared" si="36"/>
        <v>1093.5</v>
      </c>
      <c r="G154" s="110">
        <f t="shared" si="37"/>
        <v>4009.5</v>
      </c>
    </row>
    <row r="155" spans="2:7" ht="13" x14ac:dyDescent="0.3">
      <c r="B155" s="100" t="s">
        <v>329</v>
      </c>
      <c r="C155" s="60">
        <f>X84</f>
        <v>57418</v>
      </c>
      <c r="D155" s="108">
        <f t="shared" si="38"/>
        <v>34.798787878787877</v>
      </c>
      <c r="E155" s="108">
        <f t="shared" si="35"/>
        <v>260.9909090909091</v>
      </c>
      <c r="F155" s="108">
        <f t="shared" si="36"/>
        <v>1304.9545454545455</v>
      </c>
      <c r="G155" s="110">
        <f t="shared" si="37"/>
        <v>4784.833333333333</v>
      </c>
    </row>
    <row r="156" spans="2:7" ht="13" x14ac:dyDescent="0.3">
      <c r="B156" s="100" t="s">
        <v>330</v>
      </c>
      <c r="C156" s="60">
        <f>X90</f>
        <v>72294</v>
      </c>
      <c r="D156" s="108">
        <f t="shared" si="38"/>
        <v>43.814545454545453</v>
      </c>
      <c r="E156" s="108">
        <f t="shared" si="35"/>
        <v>328.60909090909092</v>
      </c>
      <c r="F156" s="108">
        <f t="shared" si="36"/>
        <v>1643.0454545454545</v>
      </c>
      <c r="G156" s="110">
        <f t="shared" si="37"/>
        <v>6024.5</v>
      </c>
    </row>
    <row r="157" spans="2:7" ht="13" x14ac:dyDescent="0.3">
      <c r="B157" s="100" t="s">
        <v>332</v>
      </c>
      <c r="C157" s="60">
        <f>X96</f>
        <v>82019</v>
      </c>
      <c r="D157" s="108">
        <f t="shared" si="38"/>
        <v>49.708484848484851</v>
      </c>
      <c r="E157" s="108">
        <f t="shared" si="35"/>
        <v>372.81363636363636</v>
      </c>
      <c r="F157" s="108">
        <f t="shared" si="36"/>
        <v>1864.0681818181818</v>
      </c>
      <c r="G157" s="110">
        <f t="shared" si="37"/>
        <v>6834.916666666667</v>
      </c>
    </row>
    <row r="158" spans="2:7" ht="13" x14ac:dyDescent="0.3">
      <c r="B158" s="100" t="s">
        <v>44</v>
      </c>
      <c r="C158" s="60">
        <f>X102</f>
        <v>31865</v>
      </c>
      <c r="D158" s="108">
        <f t="shared" si="38"/>
        <v>19.312121212121212</v>
      </c>
      <c r="E158" s="108">
        <f t="shared" si="35"/>
        <v>144.84090909090909</v>
      </c>
      <c r="F158" s="108">
        <f t="shared" si="36"/>
        <v>724.2045454545455</v>
      </c>
      <c r="G158" s="110">
        <f t="shared" si="37"/>
        <v>2655.4166666666665</v>
      </c>
    </row>
    <row r="159" spans="2:7" ht="13" x14ac:dyDescent="0.3">
      <c r="B159" s="100" t="s">
        <v>40</v>
      </c>
      <c r="C159" s="60">
        <f>X108</f>
        <v>36914</v>
      </c>
      <c r="D159" s="108">
        <f t="shared" si="38"/>
        <v>22.372121212121211</v>
      </c>
      <c r="E159" s="108">
        <f t="shared" si="35"/>
        <v>167.79090909090908</v>
      </c>
      <c r="F159" s="108">
        <f t="shared" si="36"/>
        <v>838.9545454545455</v>
      </c>
      <c r="G159" s="110">
        <f t="shared" si="37"/>
        <v>3076.1666666666665</v>
      </c>
    </row>
    <row r="160" spans="2:7" ht="13" x14ac:dyDescent="0.3">
      <c r="B160" s="100" t="s">
        <v>94</v>
      </c>
      <c r="C160" s="60">
        <f>X114</f>
        <v>45361</v>
      </c>
      <c r="D160" s="108">
        <f t="shared" si="38"/>
        <v>27.491515151515152</v>
      </c>
      <c r="E160" s="108">
        <f t="shared" si="35"/>
        <v>206.18636363636364</v>
      </c>
      <c r="F160" s="108">
        <f t="shared" si="36"/>
        <v>1030.9318181818182</v>
      </c>
      <c r="G160" s="110">
        <f t="shared" si="37"/>
        <v>3780.0833333333335</v>
      </c>
    </row>
    <row r="161" spans="2:7" s="61" customFormat="1" ht="13" x14ac:dyDescent="0.3">
      <c r="B161" s="100" t="s">
        <v>331</v>
      </c>
      <c r="C161" s="207">
        <f>X120</f>
        <v>57418</v>
      </c>
      <c r="D161" s="108">
        <f t="shared" si="38"/>
        <v>34.798787878787877</v>
      </c>
      <c r="E161" s="108">
        <f t="shared" si="35"/>
        <v>260.9909090909091</v>
      </c>
      <c r="F161" s="108">
        <f t="shared" si="36"/>
        <v>1304.9545454545455</v>
      </c>
      <c r="G161" s="110">
        <f t="shared" si="37"/>
        <v>4784.833333333333</v>
      </c>
    </row>
    <row r="162" spans="2:7" ht="13" x14ac:dyDescent="0.3">
      <c r="B162" s="100" t="s">
        <v>235</v>
      </c>
      <c r="C162" s="207">
        <f>X126</f>
        <v>34804</v>
      </c>
      <c r="D162" s="108">
        <f t="shared" si="38"/>
        <v>21.093333333333334</v>
      </c>
      <c r="E162" s="108">
        <f t="shared" si="35"/>
        <v>158.19999999999999</v>
      </c>
      <c r="F162" s="108">
        <f t="shared" si="36"/>
        <v>791</v>
      </c>
      <c r="G162" s="110">
        <f t="shared" si="37"/>
        <v>2900.3333333333335</v>
      </c>
    </row>
    <row r="163" spans="2:7" ht="13.5" thickBot="1" x14ac:dyDescent="0.35">
      <c r="B163" s="101" t="s">
        <v>236</v>
      </c>
      <c r="C163" s="131">
        <f>X132</f>
        <v>0</v>
      </c>
      <c r="D163" s="111">
        <f t="shared" si="38"/>
        <v>0</v>
      </c>
      <c r="E163" s="111">
        <f t="shared" si="35"/>
        <v>0</v>
      </c>
      <c r="F163" s="111">
        <f t="shared" si="36"/>
        <v>0</v>
      </c>
      <c r="G163" s="112">
        <f t="shared" si="37"/>
        <v>0</v>
      </c>
    </row>
    <row r="166" spans="2:7" ht="13.5" thickBot="1" x14ac:dyDescent="0.35">
      <c r="B166" s="63" t="s">
        <v>203</v>
      </c>
    </row>
    <row r="167" spans="2:7" ht="13.5" thickBot="1" x14ac:dyDescent="0.35">
      <c r="B167" s="96"/>
      <c r="C167" s="97" t="s">
        <v>53</v>
      </c>
      <c r="D167" s="98" t="s">
        <v>120</v>
      </c>
      <c r="E167" s="98" t="s">
        <v>121</v>
      </c>
      <c r="F167" s="98" t="s">
        <v>122</v>
      </c>
      <c r="G167" s="99" t="s">
        <v>123</v>
      </c>
    </row>
    <row r="168" spans="2:7" ht="13" x14ac:dyDescent="0.3">
      <c r="B168" s="100" t="s">
        <v>0</v>
      </c>
      <c r="C168" s="60">
        <f>Y72</f>
        <v>8520</v>
      </c>
      <c r="D168" s="108">
        <f>$C168/1650</f>
        <v>5.163636363636364</v>
      </c>
      <c r="E168" s="108">
        <f t="shared" ref="E168:E178" si="39">$C168/220</f>
        <v>38.727272727272727</v>
      </c>
      <c r="F168" s="108">
        <f t="shared" ref="F168:F178" si="40">$C168/44</f>
        <v>193.63636363636363</v>
      </c>
      <c r="G168" s="109">
        <f t="shared" ref="G168:G178" si="41">$C168/12</f>
        <v>710</v>
      </c>
    </row>
    <row r="169" spans="2:7" ht="13" x14ac:dyDescent="0.3">
      <c r="B169" s="100" t="s">
        <v>41</v>
      </c>
      <c r="C169" s="60">
        <f>Y78</f>
        <v>11106</v>
      </c>
      <c r="D169" s="108">
        <f t="shared" ref="D169:D178" si="42">C169/1650</f>
        <v>6.7309090909090905</v>
      </c>
      <c r="E169" s="108">
        <f t="shared" si="39"/>
        <v>50.481818181818184</v>
      </c>
      <c r="F169" s="108">
        <f t="shared" si="40"/>
        <v>252.40909090909091</v>
      </c>
      <c r="G169" s="110">
        <f t="shared" si="41"/>
        <v>925.5</v>
      </c>
    </row>
    <row r="170" spans="2:7" ht="13" x14ac:dyDescent="0.3">
      <c r="B170" s="100" t="s">
        <v>329</v>
      </c>
      <c r="C170" s="60">
        <f>Y84</f>
        <v>13253</v>
      </c>
      <c r="D170" s="108">
        <f t="shared" si="42"/>
        <v>8.0321212121212113</v>
      </c>
      <c r="E170" s="108">
        <f t="shared" si="39"/>
        <v>60.240909090909092</v>
      </c>
      <c r="F170" s="108">
        <f t="shared" si="40"/>
        <v>301.20454545454544</v>
      </c>
      <c r="G170" s="110">
        <f t="shared" si="41"/>
        <v>1104.4166666666667</v>
      </c>
    </row>
    <row r="171" spans="2:7" ht="13" x14ac:dyDescent="0.3">
      <c r="B171" s="100" t="s">
        <v>330</v>
      </c>
      <c r="C171" s="60">
        <f>Y90</f>
        <v>16687</v>
      </c>
      <c r="D171" s="108">
        <f t="shared" si="42"/>
        <v>10.113333333333333</v>
      </c>
      <c r="E171" s="108">
        <f t="shared" si="39"/>
        <v>75.849999999999994</v>
      </c>
      <c r="F171" s="108">
        <f t="shared" si="40"/>
        <v>379.25</v>
      </c>
      <c r="G171" s="110">
        <f t="shared" si="41"/>
        <v>1390.5833333333333</v>
      </c>
    </row>
    <row r="172" spans="2:7" ht="13" x14ac:dyDescent="0.3">
      <c r="B172" s="100" t="s">
        <v>332</v>
      </c>
      <c r="C172" s="60">
        <f>Y96</f>
        <v>18931</v>
      </c>
      <c r="D172" s="108">
        <f t="shared" si="42"/>
        <v>11.473333333333333</v>
      </c>
      <c r="E172" s="108">
        <f t="shared" si="39"/>
        <v>86.05</v>
      </c>
      <c r="F172" s="108">
        <f t="shared" si="40"/>
        <v>430.25</v>
      </c>
      <c r="G172" s="110">
        <f t="shared" si="41"/>
        <v>1577.5833333333333</v>
      </c>
    </row>
    <row r="173" spans="2:7" ht="13" x14ac:dyDescent="0.3">
      <c r="B173" s="100" t="s">
        <v>44</v>
      </c>
      <c r="C173" s="60">
        <f>Y102</f>
        <v>7355</v>
      </c>
      <c r="D173" s="108">
        <f t="shared" si="42"/>
        <v>4.457575757575758</v>
      </c>
      <c r="E173" s="108">
        <f t="shared" si="39"/>
        <v>33.43181818181818</v>
      </c>
      <c r="F173" s="108">
        <f t="shared" si="40"/>
        <v>167.15909090909091</v>
      </c>
      <c r="G173" s="110">
        <f t="shared" si="41"/>
        <v>612.91666666666663</v>
      </c>
    </row>
    <row r="174" spans="2:7" ht="13" x14ac:dyDescent="0.3">
      <c r="B174" s="100" t="s">
        <v>40</v>
      </c>
      <c r="C174" s="60">
        <f>Y108</f>
        <v>8520</v>
      </c>
      <c r="D174" s="108">
        <f t="shared" si="42"/>
        <v>5.163636363636364</v>
      </c>
      <c r="E174" s="108">
        <f t="shared" si="39"/>
        <v>38.727272727272727</v>
      </c>
      <c r="F174" s="108">
        <f t="shared" si="40"/>
        <v>193.63636363636363</v>
      </c>
      <c r="G174" s="110">
        <f t="shared" si="41"/>
        <v>710</v>
      </c>
    </row>
    <row r="175" spans="2:7" ht="13" x14ac:dyDescent="0.3">
      <c r="B175" s="100" t="s">
        <v>94</v>
      </c>
      <c r="C175" s="60">
        <f>Y114</f>
        <v>10470</v>
      </c>
      <c r="D175" s="108">
        <f t="shared" si="42"/>
        <v>6.3454545454545457</v>
      </c>
      <c r="E175" s="108">
        <f t="shared" si="39"/>
        <v>47.590909090909093</v>
      </c>
      <c r="F175" s="108">
        <f t="shared" si="40"/>
        <v>237.95454545454547</v>
      </c>
      <c r="G175" s="110">
        <f t="shared" si="41"/>
        <v>872.5</v>
      </c>
    </row>
    <row r="176" spans="2:7" s="61" customFormat="1" ht="13" x14ac:dyDescent="0.3">
      <c r="B176" s="100" t="s">
        <v>331</v>
      </c>
      <c r="C176" s="207">
        <f>Y120</f>
        <v>13253</v>
      </c>
      <c r="D176" s="108">
        <f t="shared" si="42"/>
        <v>8.0321212121212113</v>
      </c>
      <c r="E176" s="108">
        <f t="shared" si="39"/>
        <v>60.240909090909092</v>
      </c>
      <c r="F176" s="108">
        <f t="shared" si="40"/>
        <v>301.20454545454544</v>
      </c>
      <c r="G176" s="110">
        <f t="shared" si="41"/>
        <v>1104.4166666666667</v>
      </c>
    </row>
    <row r="177" spans="2:7" ht="13" x14ac:dyDescent="0.3">
      <c r="B177" s="100" t="s">
        <v>235</v>
      </c>
      <c r="C177" s="207">
        <f>Y126</f>
        <v>8033</v>
      </c>
      <c r="D177" s="108">
        <f t="shared" si="42"/>
        <v>4.8684848484848482</v>
      </c>
      <c r="E177" s="108">
        <f t="shared" si="39"/>
        <v>36.513636363636365</v>
      </c>
      <c r="F177" s="108">
        <f t="shared" si="40"/>
        <v>182.56818181818181</v>
      </c>
      <c r="G177" s="110">
        <f t="shared" si="41"/>
        <v>669.41666666666663</v>
      </c>
    </row>
    <row r="178" spans="2:7" ht="13.5" thickBot="1" x14ac:dyDescent="0.35">
      <c r="B178" s="101" t="s">
        <v>236</v>
      </c>
      <c r="C178" s="131">
        <f>Y132</f>
        <v>0</v>
      </c>
      <c r="D178" s="111">
        <f t="shared" si="42"/>
        <v>0</v>
      </c>
      <c r="E178" s="111">
        <f t="shared" si="39"/>
        <v>0</v>
      </c>
      <c r="F178" s="111">
        <f t="shared" si="40"/>
        <v>0</v>
      </c>
      <c r="G178" s="112">
        <f t="shared" si="41"/>
        <v>0</v>
      </c>
    </row>
    <row r="181" spans="2:7" ht="13.5" thickBot="1" x14ac:dyDescent="0.35">
      <c r="B181" s="63" t="s">
        <v>213</v>
      </c>
    </row>
    <row r="182" spans="2:7" ht="13.5" thickBot="1" x14ac:dyDescent="0.35">
      <c r="B182" s="96"/>
      <c r="C182" s="97" t="s">
        <v>53</v>
      </c>
      <c r="D182" s="98" t="s">
        <v>120</v>
      </c>
      <c r="E182" s="98" t="s">
        <v>121</v>
      </c>
      <c r="F182" s="98" t="s">
        <v>122</v>
      </c>
      <c r="G182" s="99" t="s">
        <v>123</v>
      </c>
    </row>
    <row r="183" spans="2:7" ht="13" x14ac:dyDescent="0.3">
      <c r="B183" s="100" t="s">
        <v>0</v>
      </c>
      <c r="C183" s="60">
        <f>Z72</f>
        <v>3903</v>
      </c>
      <c r="D183" s="108">
        <f>$C183/1650</f>
        <v>2.3654545454545453</v>
      </c>
      <c r="E183" s="108">
        <f t="shared" ref="E183:E193" si="43">$C183/220</f>
        <v>17.740909090909092</v>
      </c>
      <c r="F183" s="108">
        <f t="shared" ref="F183:F193" si="44">$C183/44</f>
        <v>88.704545454545453</v>
      </c>
      <c r="G183" s="109">
        <f t="shared" ref="G183:G193" si="45">$C183/12</f>
        <v>325.25</v>
      </c>
    </row>
    <row r="184" spans="2:7" ht="13" x14ac:dyDescent="0.3">
      <c r="B184" s="100" t="s">
        <v>41</v>
      </c>
      <c r="C184" s="60">
        <f>Z78</f>
        <v>5449</v>
      </c>
      <c r="D184" s="108">
        <f t="shared" ref="D184:D193" si="46">C184/1650</f>
        <v>3.3024242424242423</v>
      </c>
      <c r="E184" s="108">
        <f t="shared" si="43"/>
        <v>24.768181818181819</v>
      </c>
      <c r="F184" s="108">
        <f t="shared" si="44"/>
        <v>123.84090909090909</v>
      </c>
      <c r="G184" s="110">
        <f t="shared" si="45"/>
        <v>454.08333333333331</v>
      </c>
    </row>
    <row r="185" spans="2:7" ht="13" x14ac:dyDescent="0.3">
      <c r="B185" s="100" t="s">
        <v>329</v>
      </c>
      <c r="C185" s="60">
        <f>Z84</f>
        <v>6733</v>
      </c>
      <c r="D185" s="108">
        <f t="shared" si="46"/>
        <v>4.080606060606061</v>
      </c>
      <c r="E185" s="108">
        <f t="shared" si="43"/>
        <v>30.604545454545455</v>
      </c>
      <c r="F185" s="108">
        <f t="shared" si="44"/>
        <v>153.02272727272728</v>
      </c>
      <c r="G185" s="110">
        <f t="shared" si="45"/>
        <v>561.08333333333337</v>
      </c>
    </row>
    <row r="186" spans="2:7" ht="13" x14ac:dyDescent="0.3">
      <c r="B186" s="100" t="s">
        <v>330</v>
      </c>
      <c r="C186" s="60">
        <f>Z90</f>
        <v>8786</v>
      </c>
      <c r="D186" s="108">
        <f t="shared" si="46"/>
        <v>5.3248484848484852</v>
      </c>
      <c r="E186" s="108">
        <f t="shared" si="43"/>
        <v>39.936363636363637</v>
      </c>
      <c r="F186" s="108">
        <f t="shared" si="44"/>
        <v>199.68181818181819</v>
      </c>
      <c r="G186" s="110">
        <f t="shared" si="45"/>
        <v>732.16666666666663</v>
      </c>
    </row>
    <row r="187" spans="2:7" ht="13" x14ac:dyDescent="0.3">
      <c r="B187" s="100" t="s">
        <v>332</v>
      </c>
      <c r="C187" s="60">
        <f>Z96</f>
        <v>10128</v>
      </c>
      <c r="D187" s="108">
        <f t="shared" si="46"/>
        <v>6.1381818181818177</v>
      </c>
      <c r="E187" s="108">
        <f t="shared" si="43"/>
        <v>46.036363636363639</v>
      </c>
      <c r="F187" s="108">
        <f t="shared" si="44"/>
        <v>230.18181818181819</v>
      </c>
      <c r="G187" s="110">
        <f t="shared" si="45"/>
        <v>844</v>
      </c>
    </row>
    <row r="188" spans="2:7" ht="13" x14ac:dyDescent="0.3">
      <c r="B188" s="100" t="s">
        <v>44</v>
      </c>
      <c r="C188" s="60">
        <f>Z102</f>
        <v>3207</v>
      </c>
      <c r="D188" s="108">
        <f t="shared" si="46"/>
        <v>1.9436363636363636</v>
      </c>
      <c r="E188" s="108">
        <f t="shared" si="43"/>
        <v>14.577272727272728</v>
      </c>
      <c r="F188" s="108">
        <f t="shared" si="44"/>
        <v>72.88636363636364</v>
      </c>
      <c r="G188" s="110">
        <f t="shared" si="45"/>
        <v>267.25</v>
      </c>
    </row>
    <row r="189" spans="2:7" ht="13" x14ac:dyDescent="0.3">
      <c r="B189" s="100" t="s">
        <v>40</v>
      </c>
      <c r="C189" s="60">
        <f>Z108</f>
        <v>3903</v>
      </c>
      <c r="D189" s="108">
        <f t="shared" si="46"/>
        <v>2.3654545454545453</v>
      </c>
      <c r="E189" s="108">
        <f t="shared" si="43"/>
        <v>17.740909090909092</v>
      </c>
      <c r="F189" s="108">
        <f t="shared" si="44"/>
        <v>88.704545454545453</v>
      </c>
      <c r="G189" s="110">
        <f t="shared" si="45"/>
        <v>325.25</v>
      </c>
    </row>
    <row r="190" spans="2:7" ht="13" x14ac:dyDescent="0.3">
      <c r="B190" s="100" t="s">
        <v>94</v>
      </c>
      <c r="C190" s="60">
        <f>Z114</f>
        <v>5069</v>
      </c>
      <c r="D190" s="108">
        <f t="shared" si="46"/>
        <v>3.0721212121212123</v>
      </c>
      <c r="E190" s="108">
        <f t="shared" si="43"/>
        <v>23.040909090909089</v>
      </c>
      <c r="F190" s="108">
        <f t="shared" si="44"/>
        <v>115.20454545454545</v>
      </c>
      <c r="G190" s="110">
        <f t="shared" si="45"/>
        <v>422.41666666666669</v>
      </c>
    </row>
    <row r="191" spans="2:7" s="61" customFormat="1" ht="13" x14ac:dyDescent="0.3">
      <c r="B191" s="100" t="s">
        <v>331</v>
      </c>
      <c r="C191" s="207">
        <f>Z120</f>
        <v>6733</v>
      </c>
      <c r="D191" s="108">
        <f t="shared" si="46"/>
        <v>4.080606060606061</v>
      </c>
      <c r="E191" s="108">
        <f t="shared" si="43"/>
        <v>30.604545454545455</v>
      </c>
      <c r="F191" s="108">
        <f t="shared" si="44"/>
        <v>153.02272727272728</v>
      </c>
      <c r="G191" s="110">
        <f t="shared" si="45"/>
        <v>561.08333333333337</v>
      </c>
    </row>
    <row r="192" spans="2:7" ht="13" x14ac:dyDescent="0.3">
      <c r="B192" s="100" t="s">
        <v>235</v>
      </c>
      <c r="C192" s="207">
        <f>Z126</f>
        <v>3612</v>
      </c>
      <c r="D192" s="108">
        <f t="shared" si="46"/>
        <v>2.189090909090909</v>
      </c>
      <c r="E192" s="108">
        <f t="shared" si="43"/>
        <v>16.418181818181818</v>
      </c>
      <c r="F192" s="108">
        <f t="shared" si="44"/>
        <v>82.090909090909093</v>
      </c>
      <c r="G192" s="110">
        <f t="shared" si="45"/>
        <v>301</v>
      </c>
    </row>
    <row r="193" spans="2:7" ht="13.5" thickBot="1" x14ac:dyDescent="0.35">
      <c r="B193" s="101" t="s">
        <v>236</v>
      </c>
      <c r="C193" s="131">
        <f>Z132</f>
        <v>0</v>
      </c>
      <c r="D193" s="111">
        <f t="shared" si="46"/>
        <v>0</v>
      </c>
      <c r="E193" s="111">
        <f t="shared" si="43"/>
        <v>0</v>
      </c>
      <c r="F193" s="111">
        <f t="shared" si="44"/>
        <v>0</v>
      </c>
      <c r="G193" s="112">
        <f t="shared" si="45"/>
        <v>0</v>
      </c>
    </row>
  </sheetData>
  <sheetProtection password="D45D" sheet="1" objects="1" scenarios="1"/>
  <phoneticPr fontId="2" type="noConversion"/>
  <pageMargins left="0.75" right="0.75" top="1" bottom="1" header="0.5" footer="0.5"/>
  <pageSetup paperSize="9" scale="5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48"/>
  <sheetViews>
    <sheetView workbookViewId="0">
      <selection activeCell="K29" sqref="K29"/>
    </sheetView>
  </sheetViews>
  <sheetFormatPr defaultRowHeight="12.5" x14ac:dyDescent="0.25"/>
  <cols>
    <col min="1" max="1" width="17.54296875" customWidth="1"/>
    <col min="2" max="3" width="15.453125" bestFit="1" customWidth="1"/>
    <col min="4" max="4" width="15.453125" customWidth="1"/>
    <col min="5" max="6" width="15.453125" bestFit="1" customWidth="1"/>
    <col min="7" max="7" width="3.26953125" style="233" bestFit="1" customWidth="1"/>
    <col min="8" max="9" width="22.453125" customWidth="1"/>
    <col min="10" max="10" width="17.54296875" hidden="1" customWidth="1"/>
    <col min="11" max="11" width="13.1796875" customWidth="1"/>
    <col min="12" max="12" width="11.26953125" bestFit="1" customWidth="1"/>
    <col min="13" max="13" width="12.7265625" customWidth="1"/>
    <col min="14" max="14" width="9.1796875" hidden="1" customWidth="1"/>
    <col min="15" max="15" width="11.1796875" customWidth="1"/>
    <col min="16" max="16" width="10.7265625" hidden="1" customWidth="1"/>
    <col min="17" max="17" width="12" customWidth="1"/>
    <col min="18" max="18" width="10.7265625" hidden="1" customWidth="1"/>
    <col min="19" max="19" width="12" customWidth="1"/>
    <col min="20" max="20" width="10.7265625" hidden="1" customWidth="1"/>
    <col min="21" max="21" width="12.54296875" customWidth="1"/>
    <col min="22" max="22" width="10.7265625" hidden="1" customWidth="1"/>
    <col min="23" max="23" width="12.453125" customWidth="1"/>
    <col min="24" max="24" width="9.1796875" hidden="1" customWidth="1"/>
    <col min="25" max="25" width="12" customWidth="1"/>
  </cols>
  <sheetData>
    <row r="1" spans="1:25" x14ac:dyDescent="0.25">
      <c r="A1" t="s">
        <v>287</v>
      </c>
      <c r="B1" t="s">
        <v>288</v>
      </c>
      <c r="C1" t="s">
        <v>287</v>
      </c>
      <c r="D1" t="s">
        <v>289</v>
      </c>
      <c r="I1" t="s">
        <v>290</v>
      </c>
      <c r="K1" t="s">
        <v>291</v>
      </c>
      <c r="L1" t="s">
        <v>292</v>
      </c>
      <c r="M1" t="s">
        <v>293</v>
      </c>
      <c r="O1" t="s">
        <v>294</v>
      </c>
      <c r="Q1" t="s">
        <v>295</v>
      </c>
      <c r="S1" t="s">
        <v>296</v>
      </c>
      <c r="U1" t="s">
        <v>297</v>
      </c>
      <c r="W1" t="s">
        <v>298</v>
      </c>
      <c r="Y1" t="s">
        <v>299</v>
      </c>
    </row>
    <row r="2" spans="1:25" x14ac:dyDescent="0.25">
      <c r="A2" s="234">
        <f>'Project Details'!D9</f>
        <v>44013</v>
      </c>
      <c r="B2" s="234">
        <f>'Project Details'!K9</f>
        <v>44013</v>
      </c>
      <c r="C2">
        <f>MONTH(A2)</f>
        <v>7</v>
      </c>
      <c r="D2">
        <f>MONTH(B2)</f>
        <v>7</v>
      </c>
      <c r="F2">
        <f>IF(A2=B2,0.01,ROUND(YEARFRAC(A2,B2),10))</f>
        <v>0.01</v>
      </c>
      <c r="H2" t="str">
        <f>IF(C2&lt;8,IF(LEFT(TEXT(A2,"dd/mm/yyyy"),2)&lt;&gt;"01","01",LEFT(TEXT(A2,"dd/mm/yyyy"),2))&amp;"/08/"&amp;RIGHT(TEXT(A2,"dd/mm/yyyy"),4)-1,LEFT(TEXT(A2,"dd/mm/yyyy"),2)&amp;"/08/"&amp;RIGHT(TEXT(A2,"dd/mm/yyyy"),4))</f>
        <v>01/08/2019</v>
      </c>
      <c r="I2" s="235">
        <f>DATE(RIGHT(H2,4),MID(H2,4,2),LEFT(H2,2))</f>
        <v>43678</v>
      </c>
      <c r="J2" t="str">
        <f>IF(D2&lt;9,IF(LEFT(TEXT(B2,"dd/mm/yyyy"),2)&lt;&gt;"01","01",LEFT(TEXT(B2,"dd/mm/yyyy"),2))&amp;"/09/"&amp;RIGHT(TEXT(B2,"dd/mm/yyyy"),4),IF(LEFT(TEXT(B2,"dd/mm/yyyy"),2)&lt;&gt;1,"01",LEFT(TEXT(B2,"dd/mm/yyyy"),2))&amp;"/09/"&amp;RIGHT(TEXT(B2,"dd/mm/yyyy"),4)+1)</f>
        <v>01/09/2020</v>
      </c>
      <c r="K2" s="235">
        <f>DATE(RIGHT(J2,4),MID(J2,4,2),LEFT(J2,2))</f>
        <v>44075</v>
      </c>
      <c r="L2" s="235" t="str">
        <f>IF(C2&lt;8,IF(LEFT(TEXT(A2,"dd/mm/yyyy"),2)&lt;&gt;"01","01",LEFT(TEXT(A2,"dd/mm/yyyy"),2))&amp;"/08/"&amp;RIGHT(TEXT(A2,"dd/mm/yyyy"),4)-1,IF(LEFT(TEXT(A2,"dd/mm/yyyy"),2)&lt;&gt;"01","01",LEFT(TEXT(A2,"dd/mm/yyyy"),2))&amp;"/08/"&amp;RIGHT(TEXT(A2,"dd/mm/yyyy"),4))</f>
        <v>01/08/2019</v>
      </c>
      <c r="M2" s="235">
        <f>DATE(RIGHT(L2,4),MID(L2,4,2),LEFT(L2,2))-1</f>
        <v>43677</v>
      </c>
      <c r="N2" t="str">
        <f>LEFT(L2,6)&amp;(RIGHT(L2,4)+1)</f>
        <v>01/08/2020</v>
      </c>
      <c r="O2" s="235">
        <f>DATE(RIGHT(N2,4),MID(N2,4,2),LEFT(N2,2))-1</f>
        <v>44043</v>
      </c>
      <c r="P2" t="str">
        <f>LEFT(N2,6)&amp;(RIGHT(N2,4)+1)</f>
        <v>01/08/2021</v>
      </c>
      <c r="Q2" s="235">
        <f>DATE(RIGHT(P2,4),MID(P2,4,2),LEFT(P2,2))-1</f>
        <v>44408</v>
      </c>
      <c r="R2" t="str">
        <f>LEFT(P2,6)&amp;(RIGHT(P2,4)+1)</f>
        <v>01/08/2022</v>
      </c>
      <c r="S2" s="235">
        <f>DATE(RIGHT(R2,4),MID(R2,4,2),LEFT(R2,2))-1</f>
        <v>44773</v>
      </c>
      <c r="T2" t="str">
        <f>LEFT(R2,6)&amp;(RIGHT(R2,4)+1)</f>
        <v>01/08/2023</v>
      </c>
      <c r="U2" s="235">
        <f>DATE(RIGHT(T2,4),MID(T2,4,2),LEFT(T2,2))-1</f>
        <v>45138</v>
      </c>
      <c r="V2" t="str">
        <f>LEFT(T2,6)&amp;(RIGHT(T2,4)+1)</f>
        <v>01/08/2024</v>
      </c>
      <c r="W2" s="235">
        <f>DATE(RIGHT(V2,4),MID(V2,4,2),LEFT(V2,2))-1</f>
        <v>45504</v>
      </c>
      <c r="X2" t="str">
        <f>LEFT(V2,6)&amp;(RIGHT(V2,4)+1)</f>
        <v>01/08/2025</v>
      </c>
      <c r="Y2" s="235">
        <f>DATE(RIGHT(X2,4),MID(X2,4,2),LEFT(X2,2))-1</f>
        <v>45869</v>
      </c>
    </row>
    <row r="3" spans="1:25" x14ac:dyDescent="0.25">
      <c r="C3" s="235"/>
      <c r="D3" s="235"/>
      <c r="K3" s="235"/>
      <c r="L3" t="str">
        <f>TEXT(A2,"dd/mm/yyyy")</f>
        <v>01/07/2020</v>
      </c>
      <c r="M3" s="235">
        <f>A2</f>
        <v>44013</v>
      </c>
      <c r="N3" s="235" t="str">
        <f>LEFT(L3,6)&amp;(RIGHT(L3,4)+1)</f>
        <v>01/07/2021</v>
      </c>
      <c r="O3" s="235">
        <f>DATE(RIGHT(N3,4),MID(N3,4,2),LEFT(N3,2))</f>
        <v>44378</v>
      </c>
      <c r="P3" t="str">
        <f>LEFT(N3,6)&amp;(RIGHT(N3,4)+1)</f>
        <v>01/07/2022</v>
      </c>
      <c r="Q3" s="235">
        <f>DATE(RIGHT(P3,4),MID(P3,4,2),LEFT(P3,2))</f>
        <v>44743</v>
      </c>
      <c r="R3" t="str">
        <f>LEFT(P3,6)&amp;(RIGHT(P3,4)+1)</f>
        <v>01/07/2023</v>
      </c>
      <c r="S3" s="235">
        <f>DATE(RIGHT(R3,4),MID(R3,4,2),LEFT(R3,2))</f>
        <v>45108</v>
      </c>
      <c r="T3" t="str">
        <f>LEFT(R3,6)&amp;(RIGHT(R3,4)+1)</f>
        <v>01/07/2024</v>
      </c>
      <c r="U3" s="235">
        <f>DATE(RIGHT(T3,4),MID(T3,4,2),LEFT(T3,2))</f>
        <v>45474</v>
      </c>
      <c r="V3" t="str">
        <f>LEFT(T3,6)&amp;(RIGHT(T3,4)+1)</f>
        <v>01/07/2025</v>
      </c>
      <c r="W3" s="235">
        <f>DATE(RIGHT(V3,4),MID(V3,4,2),LEFT(V3,2))</f>
        <v>45839</v>
      </c>
      <c r="X3" t="str">
        <f>LEFT(V3,6)&amp;(RIGHT(V3,4)+1)</f>
        <v>01/07/2026</v>
      </c>
      <c r="Y3" s="235">
        <f>DATE(RIGHT(X3,4),MID(X3,4,2),LEFT(X3,2))</f>
        <v>46204</v>
      </c>
    </row>
    <row r="4" spans="1:25" x14ac:dyDescent="0.25">
      <c r="C4" s="235"/>
      <c r="D4" s="235"/>
      <c r="K4" s="235"/>
      <c r="L4" s="235">
        <f>B2</f>
        <v>44013</v>
      </c>
      <c r="M4" s="235">
        <f>B2</f>
        <v>44013</v>
      </c>
      <c r="N4" t="e">
        <f>RIGHT(#REF!,4)</f>
        <v>#REF!</v>
      </c>
      <c r="O4" s="235">
        <f>B2</f>
        <v>44013</v>
      </c>
      <c r="Q4" s="235">
        <f>B2</f>
        <v>44013</v>
      </c>
      <c r="S4" s="235">
        <f>B2</f>
        <v>44013</v>
      </c>
      <c r="U4" s="235">
        <f>B2</f>
        <v>44013</v>
      </c>
      <c r="W4" s="235">
        <f>B2</f>
        <v>44013</v>
      </c>
      <c r="Y4" s="235">
        <f>B2</f>
        <v>44013</v>
      </c>
    </row>
    <row r="5" spans="1:25" x14ac:dyDescent="0.25">
      <c r="A5">
        <f>'Project Details'!P9</f>
        <v>0</v>
      </c>
      <c r="G5" s="233">
        <f>SUM(A5:F5)</f>
        <v>0</v>
      </c>
      <c r="H5" s="84" t="s">
        <v>300</v>
      </c>
    </row>
    <row r="6" spans="1:25" x14ac:dyDescent="0.25">
      <c r="A6">
        <f>IF(A14&lt;&gt;"",IF(AND(MONTH(A2)&gt;=8,MONTH(B2)&lt;8,YEARFRAC(A2,B2)&lt;=1),ROUND((B2-A2)/30.4,0),0)+IF(AND(MONTH(A2)&lt;8,MONTH(B2)&gt;=8,YEARFRAC(A2,B2)&lt;=1),ROUND((O2-A2)/30.4,0),0)+IF(AND(MONTH(A2)&gt;=8,MONTH(B2)&gt;=8,YEARFRAC(A2,B2)&lt;=1,B2&lt;O2),ROUND((B2-A2)/30.4,0),0)+IF(AND(MONTH(A2)&gt;=8,MONTH(B2)&gt;8,YEARFRAC(A2,B2)&lt;=1,B2&gt;O2),ROUND((O2-A2)/30.4,0),0)+IF(AND(MONTH(A2)&lt;8,MONTH(B2)&lt;8,B2&gt;=O2,YEARFRAC(A2,B2)&lt;=1),ROUND((O2-A2)/30.4,0),0)+IF(AND(MONTH(A2)&lt;8,MONTH(B2)&lt;8,B2&lt;O2,YEARFRAC(A2,B2)&lt;=1),ROUND((B2-A2)/30.4,0),0)+IF(AND(MONTH(A2)&gt;=8,MONTH(B2)&lt;8,YEARFRAC(A2,B2)&gt;1),ROUND((O2-A2)/30.4,0),0)+IF(AND(MONTH(A2)&lt;8,MONTH(B2)&gt;=8,YEARFRAC(A2,B2)&gt;1),ROUND((O2-A2)/30.4,0),0)+IF(AND(MONTH(A2)&gt;=8,MONTH(B2)&gt;=8,YEARFRAC(A2,B2)&gt;1),ROUND((O2-A2)/30.4,0),0)+IF(AND(MONTH(A2)&lt;8,MONTH(B2)&lt;8,YEARFRAC(A2,B2)&gt;1),ROUND((O2-A2)/30.4,0),0),"")</f>
        <v>0</v>
      </c>
      <c r="B6" s="236" t="str">
        <f>IF(IF(B14&lt;&gt;"",IF(AND(B2&gt;O2,B2&lt;=Q2),ROUND((B2-O2)/30.4,0),0)+IF(AND(B2&gt;O2,B2&gt;Q2),ROUND((Q2-O2)/30.4,0),0),"")=0,"",IF(B14&lt;&gt;"",IF(AND(B2&gt;O2,B2&lt;=Q2),ROUND((B2-O2)/30.4,0),0)+IF(AND(B2&gt;O2,B2&gt;Q2),ROUND((Q2-O2)/30.4,0),0),""))</f>
        <v/>
      </c>
      <c r="C6" s="236" t="str">
        <f>IF(IF(C14&lt;&gt;"",IF(AND(B2&gt;Q2,B2&lt;=S2),ROUND((B2-Q2)/30.4,0),0)+IF(AND(B2&gt;Q2,B2&gt;S2),ROUND((S2-Q2)/30.4,0),0),"")=0,"",IF(C14&lt;&gt;"",IF(AND(B2&gt;Q2,B2&lt;=S2),ROUND((B2-Q2)/30.4,0),0)+IF(AND(B2&gt;Q2,B2&gt;S2),ROUND((S2-Q2)/30.4,0),0),""))</f>
        <v/>
      </c>
      <c r="D6" s="236" t="str">
        <f>IF(IF(D14&lt;&gt;"",IF(AND(B2&gt;S2,B2&lt;=U2),ROUND((B2-S2)/30.4,0),0)+IF(AND(B2&gt;S2,B2&gt;U2),ROUND((U2-S2)/30.4,0),0),"")=0,"",IF(D14&lt;&gt;"",IF(AND(B2&gt;S2,B2&lt;=U2),ROUND((B2-S2)/30.4,0),0)+IF(AND(B2&gt;S2,B2&gt;U2),ROUND((U2-S2)/30.4,0),0),""))</f>
        <v/>
      </c>
      <c r="E6" s="236" t="str">
        <f>IF(IF(E14&lt;&gt;"",IF(AND(B2&gt;U2,B2&lt;=W2),ROUND((B2-U2)/30.4,0),0)+IF(AND(B2&gt;U2,B2&gt;W2),ROUND((W2-U2)/30.4,0),0),"")=0,"",IF(E14&lt;&gt;"",IF(AND(B2&gt;U2,B2&lt;=W2),ROUND((B2-U2)/30.4,0),0)+IF(AND(B2&gt;U2,B2&gt;W2),ROUND((W2-U2)/30.4,0),0),""))</f>
        <v/>
      </c>
      <c r="F6" s="236" t="str">
        <f>IF(F14&lt;&gt;"",IF(AND(B2&gt;W2,B2&lt;=Y2),ROUND((B2-W2)/30.4,0),0)+IF(AND(B2&gt;W2,B2&gt;Y2),ROUND((Y2-W2)/30.4,0),0),"")</f>
        <v/>
      </c>
      <c r="G6" s="233">
        <f t="shared" ref="G6" si="0">SUM(A6:F6)</f>
        <v>0</v>
      </c>
      <c r="H6" s="84" t="s">
        <v>301</v>
      </c>
      <c r="M6">
        <f>1/18*16</f>
        <v>0.88888888888888884</v>
      </c>
    </row>
    <row r="7" spans="1:25" ht="13" x14ac:dyDescent="0.3">
      <c r="A7" s="58" t="str">
        <f>WLM!I17</f>
        <v>Senior Lecturer</v>
      </c>
      <c r="C7" s="235"/>
      <c r="D7" s="235"/>
      <c r="K7" s="235"/>
      <c r="L7" s="235"/>
      <c r="M7" s="235"/>
      <c r="O7" s="235"/>
      <c r="Q7" s="235"/>
      <c r="S7" s="235"/>
      <c r="U7" s="235"/>
      <c r="W7" s="235"/>
      <c r="Y7" s="235"/>
    </row>
    <row r="8" spans="1:25" x14ac:dyDescent="0.25">
      <c r="A8" t="s">
        <v>53</v>
      </c>
      <c r="B8" t="s">
        <v>302</v>
      </c>
      <c r="C8" t="s">
        <v>303</v>
      </c>
      <c r="D8" t="s">
        <v>304</v>
      </c>
      <c r="E8" t="s">
        <v>305</v>
      </c>
      <c r="F8" t="s">
        <v>306</v>
      </c>
    </row>
    <row r="9" spans="1:25" x14ac:dyDescent="0.25">
      <c r="A9" t="s">
        <v>280</v>
      </c>
      <c r="B9" t="s">
        <v>280</v>
      </c>
      <c r="C9" t="s">
        <v>280</v>
      </c>
      <c r="D9" t="s">
        <v>280</v>
      </c>
      <c r="E9" t="s">
        <v>280</v>
      </c>
      <c r="F9" t="s">
        <v>280</v>
      </c>
    </row>
    <row r="10" spans="1:25" x14ac:dyDescent="0.25">
      <c r="A10">
        <f>WLM!N17</f>
        <v>4.5454545454545452E-3</v>
      </c>
      <c r="G10" s="237" t="s">
        <v>81</v>
      </c>
      <c r="H10" s="84"/>
      <c r="Q10">
        <f>SUM(S3-Q3)</f>
        <v>365</v>
      </c>
      <c r="S10">
        <f>SUM(S3-S2)</f>
        <v>335</v>
      </c>
    </row>
    <row r="11" spans="1:25" x14ac:dyDescent="0.25">
      <c r="G11" s="237"/>
    </row>
    <row r="12" spans="1:25" x14ac:dyDescent="0.25">
      <c r="A12" s="238"/>
      <c r="B12" s="238"/>
      <c r="C12" s="238"/>
      <c r="D12" s="238"/>
      <c r="E12" s="238"/>
      <c r="F12" s="238"/>
      <c r="H12" s="84"/>
    </row>
    <row r="13" spans="1:25" x14ac:dyDescent="0.25">
      <c r="A13" t="s">
        <v>307</v>
      </c>
      <c r="B13" t="s">
        <v>308</v>
      </c>
      <c r="C13" t="s">
        <v>309</v>
      </c>
      <c r="D13" t="s">
        <v>310</v>
      </c>
      <c r="E13" t="s">
        <v>311</v>
      </c>
      <c r="F13" t="s">
        <v>312</v>
      </c>
      <c r="H13" t="s">
        <v>313</v>
      </c>
    </row>
    <row r="14" spans="1:25" x14ac:dyDescent="0.25">
      <c r="A14" t="str">
        <f>IF($F$2=0,"",IF($C$2&lt;8,(RIGHT(TEXT($A$2,"dd/mm/yyyy"),4)-1&amp;"/"&amp;RIGHT(TEXT($A$2,"dd/mm/yyyy"),2)),(RIGHT(TEXT($A$2,"dd/mm/yyyy"),4)&amp;"/"&amp;RIGHT(TEXT($A$2,"dd/mm/yyyy"),2)+1)))</f>
        <v>2019/20</v>
      </c>
      <c r="B14" t="str">
        <f>IF(OR($F$2&gt;1,$B$2&gt;$O$2,$B$2=$O$2),IF(OR($F$2&gt;1,$B$2&gt;$O$2,$B$2=$O$2),LEFT(A14,4)+1&amp;"/"&amp;IF(LEN(RIGHT(A14,2)+1)&lt;2,("0"&amp;RIGHT(A14,2)+1),RIGHT(A14,2)+1)),"")</f>
        <v/>
      </c>
      <c r="C14" t="str">
        <f>IF(OR($F$2&gt;2,$B$2&gt;$Q$2,$B$2=$Q$2),IF(OR($F$2&gt;2,$B$2&gt;$Q$2,$B$2=$Q$2),LEFT(B14,4)+1&amp;"/"&amp;IF(LEN(RIGHT(B14,2)+1)&lt;2,("0"&amp;RIGHT(B14,2)+1),RIGHT(B14,2)+1)),"")</f>
        <v/>
      </c>
      <c r="D14" t="str">
        <f>IF(OR($F$2&gt;3,$B$2&gt;$S$2,$B$2=$S$2),IF(OR($F$2&gt;3,$B$2&gt;$S$2,$B$2=$S$2),LEFT(C14,4)+1&amp;"/"&amp;IF(LEN(RIGHT(C14,2)+1)&lt;2,("0"&amp;RIGHT(C14,2)+1),RIGHT(C14,2)+1)),"")</f>
        <v/>
      </c>
      <c r="E14" t="str">
        <f>IF(OR($F$2&gt;4,$B$2&gt;$U$2,$B$2=$U$2),IF(OR($F$2&gt;4,$B$2&gt;$U$2,$B$2=$U$2),LEFT(D14,4)+1&amp;"/"&amp;IF(LEN(RIGHT(D14,2)+1)&lt;2,("0"&amp;RIGHT(D14,2)+1),RIGHT(D14,2)+1)),"")</f>
        <v/>
      </c>
      <c r="F14" t="str">
        <f>IF(OR($F$2&gt;5,$B$2&gt;$W$2,$B$2=$W$2),IF(OR($F$2&gt;5,$B$2&gt;$W$2,$B$2=$W$2),LEFT(E14,4)+1&amp;"/"&amp;IF(LEN(RIGHT(E14,2)+1)&lt;2,("0"&amp;RIGHT(E14,2)+1),RIGHT(E14,2)+1)),"")</f>
        <v/>
      </c>
      <c r="L14" s="235"/>
      <c r="M14" s="239">
        <f>(O2-A2)/30.4</f>
        <v>0.98684210526315796</v>
      </c>
    </row>
    <row r="15" spans="1:25" x14ac:dyDescent="0.25">
      <c r="L15" s="235"/>
      <c r="M15" s="235"/>
    </row>
    <row r="16" spans="1:25" x14ac:dyDescent="0.25">
      <c r="A16" s="238" t="e">
        <f>A10/$A$5*$A$6</f>
        <v>#DIV/0!</v>
      </c>
      <c r="B16" s="238">
        <f>IF($B$5=0,0,(A10-A16))+IF($B$6="",0,(IF($B$5=0,(A10/$A$5*$B$6),IF(AND($B$5&lt;&gt;0,$B$5&lt;12,$B$6&lt;12),B10,IF(AND($B$5&lt;12,$B$6=12),B10/$B$5*$A$6,IF(AND($B$6=12,$B$5=12),(B10/$B$6*$A$6)))))))</f>
        <v>0</v>
      </c>
      <c r="C16" s="238">
        <f>IF($C$5=0,0,(B10-B10/$B$5*$A$6))+IF($C$6="",0,(IF($C$5=0,(B10/$B$5*$C$6),IF(AND($C$5&lt;&gt;0,$C$5&lt;12,$C$6&lt;12),C10,IF(AND($C$5&lt;12,$C$6=12),C10/$C$5*$A$6,IF(AND($C$6=12,$C$5=12),(C10/$C$6*$A$6)))))))</f>
        <v>0</v>
      </c>
      <c r="D16" s="238">
        <f>IF($D$5=0,0,(C10-C10/$C$5*$A$6))+IF($D$6="",0,(IF($D$5=0,(C10/$C$5*$D$6),IF(AND($D$5&lt;&gt;0,$D$5&lt;12,$D$6&lt;12),D10,IF(AND($D$5&lt;12,$D$6=12),D10/$D$5*$A$6,IF(AND($D$6=12,$D$5=12),(D10/$D$6*$A$6)))))))</f>
        <v>0</v>
      </c>
      <c r="E16" s="238">
        <f>IF($E$5=0,0,(D10-D10/$D$5*$A$6))+IF($E$6="",0,(IF($E$5=0,(D10/$D$5*$E$6),IF(AND($E$5&lt;&gt;0,$E$5&lt;12,$E$6&lt;12),E10,IF(AND($E$5&lt;12,$E$6=12),E10/$E$5*$A$6,IF(AND($E$6=12,$E$5=12),(E10/$E$6*$A$6)))))))</f>
        <v>0</v>
      </c>
      <c r="F16" s="238">
        <f>IF($F$5=0,0,(E10-E10/$E$5*$A$6))+IF($F$6="",0,IF($F$5=0,(E10/$E$5*$F$6),F10/$F$5*$A$6))</f>
        <v>0</v>
      </c>
      <c r="H16" s="238" t="e">
        <f>SUM(A16:F16)</f>
        <v>#DIV/0!</v>
      </c>
      <c r="I16" t="s">
        <v>314</v>
      </c>
      <c r="W16" s="235"/>
    </row>
    <row r="17" spans="1:13" x14ac:dyDescent="0.25">
      <c r="A17" s="240"/>
      <c r="B17" s="240"/>
      <c r="C17" s="240"/>
      <c r="D17" s="240"/>
      <c r="E17" s="240"/>
      <c r="F17" s="240"/>
    </row>
    <row r="18" spans="1:13" x14ac:dyDescent="0.25">
      <c r="C18" s="235"/>
      <c r="D18" s="235"/>
      <c r="K18" s="235"/>
      <c r="L18" s="235"/>
      <c r="M18" s="235"/>
    </row>
    <row r="19" spans="1:13" ht="13" x14ac:dyDescent="0.3">
      <c r="A19" s="58" t="str">
        <f>WLM!I19</f>
        <v/>
      </c>
      <c r="C19" s="235"/>
      <c r="D19" s="235"/>
      <c r="K19" s="235"/>
      <c r="L19" s="235"/>
    </row>
    <row r="20" spans="1:13" x14ac:dyDescent="0.25">
      <c r="A20" s="84" t="s">
        <v>315</v>
      </c>
      <c r="B20" s="84" t="s">
        <v>316</v>
      </c>
      <c r="C20" s="84" t="s">
        <v>317</v>
      </c>
      <c r="D20" s="84" t="s">
        <v>318</v>
      </c>
      <c r="E20" s="84" t="s">
        <v>319</v>
      </c>
      <c r="F20" s="84" t="s">
        <v>306</v>
      </c>
      <c r="G20" s="237"/>
    </row>
    <row r="21" spans="1:13" x14ac:dyDescent="0.25">
      <c r="A21" t="s">
        <v>280</v>
      </c>
      <c r="B21" t="s">
        <v>280</v>
      </c>
      <c r="C21" t="s">
        <v>280</v>
      </c>
      <c r="D21" t="s">
        <v>280</v>
      </c>
      <c r="E21" t="s">
        <v>280</v>
      </c>
      <c r="F21" t="s">
        <v>280</v>
      </c>
    </row>
    <row r="22" spans="1:13" x14ac:dyDescent="0.25">
      <c r="A22" t="str">
        <f>WLM!N19</f>
        <v/>
      </c>
    </row>
    <row r="25" spans="1:13" x14ac:dyDescent="0.25">
      <c r="A25" t="s">
        <v>307</v>
      </c>
      <c r="B25" t="s">
        <v>308</v>
      </c>
      <c r="C25" t="s">
        <v>309</v>
      </c>
      <c r="D25" t="s">
        <v>310</v>
      </c>
      <c r="E25" t="s">
        <v>311</v>
      </c>
      <c r="F25" t="s">
        <v>312</v>
      </c>
    </row>
    <row r="26" spans="1:13" x14ac:dyDescent="0.25">
      <c r="A26" t="str">
        <f>IF($F$2=0,"",IF($C$2&lt;8,(RIGHT(TEXT($A$2,"dd/mm/yyyy"),4)-1&amp;"/"&amp;RIGHT(TEXT($A$2,"dd/mm/yyyy"),2)),(RIGHT(TEXT($A$2,"dd/mm/yyyy"),4)&amp;"/"&amp;RIGHT(TEXT($A$2,"dd/mm/yyyy"),2)+1)))</f>
        <v>2019/20</v>
      </c>
      <c r="B26" t="str">
        <f>IF(OR($F$2&gt;1,$B$2&gt;$O$2,$B$2=$O$2),IF(OR($F$2&gt;1,$B$2&gt;$O$2,$B$2=$O$2),LEFT(A26,4)+1&amp;"/"&amp;IF(LEN(RIGHT(A26,2)+1)&lt;2,("0"&amp;RIGHT(A26,2)+1),RIGHT(A26,2)+1)),"")</f>
        <v/>
      </c>
      <c r="C26" t="str">
        <f>IF(OR($F$2&gt;2,$B$2&gt;$Q$2,$B$2=$Q$2),IF(OR($F$2&gt;2,$B$2&gt;$Q$2,$B$2=$Q$2),LEFT(B26,4)+1&amp;"/"&amp;IF(LEN(RIGHT(B26,2)+1)&lt;2,("0"&amp;RIGHT(B26,2)+1),RIGHT(B26,2)+1)),"")</f>
        <v/>
      </c>
      <c r="D26" t="str">
        <f>IF(OR($F$2&gt;3,$B$2&gt;$S$2,$B$2=$S$2),IF(OR($F$2&gt;3,$B$2&gt;$S$2,$B$2=$S$2),LEFT(C26,4)+1&amp;"/"&amp;IF(LEN(RIGHT(C26,2)+1)&lt;2,("0"&amp;RIGHT(C26,2)+1),RIGHT(C26,2)+1)),"")</f>
        <v/>
      </c>
      <c r="E26" t="str">
        <f>IF(OR($F$2&gt;4,$B$2&gt;$U$2,$B$2=$U$2),IF(OR($F$2&gt;4,$B$2&gt;$U$2,$B$2=$U$2),LEFT(D26,4)+1&amp;"/"&amp;IF(LEN(RIGHT(D26,2)+1)&lt;2,("0"&amp;RIGHT(D26,2)+1),RIGHT(D26,2)+1)),"")</f>
        <v/>
      </c>
      <c r="F26" t="str">
        <f>IF(OR($F$2&gt;5,$B$2&gt;$W$2,$B$2=$W$2),IF(OR($F$2&gt;5,$B$2&gt;$W$2,$B$2=$W$2),LEFT(E26,4)+1&amp;"/"&amp;IF(LEN(RIGHT(E26,2)+1)&lt;2,("0"&amp;RIGHT(E26,2)+1),RIGHT(E26,2)+1)),"")</f>
        <v/>
      </c>
      <c r="L26" s="235"/>
    </row>
    <row r="27" spans="1:13" x14ac:dyDescent="0.25">
      <c r="L27" s="235"/>
    </row>
    <row r="28" spans="1:13" x14ac:dyDescent="0.25">
      <c r="A28" s="238" t="e">
        <f>A22/$A$5*$A$6</f>
        <v>#VALUE!</v>
      </c>
      <c r="B28" s="238">
        <f>IF($B$5=0,0,(A22-A28))+IF($B$6="",0,(IF($B$5=0,(A22/$A$5*$B$6),IF(AND($B$5&lt;&gt;0,$B$5&lt;12,$B$6&lt;12),B22,IF(AND($B$5&lt;12,$B$6=12),B22/$B$5*$A$6,IF(AND($B$6=12,$B$5=12),(B22/$B$6*$A$6)))))))</f>
        <v>0</v>
      </c>
      <c r="C28" s="238">
        <f>IF($C$5=0,0,(B22-B22/$B$5*$A$6))+IF($C$6="",0,(IF($C$5=0,(B22/$B$5*$C$6),IF(AND($C$5&lt;&gt;0,$C$5&lt;12,$C$6&lt;12),C22,IF(AND($C$5&lt;12,$C$6=12),C22/$C$5*$A$6,IF(AND($C$6=12,$C$5=12),(C22/$C$6*$A$6)))))))</f>
        <v>0</v>
      </c>
      <c r="D28" s="238">
        <f>IF($D$5=0,0,(C22-C22/$C$5*$A$6))+IF($D$6="",0,(IF($D$5=0,(C22/$C$5*$D$6),IF(AND($D$5&lt;&gt;0,$D$5&lt;12,$D$6&lt;12),D22,IF(AND($D$5&lt;12,$D$6=12),D22/$D$5*$A$6,IF(AND($D$6=12,$D$5=12),(D22/$D$6*$A$6)))))))</f>
        <v>0</v>
      </c>
      <c r="E28" s="238">
        <f>IF($E$5=0,0,(D22-D22/$D$5*$A$6))+IF($E$6="",0,(IF($E$5=0,(D22/$D$5*$E$6),IF(AND($E$5&lt;&gt;0,$E$5&lt;12,$E$6&lt;12),E22,IF(AND($E$5&lt;12,$E$6=12),E22/$E$5*$A$6,IF(AND($E$6=12,$E$5=12),(E22/$E$6*$A$6)))))))</f>
        <v>0</v>
      </c>
      <c r="F28" s="238">
        <f>IF($F$5=0,0,(E22-E22/$E$5*$A$6))+IF($F$6="",0,IF($F$5=0,(E22/$E$5*$F$6),F22/$F$5*$A$6))</f>
        <v>0</v>
      </c>
      <c r="H28" s="238" t="e">
        <f>SUM(A28:F28)</f>
        <v>#VALUE!</v>
      </c>
      <c r="I28" t="s">
        <v>314</v>
      </c>
    </row>
    <row r="29" spans="1:13" x14ac:dyDescent="0.25">
      <c r="A29" s="240"/>
      <c r="B29" s="240"/>
      <c r="C29" s="240"/>
      <c r="D29" s="240"/>
      <c r="E29" s="240"/>
      <c r="F29" s="240"/>
    </row>
    <row r="31" spans="1:13" ht="13" x14ac:dyDescent="0.3">
      <c r="A31" s="58" t="str">
        <f>WLM!I21</f>
        <v/>
      </c>
      <c r="C31" s="235"/>
      <c r="D31" s="235"/>
      <c r="K31" s="235"/>
    </row>
    <row r="32" spans="1:13" x14ac:dyDescent="0.25">
      <c r="A32" t="s">
        <v>53</v>
      </c>
      <c r="B32" t="s">
        <v>302</v>
      </c>
      <c r="C32" t="s">
        <v>303</v>
      </c>
      <c r="D32" t="s">
        <v>304</v>
      </c>
      <c r="E32" t="s">
        <v>305</v>
      </c>
      <c r="F32" t="s">
        <v>306</v>
      </c>
    </row>
    <row r="33" spans="1:11" x14ac:dyDescent="0.25">
      <c r="A33" t="s">
        <v>280</v>
      </c>
      <c r="B33" t="s">
        <v>280</v>
      </c>
      <c r="C33" t="s">
        <v>280</v>
      </c>
      <c r="D33" t="s">
        <v>280</v>
      </c>
      <c r="E33" t="s">
        <v>280</v>
      </c>
      <c r="F33" t="s">
        <v>280</v>
      </c>
    </row>
    <row r="34" spans="1:11" x14ac:dyDescent="0.25">
      <c r="A34" t="str">
        <f>WLM!N21</f>
        <v/>
      </c>
    </row>
    <row r="37" spans="1:11" x14ac:dyDescent="0.25">
      <c r="A37" t="s">
        <v>307</v>
      </c>
      <c r="B37" t="s">
        <v>308</v>
      </c>
      <c r="C37" t="s">
        <v>309</v>
      </c>
      <c r="D37" t="s">
        <v>310</v>
      </c>
      <c r="E37" t="s">
        <v>311</v>
      </c>
      <c r="F37" t="s">
        <v>312</v>
      </c>
    </row>
    <row r="38" spans="1:11" x14ac:dyDescent="0.25">
      <c r="A38" t="str">
        <f>IF($F$2=0,"",IF($C$2&lt;8,(RIGHT(TEXT($A$2,"dd/mm/yyyy"),4)-1&amp;"/"&amp;RIGHT(TEXT($A$2,"dd/mm/yyyy"),2)),(RIGHT(TEXT($A$2,"dd/mm/yyyy"),4)&amp;"/"&amp;RIGHT(TEXT($A$2,"dd/mm/yyyy"),2)+1)))</f>
        <v>2019/20</v>
      </c>
      <c r="B38" t="str">
        <f>IF(OR($F$2&gt;1,$B$2&gt;$O$2,$B$2=$O$2),IF(OR($F$2&gt;1,$B$2&gt;$O$2,$B$2=$O$2),LEFT(A38,4)+1&amp;"/"&amp;IF(LEN(RIGHT(A38,2)+1)&lt;2,("0"&amp;RIGHT(A38,2)+1),RIGHT(A38,2)+1)),"")</f>
        <v/>
      </c>
      <c r="C38" t="str">
        <f>IF(OR($F$2&gt;2,$B$2&gt;$Q$2,$B$2=$Q$2),IF(OR($F$2&gt;2,$B$2&gt;$Q$2,$B$2=$Q$2),LEFT(B38,4)+1&amp;"/"&amp;IF(LEN(RIGHT(B38,2)+1)&lt;2,("0"&amp;RIGHT(B38,2)+1),RIGHT(B38,2)+1)),"")</f>
        <v/>
      </c>
      <c r="D38" t="str">
        <f>IF(OR($F$2&gt;3,$B$2&gt;$S$2,$B$2=$S$2),IF(OR($F$2&gt;3,$B$2&gt;$S$2,$B$2=$S$2),LEFT(C38,4)+1&amp;"/"&amp;IF(LEN(RIGHT(C38,2)+1)&lt;2,("0"&amp;RIGHT(C38,2)+1),RIGHT(C38,2)+1)),"")</f>
        <v/>
      </c>
      <c r="E38" t="str">
        <f>IF(OR($F$2&gt;4,$B$2&gt;$U$2,$B$2=$U$2),IF(OR($F$2&gt;4,$B$2&gt;$U$2,$B$2=$U$2),LEFT(D38,4)+1&amp;"/"&amp;IF(LEN(RIGHT(D38,2)+1)&lt;2,("0"&amp;RIGHT(D38,2)+1),RIGHT(D38,2)+1)),"")</f>
        <v/>
      </c>
      <c r="F38" t="str">
        <f>IF(OR($F$2&gt;5,$B$2&gt;$W$2,$B$2=$W$2),IF(OR($F$2&gt;5,$B$2&gt;$W$2,$B$2=$W$2),LEFT(E38,4)+1&amp;"/"&amp;IF(LEN(RIGHT(E38,2)+1)&lt;2,("0"&amp;RIGHT(E38,2)+1),RIGHT(E38,2)+1)),"")</f>
        <v/>
      </c>
    </row>
    <row r="40" spans="1:11" x14ac:dyDescent="0.25">
      <c r="A40" s="238" t="e">
        <f>A34/$A$5*$A$6</f>
        <v>#VALUE!</v>
      </c>
      <c r="B40" s="238">
        <f>IF($B$5=0,0,(A34-A40))+IF($B$6="",0,(IF($B$5=0,(A34/$A$5*$B$6),IF(AND($B$5&lt;&gt;0,$B$5&lt;12,$B$6&lt;12),B34,IF(AND($B$5&lt;12,$B$6=12),B34/$B$5*$A$6,IF(AND($B$6=12,$B$5=12),(B34/$B$6*$A$6)))))))</f>
        <v>0</v>
      </c>
      <c r="C40" s="238">
        <f>IF($C$5=0,0,(B34-B34/$B$5*$A$6))+IF($C$6="",0,(IF($C$5=0,(B34/$B$5*$C$6),IF(AND($C$5&lt;&gt;0,$C$5&lt;12,$C$6&lt;12),C34,IF(AND($C$5&lt;12,$C$6=12),C34/$C$5*$A$6,IF(AND($C$6=12,$C$5=12),(C34/$C$6*$A$6)))))))</f>
        <v>0</v>
      </c>
      <c r="D40" s="238">
        <f>IF($D$5=0,0,(C34-C34/$C$5*$A$6))+IF($D$6="",0,(IF($D$5=0,(C34/$C$5*$D$6),IF(AND($D$5&lt;&gt;0,$D$5&lt;12,$D$6&lt;12),D34,IF(AND($D$5&lt;12,$D$6=12),D34/$D$5*$A$6,IF(AND($D$6=12,$D$5=12),(D34/$D$6*$A$6)))))))</f>
        <v>0</v>
      </c>
      <c r="E40" s="238">
        <f>IF($E$5=0,0,(D34-D34/$D$5*$A$6))+IF($E$6="",0,(IF($E$5=0,(D34/$D$5*$E$6),IF(AND($E$5&lt;&gt;0,$E$5&lt;12,$E$6&lt;12),E34,IF(AND($E$5&lt;12,$E$6=12),E34/$E$5*$A$6,IF(AND($E$6=12,$E$5=12),(E34/$E$6*$A$6)))))))</f>
        <v>0</v>
      </c>
      <c r="F40" s="238">
        <f>IF($F$5=0,0,(E34-E34/$E$5*$A$6))+IF($F$6="",0,IF($F$5=0,(E34/$E$5*$F$6),F34/$F$5*$A$6))</f>
        <v>0</v>
      </c>
      <c r="H40" s="238" t="e">
        <f>SUM(A40:F40)</f>
        <v>#VALUE!</v>
      </c>
      <c r="I40" t="s">
        <v>314</v>
      </c>
    </row>
    <row r="41" spans="1:11" x14ac:dyDescent="0.25">
      <c r="A41" s="240"/>
      <c r="B41" s="240"/>
      <c r="C41" s="240"/>
      <c r="D41" s="240"/>
      <c r="E41" s="240"/>
      <c r="F41" s="240"/>
    </row>
    <row r="43" spans="1:11" ht="13" x14ac:dyDescent="0.3">
      <c r="A43" s="58" t="str">
        <f>WLM!I23</f>
        <v/>
      </c>
      <c r="C43" s="235"/>
      <c r="D43" s="235"/>
      <c r="K43" s="235"/>
    </row>
    <row r="44" spans="1:11" x14ac:dyDescent="0.25">
      <c r="A44" t="s">
        <v>53</v>
      </c>
      <c r="B44" t="s">
        <v>302</v>
      </c>
      <c r="C44" t="s">
        <v>303</v>
      </c>
      <c r="D44" t="s">
        <v>304</v>
      </c>
      <c r="E44" t="s">
        <v>305</v>
      </c>
      <c r="F44" t="s">
        <v>306</v>
      </c>
    </row>
    <row r="45" spans="1:11" x14ac:dyDescent="0.25">
      <c r="A45" t="s">
        <v>280</v>
      </c>
      <c r="B45" t="s">
        <v>280</v>
      </c>
      <c r="C45" t="s">
        <v>280</v>
      </c>
      <c r="D45" t="s">
        <v>280</v>
      </c>
      <c r="E45" t="s">
        <v>280</v>
      </c>
      <c r="F45" t="s">
        <v>280</v>
      </c>
    </row>
    <row r="46" spans="1:11" x14ac:dyDescent="0.25">
      <c r="A46" t="str">
        <f>WLM!N23</f>
        <v/>
      </c>
    </row>
    <row r="49" spans="1:11" x14ac:dyDescent="0.25">
      <c r="A49" t="s">
        <v>307</v>
      </c>
      <c r="B49" t="s">
        <v>308</v>
      </c>
      <c r="C49" t="s">
        <v>309</v>
      </c>
      <c r="D49" t="s">
        <v>310</v>
      </c>
      <c r="E49" t="s">
        <v>311</v>
      </c>
      <c r="F49" t="s">
        <v>312</v>
      </c>
    </row>
    <row r="50" spans="1:11" x14ac:dyDescent="0.25">
      <c r="A50" t="str">
        <f>IF($F$2=0,"",IF($C$2&lt;8,(RIGHT(TEXT($A$2,"dd/mm/yyyy"),4)-1&amp;"/"&amp;RIGHT(TEXT($A$2,"dd/mm/yyyy"),2)),(RIGHT(TEXT($A$2,"dd/mm/yyyy"),4)&amp;"/"&amp;RIGHT(TEXT($A$2,"dd/mm/yyyy"),2)+1)))</f>
        <v>2019/20</v>
      </c>
      <c r="B50" t="str">
        <f>IF(OR($F$2&gt;1,$B$2&gt;$O$2,$B$2=$O$2),IF(OR($F$2&gt;1,$B$2&gt;$O$2,$B$2=$O$2),LEFT(A50,4)+1&amp;"/"&amp;IF(LEN(RIGHT(A50,2)+1)&lt;2,("0"&amp;RIGHT(A50,2)+1),RIGHT(A50,2)+1)),"")</f>
        <v/>
      </c>
      <c r="C50" t="str">
        <f>IF(OR($F$2&gt;2,$B$2&gt;$Q$2,$B$2=$Q$2),IF(OR($F$2&gt;2,$B$2&gt;$Q$2,$B$2=$Q$2),LEFT(B50,4)+1&amp;"/"&amp;IF(LEN(RIGHT(B50,2)+1)&lt;2,("0"&amp;RIGHT(B50,2)+1),RIGHT(B50,2)+1)),"")</f>
        <v/>
      </c>
      <c r="D50" t="str">
        <f>IF(OR($F$2&gt;3,$B$2&gt;$S$2,$B$2=$S$2),IF(OR($F$2&gt;3,$B$2&gt;$S$2,$B$2=$S$2),LEFT(C50,4)+1&amp;"/"&amp;IF(LEN(RIGHT(C50,2)+1)&lt;2,("0"&amp;RIGHT(C50,2)+1),RIGHT(C50,2)+1)),"")</f>
        <v/>
      </c>
      <c r="E50" t="str">
        <f>IF(OR($F$2&gt;4,$B$2&gt;$U$2,$B$2=$U$2),IF(OR($F$2&gt;4,$B$2&gt;$U$2,$B$2=$U$2),LEFT(D50,4)+1&amp;"/"&amp;IF(LEN(RIGHT(D50,2)+1)&lt;2,("0"&amp;RIGHT(D50,2)+1),RIGHT(D50,2)+1)),"")</f>
        <v/>
      </c>
      <c r="F50" t="str">
        <f>IF(OR($F$2&gt;5,$B$2&gt;$W$2,$B$2=$W$2),IF(OR($F$2&gt;5,$B$2&gt;$W$2,$B$2=$W$2),LEFT(E50,4)+1&amp;"/"&amp;IF(LEN(RIGHT(E50,2)+1)&lt;2,("0"&amp;RIGHT(E50,2)+1),RIGHT(E50,2)+1)),"")</f>
        <v/>
      </c>
    </row>
    <row r="52" spans="1:11" x14ac:dyDescent="0.25">
      <c r="A52" s="238" t="e">
        <f>A46/$A$5*$A$6</f>
        <v>#VALUE!</v>
      </c>
      <c r="B52" s="238">
        <f>IF($B$5=0,0,(A46-A52))+IF($B$6="",0,(IF($B$5=0,(A46/$A$5*$B$6),IF(AND($B$5&lt;&gt;0,$B$5&lt;12,$B$6&lt;12),B46,IF(AND($B$5&lt;12,$B$6=12),B46/$B$5*$A$6,IF(AND($B$6=12,$B$5=12),(B46/$B$6*$A$6)))))))</f>
        <v>0</v>
      </c>
      <c r="C52" s="238">
        <f>IF($C$5=0,0,(B46-B46/$B$5*$A$6))+IF($C$6="",0,(IF($C$5=0,(B46/$B$5*$C$6),IF(AND($C$5&lt;&gt;0,$C$5&lt;12,$C$6&lt;12),C46,IF(AND($C$5&lt;12,$C$6=12),C46/$C$5*$A$6,IF(AND($C$6=12,$C$5=12),(C46/$C$6*$A$6)))))))</f>
        <v>0</v>
      </c>
      <c r="D52" s="238">
        <f>IF($D$5=0,0,(C46-C46/$C$5*$A$6))+IF($D$6="",0,(IF($D$5=0,(C46/$C$5*$D$6),IF(AND($D$5&lt;&gt;0,$D$5&lt;12,$D$6&lt;12),D46,IF(AND($D$5&lt;12,$D$6=12),D46/$D$5*$A$6,IF(AND($D$6=12,$D$5=12),(D46/$D$6*$A$6)))))))</f>
        <v>0</v>
      </c>
      <c r="E52" s="238">
        <f>IF($E$5=0,0,(D46-D46/$D$5*$A$6))+IF($E$6="",0,(IF($E$5=0,(D46/$D$5*$E$6),IF(AND($E$5&lt;&gt;0,$E$5&lt;12,$E$6&lt;12),E46,IF(AND($E$5&lt;12,$E$6=12),E46/$E$5*$A$6,IF(AND($E$6=12,$E$5=12),(E46/$E$6*$A$6)))))))</f>
        <v>0</v>
      </c>
      <c r="F52" s="238">
        <f>IF($F$5=0,0,(E46-E46/$E$5*$A$6))+IF($F$6="",0,IF($F$5=0,(E46/$E$5*$F$6),F46/$F$5*$A$6))</f>
        <v>0</v>
      </c>
      <c r="H52" s="238" t="e">
        <f>SUM(A52:F52)</f>
        <v>#VALUE!</v>
      </c>
      <c r="I52" t="s">
        <v>314</v>
      </c>
    </row>
    <row r="53" spans="1:11" x14ac:dyDescent="0.25">
      <c r="A53" s="240"/>
      <c r="B53" s="240"/>
      <c r="C53" s="240"/>
      <c r="D53" s="240"/>
      <c r="E53" s="240"/>
      <c r="F53" s="240"/>
    </row>
    <row r="55" spans="1:11" ht="13" x14ac:dyDescent="0.3">
      <c r="A55" s="58" t="str">
        <f>WLM!I34</f>
        <v/>
      </c>
      <c r="C55" s="235"/>
      <c r="D55" s="235"/>
      <c r="K55" s="235"/>
    </row>
    <row r="56" spans="1:11" x14ac:dyDescent="0.25">
      <c r="A56" t="s">
        <v>53</v>
      </c>
      <c r="B56" t="s">
        <v>302</v>
      </c>
      <c r="C56" t="s">
        <v>303</v>
      </c>
      <c r="D56" t="s">
        <v>304</v>
      </c>
      <c r="E56" t="s">
        <v>305</v>
      </c>
      <c r="F56" t="s">
        <v>306</v>
      </c>
    </row>
    <row r="57" spans="1:11" x14ac:dyDescent="0.25">
      <c r="A57" t="s">
        <v>280</v>
      </c>
      <c r="B57" t="s">
        <v>280</v>
      </c>
      <c r="C57" t="s">
        <v>280</v>
      </c>
      <c r="D57" t="s">
        <v>280</v>
      </c>
      <c r="E57" t="s">
        <v>280</v>
      </c>
      <c r="F57" t="s">
        <v>280</v>
      </c>
    </row>
    <row r="58" spans="1:11" x14ac:dyDescent="0.25">
      <c r="A58" t="str">
        <f>WLM!N34</f>
        <v/>
      </c>
    </row>
    <row r="61" spans="1:11" x14ac:dyDescent="0.25">
      <c r="A61" t="s">
        <v>307</v>
      </c>
      <c r="B61" t="s">
        <v>308</v>
      </c>
      <c r="C61" t="s">
        <v>309</v>
      </c>
      <c r="D61" t="s">
        <v>310</v>
      </c>
      <c r="E61" t="s">
        <v>311</v>
      </c>
      <c r="F61" t="s">
        <v>312</v>
      </c>
    </row>
    <row r="62" spans="1:11" x14ac:dyDescent="0.25">
      <c r="A62" t="str">
        <f>IF($F$2=0,"",IF($C$2&lt;8,(RIGHT(TEXT($A$2,"dd/mm/yyyy"),4)-1&amp;"/"&amp;RIGHT(TEXT($A$2,"dd/mm/yyyy"),2)),(RIGHT(TEXT($A$2,"dd/mm/yyyy"),4)&amp;"/"&amp;RIGHT(TEXT($A$2,"dd/mm/yyyy"),2)+1)))</f>
        <v>2019/20</v>
      </c>
      <c r="B62" t="str">
        <f>IF(OR($F$2&gt;1,$B$2&gt;$O$2,$B$2=$O$2),IF(OR($F$2&gt;1,$B$2&gt;$O$2,$B$2=$O$2),LEFT(A62,4)+1&amp;"/"&amp;IF(LEN(RIGHT(A62,2)+1)&lt;2,("0"&amp;RIGHT(A62,2)+1),RIGHT(A62,2)+1)),"")</f>
        <v/>
      </c>
      <c r="C62" t="str">
        <f>IF(OR($F$2&gt;2,$B$2&gt;$Q$2,$B$2=$Q$2),IF(OR($F$2&gt;2,$B$2&gt;$Q$2,$B$2=$Q$2),LEFT(B62,4)+1&amp;"/"&amp;IF(LEN(RIGHT(B62,2)+1)&lt;2,("0"&amp;RIGHT(B62,2)+1),RIGHT(B62,2)+1)),"")</f>
        <v/>
      </c>
      <c r="D62" t="str">
        <f>IF(OR($F$2&gt;3,$B$2&gt;$S$2,$B$2=$S$2),IF(OR($F$2&gt;3,$B$2&gt;$S$2,$B$2=$S$2),LEFT(C62,4)+1&amp;"/"&amp;IF(LEN(RIGHT(C62,2)+1)&lt;2,("0"&amp;RIGHT(C62,2)+1),RIGHT(C62,2)+1)),"")</f>
        <v/>
      </c>
      <c r="E62" t="str">
        <f>IF(OR($F$2&gt;4,$B$2&gt;$U$2,$B$2=$U$2),IF(OR($F$2&gt;4,$B$2&gt;$U$2,$B$2=$U$2),LEFT(D62,4)+1&amp;"/"&amp;IF(LEN(RIGHT(D62,2)+1)&lt;2,("0"&amp;RIGHT(D62,2)+1),RIGHT(D62,2)+1)),"")</f>
        <v/>
      </c>
      <c r="F62" t="str">
        <f>IF(OR($F$2&gt;5,$B$2&gt;$W$2,$B$2=$W$2),IF(OR($F$2&gt;5,$B$2&gt;$W$2,$B$2=$W$2),LEFT(E62,4)+1&amp;"/"&amp;IF(LEN(RIGHT(E62,2)+1)&lt;2,("0"&amp;RIGHT(E62,2)+1),RIGHT(E62,2)+1)),"")</f>
        <v/>
      </c>
    </row>
    <row r="64" spans="1:11" x14ac:dyDescent="0.25">
      <c r="A64" s="238" t="e">
        <f>A58/$A$5*$A$6</f>
        <v>#VALUE!</v>
      </c>
      <c r="B64" s="238">
        <f>IF($B$5=0,0,(A58-A64))+IF($B$6="",0,(IF($B$5=0,(A58/$A$5*$B$6),IF(AND($B$5&lt;&gt;0,$B$5&lt;12,$B$6&lt;12),B58,IF(AND($B$5&lt;12,$B$6=12),B58/$B$5*$A$6,IF(AND($B$6=12,$B$5=12),(B58/$B$6*$A$6)))))))</f>
        <v>0</v>
      </c>
      <c r="C64" s="238">
        <f>IF($C$5=0,0,(B58-B58/$B$5*$A$6))+IF($C$6="",0,(IF($C$5=0,(B58/$B$5*$C$6),IF(AND($C$5&lt;&gt;0,$C$5&lt;12,$C$6&lt;12),C58,IF(AND($C$5&lt;12,$C$6=12),C58/$C$5*$A$6,IF(AND($C$6=12,$C$5=12),(C58/$C$6*$A$6)))))))</f>
        <v>0</v>
      </c>
      <c r="D64" s="238">
        <f>IF($D$5=0,0,(C58-C58/$C$5*$A$6))+IF($D$6="",0,(IF($D$5=0,(C58/$C$5*$D$6),IF(AND($D$5&lt;&gt;0,$D$5&lt;12,$D$6&lt;12),D58,IF(AND($D$5&lt;12,$D$6=12),D58/$D$5*$A$6,IF(AND($D$6=12,$D$5=12),(D58/$D$6*$A$6)))))))</f>
        <v>0</v>
      </c>
      <c r="E64" s="238">
        <f>IF($E$5=0,0,(D58-D58/$D$5*$A$6))+IF($E$6="",0,(IF($E$5=0,(D58/$D$5*$E$6),IF(AND($E$5&lt;&gt;0,$E$5&lt;12,$E$6&lt;12),E58,IF(AND($E$5&lt;12,$E$6=12),E58/$E$5*$A$6,IF(AND($E$6=12,$E$5=12),(E58/$E$6*$A$6)))))))</f>
        <v>0</v>
      </c>
      <c r="F64" s="238">
        <f>IF($F$5=0,0,(E58-E58/$E$5*$A$6))+IF($F$6="",0,IF($F$5=0,(E58/$E$5*$F$6),F58/$F$5*$A$6))</f>
        <v>0</v>
      </c>
      <c r="H64" s="238" t="e">
        <f>SUM(A64:F64)</f>
        <v>#VALUE!</v>
      </c>
      <c r="I64" t="s">
        <v>314</v>
      </c>
    </row>
    <row r="65" spans="1:11" x14ac:dyDescent="0.25">
      <c r="A65" s="240"/>
      <c r="B65" s="240"/>
      <c r="C65" s="240"/>
      <c r="D65" s="240"/>
      <c r="E65" s="240"/>
      <c r="F65" s="240"/>
    </row>
    <row r="67" spans="1:11" ht="13" x14ac:dyDescent="0.3">
      <c r="A67" s="58" t="str">
        <f>WLM!I36</f>
        <v/>
      </c>
      <c r="C67" s="235"/>
      <c r="D67" s="235"/>
      <c r="K67" s="235"/>
    </row>
    <row r="68" spans="1:11" x14ac:dyDescent="0.25">
      <c r="A68" t="s">
        <v>53</v>
      </c>
      <c r="B68" t="s">
        <v>302</v>
      </c>
      <c r="C68" t="s">
        <v>303</v>
      </c>
      <c r="D68" t="s">
        <v>304</v>
      </c>
      <c r="E68" t="s">
        <v>305</v>
      </c>
      <c r="F68" t="s">
        <v>306</v>
      </c>
    </row>
    <row r="69" spans="1:11" x14ac:dyDescent="0.25">
      <c r="A69" t="s">
        <v>280</v>
      </c>
      <c r="B69" t="s">
        <v>280</v>
      </c>
      <c r="C69" t="s">
        <v>280</v>
      </c>
      <c r="D69" t="s">
        <v>280</v>
      </c>
      <c r="E69" t="s">
        <v>280</v>
      </c>
      <c r="F69" t="s">
        <v>280</v>
      </c>
    </row>
    <row r="70" spans="1:11" x14ac:dyDescent="0.25">
      <c r="A70" t="str">
        <f>WLM!N36</f>
        <v/>
      </c>
    </row>
    <row r="73" spans="1:11" x14ac:dyDescent="0.25">
      <c r="A73" t="s">
        <v>307</v>
      </c>
      <c r="B73" t="s">
        <v>308</v>
      </c>
      <c r="C73" t="s">
        <v>309</v>
      </c>
      <c r="D73" t="s">
        <v>310</v>
      </c>
      <c r="E73" t="s">
        <v>311</v>
      </c>
      <c r="F73" t="s">
        <v>312</v>
      </c>
    </row>
    <row r="74" spans="1:11" x14ac:dyDescent="0.25">
      <c r="A74" t="str">
        <f>IF($F$2=0,"",IF($C$2&lt;8,(RIGHT(TEXT($A$2,"dd/mm/yyyy"),4)-1&amp;"/"&amp;RIGHT(TEXT($A$2,"dd/mm/yyyy"),2)),(RIGHT(TEXT($A$2,"dd/mm/yyyy"),4)&amp;"/"&amp;RIGHT(TEXT($A$2,"dd/mm/yyyy"),2)+1)))</f>
        <v>2019/20</v>
      </c>
      <c r="B74" t="str">
        <f>IF(OR($F$2&gt;1,$B$2&gt;$O$2,$B$2=$O$2),IF(OR($F$2&gt;1,$B$2&gt;$O$2,$B$2=$O$2),LEFT(A74,4)+1&amp;"/"&amp;IF(LEN(RIGHT(A74,2)+1)&lt;2,("0"&amp;RIGHT(A74,2)+1),RIGHT(A74,2)+1)),"")</f>
        <v/>
      </c>
      <c r="C74" t="str">
        <f>IF(OR($F$2&gt;2,$B$2&gt;$Q$2,$B$2=$Q$2),IF(OR($F$2&gt;2,$B$2&gt;$Q$2,$B$2=$Q$2),LEFT(B74,4)+1&amp;"/"&amp;IF(LEN(RIGHT(B74,2)+1)&lt;2,("0"&amp;RIGHT(B74,2)+1),RIGHT(B74,2)+1)),"")</f>
        <v/>
      </c>
      <c r="D74" t="str">
        <f>IF(OR($F$2&gt;3,$B$2&gt;$S$2,$B$2=$S$2),IF(OR($F$2&gt;3,$B$2&gt;$S$2,$B$2=$S$2),LEFT(C74,4)+1&amp;"/"&amp;IF(LEN(RIGHT(C74,2)+1)&lt;2,("0"&amp;RIGHT(C74,2)+1),RIGHT(C74,2)+1)),"")</f>
        <v/>
      </c>
      <c r="E74" t="str">
        <f>IF(OR($F$2&gt;4,$B$2&gt;$U$2,$B$2=$U$2),IF(OR($F$2&gt;4,$B$2&gt;$U$2,$B$2=$U$2),LEFT(D74,4)+1&amp;"/"&amp;IF(LEN(RIGHT(D74,2)+1)&lt;2,("0"&amp;RIGHT(D74,2)+1),RIGHT(D74,2)+1)),"")</f>
        <v/>
      </c>
      <c r="F74" t="str">
        <f>IF(OR($F$2&gt;5,$B$2&gt;$W$2,$B$2=$W$2),IF(OR($F$2&gt;5,$B$2&gt;$W$2,$B$2=$W$2),LEFT(E74,4)+1&amp;"/"&amp;IF(LEN(RIGHT(E74,2)+1)&lt;2,("0"&amp;RIGHT(E74,2)+1),RIGHT(E74,2)+1)),"")</f>
        <v/>
      </c>
    </row>
    <row r="76" spans="1:11" x14ac:dyDescent="0.25">
      <c r="A76" s="238" t="e">
        <f>A70/$A$5*$A$6</f>
        <v>#VALUE!</v>
      </c>
      <c r="B76" s="238">
        <f>IF($B$5=0,0,(A70-A76))+IF($B$6="",0,(IF($B$5=0,(A70/$A$5*$B$6),IF(AND($B$5&lt;&gt;0,$B$5&lt;12,$B$6&lt;12),B70,IF(AND($B$5&lt;12,$B$6=12),B70/$B$5*$A$6,IF(AND($B$6=12,$B$5=12),(B70/$B$6*$A$6)))))))</f>
        <v>0</v>
      </c>
      <c r="C76" s="238">
        <f>IF($C$5=0,0,(B70-B70/$B$5*$A$6))+IF($C$6="",0,(IF($C$5=0,(B70/$B$5*$C$6),IF(AND($C$5&lt;&gt;0,$C$5&lt;12,$C$6&lt;12),C70,IF(AND($C$5&lt;12,$C$6=12),C70/$C$5*$A$6,IF(AND($C$6=12,$C$5=12),(C70/$C$6*$A$6)))))))</f>
        <v>0</v>
      </c>
      <c r="D76" s="238">
        <f>IF($D$5=0,0,(C70-C70/$C$5*$A$6))+IF($D$6="",0,(IF($D$5=0,(C70/$C$5*$D$6),IF(AND($D$5&lt;&gt;0,$D$5&lt;12,$D$6&lt;12),D70,IF(AND($D$5&lt;12,$D$6=12),D70/$D$5*$A$6,IF(AND($D$6=12,$D$5=12),(D70/$D$6*$A$6)))))))</f>
        <v>0</v>
      </c>
      <c r="E76" s="238">
        <f>IF($E$5=0,0,(D70-D70/$D$5*$A$6))+IF($E$6="",0,(IF($E$5=0,(D70/$D$5*$E$6),IF(AND($E$5&lt;&gt;0,$E$5&lt;12,$E$6&lt;12),E70,IF(AND($E$5&lt;12,$E$6=12),E70/$E$5*$A$6,IF(AND($E$6=12,$E$5=12),(E70/$E$6*$A$6)))))))</f>
        <v>0</v>
      </c>
      <c r="F76" s="238">
        <f>IF($F$5=0,0,(E70-E70/$E$5*$A$6))+IF($F$6="",0,IF($F$5=0,(E70/$E$5*$F$6),F70/$F$5*$A$6))</f>
        <v>0</v>
      </c>
      <c r="H76" s="238" t="e">
        <f>SUM(A76:F76)</f>
        <v>#VALUE!</v>
      </c>
      <c r="I76" t="s">
        <v>314</v>
      </c>
    </row>
    <row r="77" spans="1:11" x14ac:dyDescent="0.25">
      <c r="A77" s="240"/>
      <c r="B77" s="240"/>
      <c r="C77" s="240"/>
      <c r="D77" s="240"/>
      <c r="E77" s="240"/>
      <c r="F77" s="240"/>
    </row>
    <row r="79" spans="1:11" ht="13" x14ac:dyDescent="0.3">
      <c r="A79" s="58" t="str">
        <f>WLM!I38</f>
        <v/>
      </c>
      <c r="C79" s="235"/>
      <c r="D79" s="235"/>
      <c r="K79" s="235"/>
    </row>
    <row r="80" spans="1:11" x14ac:dyDescent="0.25">
      <c r="A80" t="s">
        <v>53</v>
      </c>
      <c r="B80" t="s">
        <v>302</v>
      </c>
      <c r="C80" t="s">
        <v>303</v>
      </c>
      <c r="D80" t="s">
        <v>304</v>
      </c>
      <c r="E80" t="s">
        <v>305</v>
      </c>
      <c r="F80" t="s">
        <v>306</v>
      </c>
    </row>
    <row r="81" spans="1:11" x14ac:dyDescent="0.25">
      <c r="A81" t="s">
        <v>280</v>
      </c>
      <c r="B81" t="s">
        <v>280</v>
      </c>
      <c r="C81" t="s">
        <v>280</v>
      </c>
      <c r="D81" t="s">
        <v>280</v>
      </c>
      <c r="E81" t="s">
        <v>280</v>
      </c>
      <c r="F81" t="s">
        <v>280</v>
      </c>
    </row>
    <row r="82" spans="1:11" x14ac:dyDescent="0.25">
      <c r="A82" t="str">
        <f>WLM!N38</f>
        <v/>
      </c>
    </row>
    <row r="85" spans="1:11" x14ac:dyDescent="0.25">
      <c r="A85" t="s">
        <v>307</v>
      </c>
      <c r="B85" t="s">
        <v>308</v>
      </c>
      <c r="C85" t="s">
        <v>309</v>
      </c>
      <c r="D85" t="s">
        <v>310</v>
      </c>
      <c r="E85" t="s">
        <v>311</v>
      </c>
      <c r="F85" t="s">
        <v>312</v>
      </c>
    </row>
    <row r="86" spans="1:11" x14ac:dyDescent="0.25">
      <c r="A86" t="str">
        <f>IF($F$2=0,"",IF($C$2&lt;8,(RIGHT(TEXT($A$2,"dd/mm/yyyy"),4)-1&amp;"/"&amp;RIGHT(TEXT($A$2,"dd/mm/yyyy"),2)),(RIGHT(TEXT($A$2,"dd/mm/yyyy"),4)&amp;"/"&amp;RIGHT(TEXT($A$2,"dd/mm/yyyy"),2)+1)))</f>
        <v>2019/20</v>
      </c>
      <c r="B86" t="str">
        <f>IF(OR($F$2&gt;1,$B$2&gt;$O$2,$B$2=$O$2),IF(OR($F$2&gt;1,$B$2&gt;$O$2,$B$2=$O$2),LEFT(A86,4)+1&amp;"/"&amp;IF(LEN(RIGHT(A86,2)+1)&lt;2,("0"&amp;RIGHT(A86,2)+1),RIGHT(A86,2)+1)),"")</f>
        <v/>
      </c>
      <c r="C86" t="str">
        <f>IF(OR($F$2&gt;2,$B$2&gt;$Q$2,$B$2=$Q$2),IF(OR($F$2&gt;2,$B$2&gt;$Q$2,$B$2=$Q$2),LEFT(B86,4)+1&amp;"/"&amp;IF(LEN(RIGHT(B86,2)+1)&lt;2,("0"&amp;RIGHT(B86,2)+1),RIGHT(B86,2)+1)),"")</f>
        <v/>
      </c>
      <c r="D86" t="str">
        <f>IF(OR($F$2&gt;3,$B$2&gt;$S$2,$B$2=$S$2),IF(OR($F$2&gt;3,$B$2&gt;$S$2,$B$2=$S$2),LEFT(C86,4)+1&amp;"/"&amp;IF(LEN(RIGHT(C86,2)+1)&lt;2,("0"&amp;RIGHT(C86,2)+1),RIGHT(C86,2)+1)),"")</f>
        <v/>
      </c>
      <c r="E86" t="str">
        <f>IF(OR($F$2&gt;4,$B$2&gt;$U$2,$B$2=$U$2),IF(OR($F$2&gt;4,$B$2&gt;$U$2,$B$2=$U$2),LEFT(D86,4)+1&amp;"/"&amp;IF(LEN(RIGHT(D86,2)+1)&lt;2,("0"&amp;RIGHT(D86,2)+1),RIGHT(D86,2)+1)),"")</f>
        <v/>
      </c>
      <c r="F86" t="str">
        <f>IF(OR($F$2&gt;5,$B$2&gt;$W$2,$B$2=$W$2),IF(OR($F$2&gt;5,$B$2&gt;$W$2,$B$2=$W$2),LEFT(E86,4)+1&amp;"/"&amp;IF(LEN(RIGHT(E86,2)+1)&lt;2,("0"&amp;RIGHT(E86,2)+1),RIGHT(E86,2)+1)),"")</f>
        <v/>
      </c>
    </row>
    <row r="88" spans="1:11" x14ac:dyDescent="0.25">
      <c r="A88" s="238" t="e">
        <f>A82/$A$5*$A$6</f>
        <v>#VALUE!</v>
      </c>
      <c r="B88" s="238">
        <f>IF($B$5=0,0,(A82-A88))+IF($B$6="",0,(IF($B$5=0,(A82/$A$5*$B$6),IF(AND($B$5&lt;&gt;0,$B$5&lt;12,$B$6&lt;12),B82,IF(AND($B$5&lt;12,$B$6=12),B82/$B$5*$A$6,IF(AND($B$6=12,$B$5=12),(B82/$B$6*$A$6)))))))</f>
        <v>0</v>
      </c>
      <c r="C88" s="238">
        <f>IF($C$5=0,0,(B82-B82/$B$5*$A$6))+IF($C$6="",0,(IF($C$5=0,(B82/$B$5*$C$6),IF(AND($C$5&lt;&gt;0,$C$5&lt;12,$C$6&lt;12),C82,IF(AND($C$5&lt;12,$C$6=12),C82/$C$5*$A$6,IF(AND($C$6=12,$C$5=12),(C82/$C$6*$A$6)))))))</f>
        <v>0</v>
      </c>
      <c r="D88" s="238">
        <f>IF($D$5=0,0,(C82-C82/$C$5*$A$6))+IF($D$6="",0,(IF($D$5=0,(C82/$C$5*$D$6),IF(AND($D$5&lt;&gt;0,$D$5&lt;12,$D$6&lt;12),D82,IF(AND($D$5&lt;12,$D$6=12),D82/$D$5*$A$6,IF(AND($D$6=12,$D$5=12),(D82/$D$6*$A$6)))))))</f>
        <v>0</v>
      </c>
      <c r="E88" s="238">
        <f>IF($E$5=0,0,(D82-D82/$D$5*$A$6))+IF($E$6="",0,(IF($E$5=0,(D82/$D$5*$E$6),IF(AND($E$5&lt;&gt;0,$E$5&lt;12,$E$6&lt;12),E82,IF(AND($E$5&lt;12,$E$6=12),E82/$E$5*$A$6,IF(AND($E$6=12,$E$5=12),(E82/$E$6*$A$6)))))))</f>
        <v>0</v>
      </c>
      <c r="F88" s="238">
        <f>IF($F$5=0,0,(E82-E82/$E$5*$A$6))+IF($F$6="",0,IF($F$5=0,(E82/$E$5*$F$6),F82/$F$5*$A$6))</f>
        <v>0</v>
      </c>
      <c r="H88" s="238" t="e">
        <f>SUM(A88:F88)</f>
        <v>#VALUE!</v>
      </c>
      <c r="I88" t="s">
        <v>314</v>
      </c>
    </row>
    <row r="89" spans="1:11" x14ac:dyDescent="0.25">
      <c r="A89" s="240"/>
      <c r="B89" s="240"/>
      <c r="C89" s="240"/>
      <c r="D89" s="240"/>
      <c r="E89" s="240"/>
      <c r="F89" s="240"/>
    </row>
    <row r="91" spans="1:11" ht="13" x14ac:dyDescent="0.3">
      <c r="A91" s="58" t="str">
        <f>WLM!I40</f>
        <v/>
      </c>
      <c r="C91" s="235"/>
      <c r="D91" s="235"/>
      <c r="K91" s="235"/>
    </row>
    <row r="92" spans="1:11" x14ac:dyDescent="0.25">
      <c r="A92" t="s">
        <v>53</v>
      </c>
      <c r="B92" t="s">
        <v>302</v>
      </c>
      <c r="C92" t="s">
        <v>303</v>
      </c>
      <c r="D92" t="s">
        <v>304</v>
      </c>
      <c r="E92" t="s">
        <v>305</v>
      </c>
      <c r="F92" t="s">
        <v>306</v>
      </c>
    </row>
    <row r="93" spans="1:11" x14ac:dyDescent="0.25">
      <c r="A93" t="s">
        <v>280</v>
      </c>
      <c r="B93" t="s">
        <v>280</v>
      </c>
      <c r="C93" t="s">
        <v>280</v>
      </c>
      <c r="D93" t="s">
        <v>280</v>
      </c>
      <c r="E93" t="s">
        <v>280</v>
      </c>
      <c r="F93" t="s">
        <v>280</v>
      </c>
    </row>
    <row r="94" spans="1:11" x14ac:dyDescent="0.25">
      <c r="A94" t="str">
        <f>WLM!N40</f>
        <v/>
      </c>
    </row>
    <row r="95" spans="1:11" x14ac:dyDescent="0.25">
      <c r="A95" s="2"/>
      <c r="B95" s="2"/>
      <c r="C95" s="2"/>
      <c r="D95" s="2"/>
      <c r="E95" s="2"/>
      <c r="F95" s="2"/>
    </row>
    <row r="97" spans="1:11" x14ac:dyDescent="0.25">
      <c r="A97" t="s">
        <v>307</v>
      </c>
      <c r="B97" t="s">
        <v>308</v>
      </c>
      <c r="C97" t="s">
        <v>309</v>
      </c>
      <c r="D97" t="s">
        <v>310</v>
      </c>
      <c r="E97" t="s">
        <v>311</v>
      </c>
      <c r="F97" t="s">
        <v>312</v>
      </c>
    </row>
    <row r="98" spans="1:11" x14ac:dyDescent="0.25">
      <c r="A98" t="str">
        <f>IF($F$2=0,"",IF($C$2&lt;8,(RIGHT(TEXT($A$2,"dd/mm/yyyy"),4)-1&amp;"/"&amp;RIGHT(TEXT($A$2,"dd/mm/yyyy"),2)),(RIGHT(TEXT($A$2,"dd/mm/yyyy"),4)&amp;"/"&amp;RIGHT(TEXT($A$2,"dd/mm/yyyy"),2)+1)))</f>
        <v>2019/20</v>
      </c>
      <c r="B98" t="str">
        <f>IF(OR($F$2&gt;1,$B$2&gt;$O$2,$B$2=$O$2),IF(OR($F$2&gt;1,$B$2&gt;$O$2,$B$2=$O$2),LEFT(A98,4)+1&amp;"/"&amp;IF(LEN(RIGHT(A98,2)+1)&lt;2,("0"&amp;RIGHT(A98,2)+1),RIGHT(A98,2)+1)),"")</f>
        <v/>
      </c>
      <c r="C98" t="str">
        <f>IF(OR($F$2&gt;2,$B$2&gt;$Q$2,$B$2=$Q$2),IF(OR($F$2&gt;2,$B$2&gt;$Q$2,$B$2=$Q$2),LEFT(B98,4)+1&amp;"/"&amp;IF(LEN(RIGHT(B98,2)+1)&lt;2,("0"&amp;RIGHT(B98,2)+1),RIGHT(B98,2)+1)),"")</f>
        <v/>
      </c>
      <c r="D98" t="str">
        <f>IF(OR($F$2&gt;3,$B$2&gt;$S$2,$B$2=$S$2),IF(OR($F$2&gt;3,$B$2&gt;$S$2,$B$2=$S$2),LEFT(C98,4)+1&amp;"/"&amp;IF(LEN(RIGHT(C98,2)+1)&lt;2,("0"&amp;RIGHT(C98,2)+1),RIGHT(C98,2)+1)),"")</f>
        <v/>
      </c>
      <c r="E98" t="str">
        <f>IF(OR($F$2&gt;4,$B$2&gt;$U$2,$B$2=$U$2),IF(OR($F$2&gt;4,$B$2&gt;$U$2,$B$2=$U$2),LEFT(D98,4)+1&amp;"/"&amp;IF(LEN(RIGHT(D98,2)+1)&lt;2,("0"&amp;RIGHT(D98,2)+1),RIGHT(D98,2)+1)),"")</f>
        <v/>
      </c>
      <c r="F98" t="str">
        <f>IF(OR($F$2&gt;5,$B$2&gt;$W$2,$B$2=$W$2),IF(OR($F$2&gt;5,$B$2&gt;$W$2,$B$2=$W$2),LEFT(E98,4)+1&amp;"/"&amp;IF(LEN(RIGHT(E98,2)+1)&lt;2,("0"&amp;RIGHT(E98,2)+1),RIGHT(E98,2)+1)),"")</f>
        <v/>
      </c>
    </row>
    <row r="100" spans="1:11" x14ac:dyDescent="0.25">
      <c r="A100" s="238" t="e">
        <f>A94/$A$5*$A$6</f>
        <v>#VALUE!</v>
      </c>
      <c r="B100" s="238">
        <f>IF($B$5=0,0,(A94-A100))+IF($B$6="",0,(IF($B$5=0,(A94/$A$5*$B$6),IF(AND($B$5&lt;&gt;0,$B$5&lt;12,$B$6&lt;12),B94,IF(AND($B$5&lt;12,$B$6=12),B94/$B$5*$A$6,IF(AND($B$6=12,$B$5=12),(B94/$B$6*$A$6)))))))</f>
        <v>0</v>
      </c>
      <c r="C100" s="238">
        <f>IF($C$5=0,0,(B94-B94/$B$5*$A$6))+IF($C$6="",0,(IF($C$5=0,(B94/$B$5*$C$6),IF(AND($C$5&lt;&gt;0,$C$5&lt;12,$C$6&lt;12),C94,IF(AND($C$5&lt;12,$C$6=12),C94/$C$5*$A$6,IF(AND($C$6=12,$C$5=12),(C94/$C$6*$A$6)))))))</f>
        <v>0</v>
      </c>
      <c r="D100" s="238">
        <f>IF($D$5=0,0,(C94-C94/$C$5*$A$6))+IF($D$6="",0,(IF($D$5=0,(C94/$C$5*$D$6),IF(AND($D$5&lt;&gt;0,$D$5&lt;12,$D$6&lt;12),D94,IF(AND($D$5&lt;12,$D$6=12),D94/$D$5*$A$6,IF(AND($D$6=12,$D$5=12),(D94/$D$6*$A$6)))))))</f>
        <v>0</v>
      </c>
      <c r="E100" s="238">
        <f>IF($E$5=0,0,(D94-D94/$D$5*$A$6))+IF($E$6="",0,(IF($E$5=0,(D94/$D$5*$E$6),IF(AND($E$5&lt;&gt;0,$E$5&lt;12,$E$6&lt;12),E94,IF(AND($E$5&lt;12,$E$6=12),E94/$E$5*$A$6,IF(AND($E$6=12,$E$5=12),(E94/$E$6*$A$6)))))))</f>
        <v>0</v>
      </c>
      <c r="F100" s="238">
        <f>IF($F$5=0,0,(E94-E94/$E$5*$A$6))+IF($F$6="",0,IF($F$5=0,(E94/$E$5*$F$6),F94/$F$5*$A$6))</f>
        <v>0</v>
      </c>
      <c r="H100" s="238" t="e">
        <f>SUM(A100:F100)</f>
        <v>#VALUE!</v>
      </c>
      <c r="I100" t="s">
        <v>314</v>
      </c>
    </row>
    <row r="101" spans="1:11" x14ac:dyDescent="0.25">
      <c r="A101" s="240"/>
      <c r="B101" s="240"/>
      <c r="C101" s="240"/>
      <c r="D101" s="240"/>
      <c r="E101" s="240"/>
      <c r="F101" s="240"/>
    </row>
    <row r="103" spans="1:11" ht="13" x14ac:dyDescent="0.3">
      <c r="A103" s="58"/>
      <c r="C103" s="235"/>
      <c r="D103" s="235"/>
      <c r="K103" s="235"/>
    </row>
    <row r="112" spans="1:11" x14ac:dyDescent="0.25">
      <c r="A112" s="238"/>
      <c r="B112" s="238"/>
      <c r="C112" s="238"/>
      <c r="D112" s="238"/>
      <c r="E112" s="238"/>
      <c r="F112" s="238"/>
      <c r="H112" s="238"/>
    </row>
    <row r="113" spans="1:11" x14ac:dyDescent="0.25">
      <c r="A113" s="240"/>
      <c r="B113" s="240"/>
      <c r="C113" s="240"/>
      <c r="D113" s="240"/>
      <c r="E113" s="240"/>
      <c r="F113" s="240"/>
    </row>
    <row r="115" spans="1:11" ht="13" x14ac:dyDescent="0.3">
      <c r="A115" s="58"/>
      <c r="C115" s="235"/>
      <c r="D115" s="235"/>
      <c r="K115" s="235"/>
    </row>
    <row r="124" spans="1:11" x14ac:dyDescent="0.25">
      <c r="A124" s="238"/>
      <c r="B124" s="238"/>
      <c r="C124" s="238"/>
      <c r="D124" s="238"/>
      <c r="E124" s="238"/>
      <c r="F124" s="238"/>
      <c r="H124" s="238"/>
    </row>
    <row r="125" spans="1:11" x14ac:dyDescent="0.25">
      <c r="A125" s="240"/>
      <c r="B125" s="240"/>
      <c r="C125" s="240"/>
      <c r="D125" s="240"/>
      <c r="E125" s="240"/>
      <c r="F125" s="240"/>
    </row>
    <row r="127" spans="1:11" ht="13" x14ac:dyDescent="0.3">
      <c r="A127" s="58"/>
      <c r="C127" s="235"/>
      <c r="D127" s="235"/>
      <c r="K127" s="235"/>
    </row>
    <row r="136" spans="1:11" x14ac:dyDescent="0.25">
      <c r="A136" s="238"/>
      <c r="B136" s="238"/>
      <c r="C136" s="238"/>
      <c r="D136" s="238"/>
      <c r="E136" s="238"/>
      <c r="F136" s="238"/>
      <c r="H136" s="238"/>
    </row>
    <row r="137" spans="1:11" x14ac:dyDescent="0.25">
      <c r="A137" s="240"/>
      <c r="B137" s="240"/>
      <c r="C137" s="240"/>
      <c r="D137" s="240"/>
      <c r="E137" s="240"/>
      <c r="F137" s="240"/>
    </row>
    <row r="139" spans="1:11" ht="13" x14ac:dyDescent="0.3">
      <c r="A139" s="58"/>
      <c r="C139" s="235"/>
      <c r="D139" s="235"/>
      <c r="K139" s="235"/>
    </row>
    <row r="148" spans="1:8" x14ac:dyDescent="0.25">
      <c r="A148" s="238"/>
      <c r="B148" s="238"/>
      <c r="C148" s="238"/>
      <c r="D148" s="238"/>
      <c r="E148" s="238"/>
      <c r="F148" s="238"/>
      <c r="H148" s="23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DD536E52F9EE40BCBDEA43D8C5F64C" ma:contentTypeVersion="13" ma:contentTypeDescription="Create a new document." ma:contentTypeScope="" ma:versionID="86f67e0da96d3ff6bc5b2bdb0416b133">
  <xsd:schema xmlns:xsd="http://www.w3.org/2001/XMLSchema" xmlns:xs="http://www.w3.org/2001/XMLSchema" xmlns:p="http://schemas.microsoft.com/office/2006/metadata/properties" xmlns:ns3="82b1e389-efeb-465a-ae5c-19858e0203ad" xmlns:ns4="dd66e7de-ab2a-4a0f-9db8-fe0f5f56f568" targetNamespace="http://schemas.microsoft.com/office/2006/metadata/properties" ma:root="true" ma:fieldsID="853caaeda93770cf01d821396696abbd" ns3:_="" ns4:_="">
    <xsd:import namespace="82b1e389-efeb-465a-ae5c-19858e0203ad"/>
    <xsd:import namespace="dd66e7de-ab2a-4a0f-9db8-fe0f5f56f56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1e389-efeb-465a-ae5c-19858e0203a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66e7de-ab2a-4a0f-9db8-fe0f5f56f56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1AECE1-0DE8-42EE-B353-2D11FF0F986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2b1e389-efeb-465a-ae5c-19858e0203ad"/>
    <ds:schemaRef ds:uri="http://purl.org/dc/terms/"/>
    <ds:schemaRef ds:uri="http://schemas.openxmlformats.org/package/2006/metadata/core-properties"/>
    <ds:schemaRef ds:uri="dd66e7de-ab2a-4a0f-9db8-fe0f5f56f568"/>
    <ds:schemaRef ds:uri="http://www.w3.org/XML/1998/namespace"/>
    <ds:schemaRef ds:uri="http://purl.org/dc/dcmitype/"/>
  </ds:schemaRefs>
</ds:datastoreItem>
</file>

<file path=customXml/itemProps2.xml><?xml version="1.0" encoding="utf-8"?>
<ds:datastoreItem xmlns:ds="http://schemas.openxmlformats.org/officeDocument/2006/customXml" ds:itemID="{4FB3A4F4-214C-4B7E-94E4-EF7602B0930E}">
  <ds:schemaRefs>
    <ds:schemaRef ds:uri="http://schemas.microsoft.com/sharepoint/v3/contenttype/forms"/>
  </ds:schemaRefs>
</ds:datastoreItem>
</file>

<file path=customXml/itemProps3.xml><?xml version="1.0" encoding="utf-8"?>
<ds:datastoreItem xmlns:ds="http://schemas.openxmlformats.org/officeDocument/2006/customXml" ds:itemID="{414A865A-A0E5-4CE7-B07E-35C914037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1e389-efeb-465a-ae5c-19858e0203ad"/>
    <ds:schemaRef ds:uri="dd66e7de-ab2a-4a0f-9db8-fe0f5f56f5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59</vt:i4>
      </vt:variant>
    </vt:vector>
  </HeadingPairs>
  <TitlesOfParts>
    <vt:vector size="69" baseType="lpstr">
      <vt:lpstr>Guidelines</vt:lpstr>
      <vt:lpstr>Project Details</vt:lpstr>
      <vt:lpstr>Staff Analysis (DA)</vt:lpstr>
      <vt:lpstr>WLM</vt:lpstr>
      <vt:lpstr>FTE Calculators</vt:lpstr>
      <vt:lpstr>Day Rates</vt:lpstr>
      <vt:lpstr>lists</vt:lpstr>
      <vt:lpstr>fte costs</vt:lpstr>
      <vt:lpstr>staff calcs</vt:lpstr>
      <vt:lpstr>wlm calcs</vt:lpstr>
      <vt:lpstr>ACE</vt:lpstr>
      <vt:lpstr>allstaff</vt:lpstr>
      <vt:lpstr>allstafffec</vt:lpstr>
      <vt:lpstr>basic</vt:lpstr>
      <vt:lpstr>basiccost</vt:lpstr>
      <vt:lpstr>CAHE</vt:lpstr>
      <vt:lpstr>category</vt:lpstr>
      <vt:lpstr>convert</vt:lpstr>
      <vt:lpstr>convert2</vt:lpstr>
      <vt:lpstr>CS</vt:lpstr>
      <vt:lpstr>currency</vt:lpstr>
      <vt:lpstr>dates</vt:lpstr>
      <vt:lpstr>Department</vt:lpstr>
      <vt:lpstr>dept</vt:lpstr>
      <vt:lpstr>facshort</vt:lpstr>
      <vt:lpstr>Faculty</vt:lpstr>
      <vt:lpstr>Facultyshort</vt:lpstr>
      <vt:lpstr>FBL</vt:lpstr>
      <vt:lpstr>FET</vt:lpstr>
      <vt:lpstr>FHS</vt:lpstr>
      <vt:lpstr>fscheme</vt:lpstr>
      <vt:lpstr>ftecalc</vt:lpstr>
      <vt:lpstr>ftecosts</vt:lpstr>
      <vt:lpstr>ftedates</vt:lpstr>
      <vt:lpstr>grade</vt:lpstr>
      <vt:lpstr>gradesp</vt:lpstr>
      <vt:lpstr>HAS</vt:lpstr>
      <vt:lpstr>HLS</vt:lpstr>
      <vt:lpstr>incstaff</vt:lpstr>
      <vt:lpstr>incstafffec</vt:lpstr>
      <vt:lpstr>ni</vt:lpstr>
      <vt:lpstr>nicost</vt:lpstr>
      <vt:lpstr>nonpay</vt:lpstr>
      <vt:lpstr>Guidelines!OLE_LINK1</vt:lpstr>
      <vt:lpstr>overtime</vt:lpstr>
      <vt:lpstr>overtimeb</vt:lpstr>
      <vt:lpstr>overtimec</vt:lpstr>
      <vt:lpstr>overtimed</vt:lpstr>
      <vt:lpstr>pension</vt:lpstr>
      <vt:lpstr>pensioncost</vt:lpstr>
      <vt:lpstr>pertime</vt:lpstr>
      <vt:lpstr>pertimea</vt:lpstr>
      <vt:lpstr>pertimeb</vt:lpstr>
      <vt:lpstr>pertimec</vt:lpstr>
      <vt:lpstr>pertimed</vt:lpstr>
      <vt:lpstr>'FTE Calculators'!Print_Area</vt:lpstr>
      <vt:lpstr>Guidelines!Print_Area</vt:lpstr>
      <vt:lpstr>'Project Details'!Print_Area</vt:lpstr>
      <vt:lpstr>'staff calcs'!Print_Area</vt:lpstr>
      <vt:lpstr>WLM!Print_Area</vt:lpstr>
      <vt:lpstr>RBI</vt:lpstr>
      <vt:lpstr>staffcost</vt:lpstr>
      <vt:lpstr>subcategory</vt:lpstr>
      <vt:lpstr>time</vt:lpstr>
      <vt:lpstr>VAT</vt:lpstr>
      <vt:lpstr>VATSTATUS</vt:lpstr>
      <vt:lpstr>VATSTATUS2</vt:lpstr>
      <vt:lpstr>wlmstaff</vt:lpstr>
      <vt:lpstr>yn</vt:lpstr>
    </vt:vector>
  </TitlesOfParts>
  <Company>UWE, Bristol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rg-dewfall</dc:creator>
  <cp:lastModifiedBy>Adriaan Van Niekerk</cp:lastModifiedBy>
  <cp:lastPrinted>2014-07-10T11:05:24Z</cp:lastPrinted>
  <dcterms:created xsi:type="dcterms:W3CDTF">2005-06-21T12:40:24Z</dcterms:created>
  <dcterms:modified xsi:type="dcterms:W3CDTF">2020-06-16T10:38:20Z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0x01010069DD536E52F9EE40BCBDEA43D8C5F64C</vt:lpwstr>
  </property>
  <property fmtid="{D5CDD505-2E9C-101B-9397-08002B2CF9AE}" pid="3" name="_dlc_DocIdItemGuid">
    <vt:lpwstr>fec1e64b-f49e-4340-a52f-1303b1efd3bf</vt:lpwstr>
  </property>
</Properties>
</file>