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G:\My Drive\_ARCTIC_FIRES\_CODE\R1\CLEANED\MAIN\validation\"/>
    </mc:Choice>
  </mc:AlternateContent>
  <xr:revisionPtr revIDLastSave="0" documentId="13_ncr:1_{12FE4704-72A4-475F-8A16-A275D7E23ABC}" xr6:coauthVersionLast="47" xr6:coauthVersionMax="47" xr10:uidLastSave="{00000000-0000-0000-0000-000000000000}"/>
  <bookViews>
    <workbookView xWindow="-60" yWindow="-16320" windowWidth="29040" windowHeight="16440" tabRatio="764" firstSheet="2" activeTab="6" xr2:uid="{00000000-000D-0000-FFFF-FFFF00000000}"/>
  </bookViews>
  <sheets>
    <sheet name="BA_GEE" sheetId="4" r:id="rId1"/>
    <sheet name="REFDATASET_correction" sheetId="5" r:id="rId2"/>
    <sheet name="S2-TM_3classes" sheetId="12" r:id="rId3"/>
    <sheet name="Landsat-TM_3classes" sheetId="13" r:id="rId4"/>
    <sheet name="MODIS_3classes" sheetId="14" r:id="rId5"/>
    <sheet name="C3SBA10_3classes" sheetId="17" r:id="rId6"/>
    <sheet name="Summary AE 2019" sheetId="10" r:id="rId7"/>
    <sheet name="Summary AE 2020" sheetId="15" r:id="rId8"/>
    <sheet name="Summary_table" sheetId="16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0" l="1"/>
  <c r="B7" i="10"/>
  <c r="B7" i="15"/>
  <c r="C7" i="15"/>
  <c r="D17" i="16"/>
  <c r="E18" i="16"/>
  <c r="D18" i="16"/>
  <c r="J16" i="16"/>
  <c r="D4" i="16"/>
  <c r="D12" i="16"/>
  <c r="W25" i="17"/>
  <c r="X25" i="17"/>
  <c r="X24" i="14"/>
  <c r="W24" i="17"/>
  <c r="X24" i="17"/>
  <c r="F25" i="16"/>
  <c r="H5" i="14"/>
  <c r="F10" i="16" s="1"/>
  <c r="B36" i="5"/>
  <c r="C33" i="5"/>
  <c r="B25" i="5"/>
  <c r="B24" i="5"/>
  <c r="B23" i="5"/>
  <c r="F17" i="16"/>
  <c r="F16" i="16"/>
  <c r="G17" i="16"/>
  <c r="E16" i="16"/>
  <c r="D16" i="16"/>
  <c r="G16" i="16"/>
  <c r="E17" i="16"/>
  <c r="D13" i="16"/>
  <c r="D3" i="16"/>
  <c r="G3" i="16"/>
  <c r="F26" i="16"/>
  <c r="G11" i="16"/>
  <c r="D11" i="16"/>
  <c r="D10" i="16"/>
  <c r="B6" i="15"/>
  <c r="B5" i="15"/>
  <c r="B4" i="15"/>
  <c r="B3" i="15"/>
  <c r="B6" i="10"/>
  <c r="B5" i="10"/>
  <c r="B4" i="10"/>
  <c r="B3" i="10"/>
  <c r="E26" i="17"/>
  <c r="E25" i="17"/>
  <c r="D25" i="17"/>
  <c r="J25" i="17" s="1"/>
  <c r="K25" i="17" s="1"/>
  <c r="L25" i="17" s="1"/>
  <c r="D23" i="17"/>
  <c r="H15" i="17"/>
  <c r="G7" i="17"/>
  <c r="F7" i="17"/>
  <c r="E7" i="17"/>
  <c r="D7" i="17"/>
  <c r="K6" i="17"/>
  <c r="H6" i="17"/>
  <c r="G6" i="17"/>
  <c r="K5" i="17"/>
  <c r="H5" i="17"/>
  <c r="G10" i="16" s="1"/>
  <c r="G5" i="17"/>
  <c r="G4" i="17"/>
  <c r="E26" i="14"/>
  <c r="E25" i="14"/>
  <c r="D25" i="14"/>
  <c r="J25" i="14" s="1"/>
  <c r="K25" i="14" s="1"/>
  <c r="L25" i="14" s="1"/>
  <c r="D23" i="14"/>
  <c r="H15" i="14"/>
  <c r="F7" i="14"/>
  <c r="E7" i="14"/>
  <c r="D7" i="14"/>
  <c r="K6" i="14"/>
  <c r="H6" i="14"/>
  <c r="F11" i="16" s="1"/>
  <c r="G6" i="14"/>
  <c r="K5" i="14"/>
  <c r="G5" i="14"/>
  <c r="G4" i="14"/>
  <c r="E24" i="14" s="1"/>
  <c r="D23" i="13"/>
  <c r="H15" i="13"/>
  <c r="F7" i="13"/>
  <c r="E7" i="13"/>
  <c r="D7" i="13"/>
  <c r="H6" i="13"/>
  <c r="E11" i="16" s="1"/>
  <c r="G6" i="13"/>
  <c r="H5" i="13"/>
  <c r="E10" i="16" s="1"/>
  <c r="G5" i="13"/>
  <c r="G4" i="13"/>
  <c r="E24" i="13" s="1"/>
  <c r="E25" i="12"/>
  <c r="D23" i="12"/>
  <c r="H15" i="12"/>
  <c r="I14" i="12"/>
  <c r="H7" i="12"/>
  <c r="F7" i="12"/>
  <c r="E7" i="12"/>
  <c r="D7" i="12"/>
  <c r="K6" i="12"/>
  <c r="D26" i="12" s="1"/>
  <c r="H6" i="12"/>
  <c r="I6" i="12" s="1"/>
  <c r="C26" i="12" s="1"/>
  <c r="G6" i="12"/>
  <c r="D14" i="12" s="1"/>
  <c r="K5" i="12"/>
  <c r="D25" i="12" s="1"/>
  <c r="J25" i="12" s="1"/>
  <c r="K25" i="12" s="1"/>
  <c r="L25" i="12" s="1"/>
  <c r="H5" i="12"/>
  <c r="G5" i="12"/>
  <c r="G4" i="12"/>
  <c r="G7" i="12" s="1"/>
  <c r="G34" i="5"/>
  <c r="C34" i="5"/>
  <c r="G33" i="5"/>
  <c r="G32" i="5"/>
  <c r="C32" i="5"/>
  <c r="G31" i="5"/>
  <c r="D31" i="5"/>
  <c r="E31" i="5" s="1"/>
  <c r="C31" i="5"/>
  <c r="I8" i="5"/>
  <c r="J8" i="5" s="1"/>
  <c r="G22" i="5"/>
  <c r="F22" i="5"/>
  <c r="G21" i="5"/>
  <c r="F21" i="5"/>
  <c r="H7" i="14" s="1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I5" i="5"/>
  <c r="H5" i="5"/>
  <c r="E16" i="4"/>
  <c r="D16" i="4"/>
  <c r="C16" i="4"/>
  <c r="B16" i="4"/>
  <c r="D11" i="4"/>
  <c r="F6" i="16" l="1"/>
  <c r="I12" i="14"/>
  <c r="I14" i="14"/>
  <c r="I13" i="14"/>
  <c r="H4" i="14"/>
  <c r="H7" i="17"/>
  <c r="K4" i="17"/>
  <c r="E24" i="17"/>
  <c r="K5" i="13"/>
  <c r="I5" i="14"/>
  <c r="E26" i="13"/>
  <c r="D6" i="16"/>
  <c r="I10" i="5"/>
  <c r="J10" i="5" s="1"/>
  <c r="I15" i="5"/>
  <c r="J15" i="5" s="1"/>
  <c r="I14" i="5"/>
  <c r="J14" i="5" s="1"/>
  <c r="I19" i="5"/>
  <c r="J19" i="5" s="1"/>
  <c r="I7" i="5"/>
  <c r="J7" i="5" s="1"/>
  <c r="I12" i="5"/>
  <c r="J12" i="5" s="1"/>
  <c r="D32" i="5"/>
  <c r="E32" i="5" s="1"/>
  <c r="D34" i="5"/>
  <c r="E34" i="5" s="1"/>
  <c r="D33" i="5"/>
  <c r="E33" i="5" s="1"/>
  <c r="K6" i="13"/>
  <c r="D26" i="14"/>
  <c r="J26" i="14" s="1"/>
  <c r="K26" i="14" s="1"/>
  <c r="L26" i="14" s="1"/>
  <c r="I5" i="17"/>
  <c r="F13" i="17" s="1"/>
  <c r="H4" i="12"/>
  <c r="I11" i="5"/>
  <c r="J11" i="5" s="1"/>
  <c r="I6" i="14"/>
  <c r="I17" i="5"/>
  <c r="J17" i="5" s="1"/>
  <c r="I18" i="5"/>
  <c r="J18" i="5" s="1"/>
  <c r="K4" i="12"/>
  <c r="I12" i="12"/>
  <c r="K4" i="13"/>
  <c r="G7" i="13"/>
  <c r="K4" i="14"/>
  <c r="G7" i="14"/>
  <c r="H7" i="13"/>
  <c r="I20" i="5"/>
  <c r="J20" i="5" s="1"/>
  <c r="I6" i="5"/>
  <c r="I13" i="5"/>
  <c r="J13" i="5" s="1"/>
  <c r="I5" i="12"/>
  <c r="I13" i="12"/>
  <c r="E24" i="12"/>
  <c r="E25" i="13"/>
  <c r="D26" i="17"/>
  <c r="J26" i="17" s="1"/>
  <c r="K26" i="17" s="1"/>
  <c r="L26" i="17" s="1"/>
  <c r="G6" i="16"/>
  <c r="I9" i="5"/>
  <c r="J9" i="5" s="1"/>
  <c r="I16" i="5"/>
  <c r="J16" i="5" s="1"/>
  <c r="F14" i="12"/>
  <c r="E14" i="12"/>
  <c r="E26" i="12"/>
  <c r="F26" i="12" s="1"/>
  <c r="G14" i="12"/>
  <c r="I6" i="13"/>
  <c r="F14" i="13" s="1"/>
  <c r="F13" i="12"/>
  <c r="I6" i="17" l="1"/>
  <c r="I14" i="17"/>
  <c r="H4" i="17"/>
  <c r="I13" i="17"/>
  <c r="I12" i="17"/>
  <c r="G4" i="16"/>
  <c r="D24" i="17"/>
  <c r="J24" i="17" s="1"/>
  <c r="K24" i="17" s="1"/>
  <c r="L24" i="17" s="1"/>
  <c r="G5" i="16" s="1"/>
  <c r="C25" i="12"/>
  <c r="F25" i="12" s="1"/>
  <c r="D13" i="12"/>
  <c r="E13" i="12"/>
  <c r="D26" i="13"/>
  <c r="J26" i="13" s="1"/>
  <c r="K26" i="13" s="1"/>
  <c r="L26" i="13" s="1"/>
  <c r="E4" i="16" s="1"/>
  <c r="E6" i="16"/>
  <c r="J26" i="12"/>
  <c r="K26" i="12" s="1"/>
  <c r="L26" i="12" s="1"/>
  <c r="D24" i="13"/>
  <c r="J24" i="13" s="1"/>
  <c r="K24" i="13" s="1"/>
  <c r="L24" i="13" s="1"/>
  <c r="I4" i="14"/>
  <c r="M26" i="14"/>
  <c r="M24" i="14"/>
  <c r="M25" i="14"/>
  <c r="F31" i="5"/>
  <c r="H31" i="5" s="1"/>
  <c r="F33" i="5"/>
  <c r="I21" i="5"/>
  <c r="I22" i="5" s="1"/>
  <c r="J6" i="5"/>
  <c r="F32" i="5"/>
  <c r="F34" i="5"/>
  <c r="H34" i="5" s="1"/>
  <c r="I15" i="12"/>
  <c r="E14" i="13"/>
  <c r="D24" i="12"/>
  <c r="J24" i="12" s="1"/>
  <c r="K24" i="12" s="1"/>
  <c r="L24" i="12" s="1"/>
  <c r="D5" i="16" s="1"/>
  <c r="M24" i="12"/>
  <c r="M25" i="12"/>
  <c r="M26" i="12"/>
  <c r="I4" i="12"/>
  <c r="D14" i="13"/>
  <c r="C26" i="13"/>
  <c r="H4" i="13"/>
  <c r="I12" i="13"/>
  <c r="I14" i="13"/>
  <c r="I5" i="13"/>
  <c r="I13" i="13"/>
  <c r="H33" i="5"/>
  <c r="G14" i="13"/>
  <c r="I15" i="14"/>
  <c r="U25" i="12"/>
  <c r="U26" i="12"/>
  <c r="U24" i="12"/>
  <c r="E13" i="14"/>
  <c r="D13" i="14"/>
  <c r="C25" i="14"/>
  <c r="F25" i="14" s="1"/>
  <c r="G13" i="14"/>
  <c r="F13" i="14"/>
  <c r="E13" i="17"/>
  <c r="D13" i="17"/>
  <c r="C25" i="17"/>
  <c r="F25" i="17" s="1"/>
  <c r="G13" i="17"/>
  <c r="G13" i="12"/>
  <c r="C26" i="14"/>
  <c r="F26" i="14" s="1"/>
  <c r="F14" i="14"/>
  <c r="E14" i="14"/>
  <c r="D14" i="14"/>
  <c r="E5" i="16"/>
  <c r="D25" i="13"/>
  <c r="J25" i="13" s="1"/>
  <c r="K25" i="13" s="1"/>
  <c r="L25" i="13" s="1"/>
  <c r="G14" i="14"/>
  <c r="F4" i="16"/>
  <c r="D24" i="14"/>
  <c r="J24" i="14" s="1"/>
  <c r="K24" i="14" s="1"/>
  <c r="L24" i="14" s="1"/>
  <c r="F5" i="16" s="1"/>
  <c r="H32" i="5"/>
  <c r="I15" i="13" l="1"/>
  <c r="T25" i="14"/>
  <c r="T26" i="14"/>
  <c r="T24" i="14"/>
  <c r="F26" i="13"/>
  <c r="I15" i="17"/>
  <c r="U26" i="14"/>
  <c r="U25" i="14"/>
  <c r="U24" i="14"/>
  <c r="C24" i="12"/>
  <c r="F24" i="12" s="1"/>
  <c r="G24" i="12" s="1"/>
  <c r="H24" i="12" s="1"/>
  <c r="I24" i="12" s="1"/>
  <c r="I7" i="12"/>
  <c r="E12" i="12"/>
  <c r="E15" i="12" s="1"/>
  <c r="E19" i="12" s="1"/>
  <c r="G12" i="12"/>
  <c r="F12" i="12"/>
  <c r="F15" i="12" s="1"/>
  <c r="D12" i="12"/>
  <c r="M25" i="17"/>
  <c r="M24" i="17"/>
  <c r="M26" i="17"/>
  <c r="I4" i="17"/>
  <c r="C25" i="13"/>
  <c r="F25" i="13" s="1"/>
  <c r="D13" i="13"/>
  <c r="F13" i="13"/>
  <c r="E13" i="13"/>
  <c r="G13" i="13"/>
  <c r="I4" i="13"/>
  <c r="M26" i="13"/>
  <c r="M24" i="13"/>
  <c r="M25" i="13"/>
  <c r="D14" i="17"/>
  <c r="C26" i="17"/>
  <c r="F26" i="17" s="1"/>
  <c r="G14" i="17"/>
  <c r="F14" i="17"/>
  <c r="E14" i="17"/>
  <c r="C24" i="14"/>
  <c r="F24" i="14" s="1"/>
  <c r="G24" i="14" s="1"/>
  <c r="H24" i="14" s="1"/>
  <c r="I24" i="14" s="1"/>
  <c r="I7" i="14"/>
  <c r="G12" i="14"/>
  <c r="E12" i="14"/>
  <c r="E15" i="14" s="1"/>
  <c r="E19" i="14" s="1"/>
  <c r="D12" i="14"/>
  <c r="F12" i="14"/>
  <c r="F15" i="14" s="1"/>
  <c r="F19" i="14" s="1"/>
  <c r="T26" i="12"/>
  <c r="T24" i="12"/>
  <c r="T25" i="12"/>
  <c r="U26" i="13"/>
  <c r="U24" i="13"/>
  <c r="U25" i="13"/>
  <c r="T25" i="17"/>
  <c r="T26" i="17"/>
  <c r="T24" i="17"/>
  <c r="G15" i="14" l="1"/>
  <c r="S25" i="14"/>
  <c r="V25" i="14" s="1"/>
  <c r="W25" i="14" s="1"/>
  <c r="X25" i="14" s="1"/>
  <c r="D5" i="15" s="1"/>
  <c r="S24" i="14"/>
  <c r="V24" i="14" s="1"/>
  <c r="W24" i="14" s="1"/>
  <c r="D5" i="10" s="1"/>
  <c r="S26" i="14"/>
  <c r="V26" i="14" s="1"/>
  <c r="W26" i="14" s="1"/>
  <c r="X26" i="14" s="1"/>
  <c r="U26" i="17"/>
  <c r="U25" i="17"/>
  <c r="U24" i="17"/>
  <c r="G12" i="17"/>
  <c r="C24" i="17"/>
  <c r="F24" i="17" s="1"/>
  <c r="G24" i="17" s="1"/>
  <c r="H24" i="17" s="1"/>
  <c r="I24" i="17" s="1"/>
  <c r="I7" i="17"/>
  <c r="E12" i="17"/>
  <c r="E15" i="17" s="1"/>
  <c r="D12" i="17"/>
  <c r="F12" i="17"/>
  <c r="F15" i="17" s="1"/>
  <c r="F19" i="17" s="1"/>
  <c r="C5" i="10"/>
  <c r="T25" i="13"/>
  <c r="T26" i="13"/>
  <c r="T24" i="13"/>
  <c r="E17" i="14"/>
  <c r="F17" i="14"/>
  <c r="C3" i="10"/>
  <c r="F13" i="16"/>
  <c r="C5" i="15"/>
  <c r="D18" i="12"/>
  <c r="D15" i="12"/>
  <c r="D19" i="12" s="1"/>
  <c r="E17" i="12"/>
  <c r="S26" i="12"/>
  <c r="V26" i="12" s="1"/>
  <c r="W26" i="12" s="1"/>
  <c r="X26" i="12" s="1"/>
  <c r="G15" i="12"/>
  <c r="S24" i="12"/>
  <c r="V24" i="12" s="1"/>
  <c r="W24" i="12" s="1"/>
  <c r="X24" i="12" s="1"/>
  <c r="D3" i="10" s="1"/>
  <c r="S25" i="12"/>
  <c r="V25" i="12" s="1"/>
  <c r="W25" i="12" s="1"/>
  <c r="X25" i="12" s="1"/>
  <c r="D3" i="15" s="1"/>
  <c r="C24" i="13"/>
  <c r="F24" i="13" s="1"/>
  <c r="G24" i="13" s="1"/>
  <c r="H24" i="13" s="1"/>
  <c r="I24" i="13" s="1"/>
  <c r="I7" i="13"/>
  <c r="G12" i="13"/>
  <c r="F12" i="13"/>
  <c r="F15" i="13" s="1"/>
  <c r="D12" i="13"/>
  <c r="E12" i="13"/>
  <c r="E15" i="13" s="1"/>
  <c r="E19" i="13" s="1"/>
  <c r="D18" i="14"/>
  <c r="F3" i="16" s="1"/>
  <c r="D15" i="14"/>
  <c r="D19" i="14" s="1"/>
  <c r="F19" i="12"/>
  <c r="F17" i="12"/>
  <c r="C4" i="10" l="1"/>
  <c r="E19" i="17"/>
  <c r="E17" i="17"/>
  <c r="F5" i="15"/>
  <c r="E5" i="15"/>
  <c r="D18" i="13"/>
  <c r="E3" i="16" s="1"/>
  <c r="D15" i="13"/>
  <c r="D19" i="13" s="1"/>
  <c r="F17" i="17"/>
  <c r="E17" i="13"/>
  <c r="S25" i="13"/>
  <c r="V25" i="13" s="1"/>
  <c r="W25" i="13" s="1"/>
  <c r="X25" i="13" s="1"/>
  <c r="D4" i="15" s="1"/>
  <c r="S24" i="13"/>
  <c r="V24" i="13" s="1"/>
  <c r="W24" i="13" s="1"/>
  <c r="X24" i="13" s="1"/>
  <c r="D4" i="10" s="1"/>
  <c r="S26" i="13"/>
  <c r="V26" i="13" s="1"/>
  <c r="W26" i="13" s="1"/>
  <c r="X26" i="13" s="1"/>
  <c r="G15" i="13"/>
  <c r="G15" i="17"/>
  <c r="S25" i="17"/>
  <c r="V25" i="17" s="1"/>
  <c r="D6" i="15" s="1"/>
  <c r="S26" i="17"/>
  <c r="V26" i="17" s="1"/>
  <c r="W26" i="17" s="1"/>
  <c r="X26" i="17" s="1"/>
  <c r="S24" i="17"/>
  <c r="V24" i="17" s="1"/>
  <c r="D6" i="10" s="1"/>
  <c r="F3" i="10"/>
  <c r="E3" i="10"/>
  <c r="O26" i="14"/>
  <c r="N26" i="14"/>
  <c r="G13" i="16"/>
  <c r="C6" i="15"/>
  <c r="O25" i="14"/>
  <c r="N25" i="14"/>
  <c r="D17" i="14"/>
  <c r="F17" i="13"/>
  <c r="F19" i="13"/>
  <c r="D17" i="17"/>
  <c r="D18" i="17"/>
  <c r="D15" i="17"/>
  <c r="D19" i="17" s="1"/>
  <c r="O26" i="12"/>
  <c r="N26" i="12"/>
  <c r="P26" i="12" s="1"/>
  <c r="Q26" i="12" s="1"/>
  <c r="R26" i="12" s="1"/>
  <c r="C3" i="15"/>
  <c r="O25" i="12"/>
  <c r="N25" i="12"/>
  <c r="F5" i="10"/>
  <c r="E5" i="10"/>
  <c r="D17" i="12"/>
  <c r="F12" i="16"/>
  <c r="P25" i="14" l="1"/>
  <c r="Q25" i="14" s="1"/>
  <c r="R25" i="14" s="1"/>
  <c r="F9" i="16" s="1"/>
  <c r="O26" i="13"/>
  <c r="N26" i="13"/>
  <c r="P26" i="13" s="1"/>
  <c r="Q26" i="13" s="1"/>
  <c r="R26" i="13" s="1"/>
  <c r="O25" i="13"/>
  <c r="N25" i="13"/>
  <c r="F6" i="15"/>
  <c r="E6" i="15"/>
  <c r="G9" i="16"/>
  <c r="O26" i="17"/>
  <c r="N26" i="17"/>
  <c r="P25" i="12"/>
  <c r="Q25" i="12" s="1"/>
  <c r="R25" i="12" s="1"/>
  <c r="D9" i="16" s="1"/>
  <c r="F3" i="15"/>
  <c r="E3" i="15"/>
  <c r="P26" i="14"/>
  <c r="Q26" i="14" s="1"/>
  <c r="R26" i="14" s="1"/>
  <c r="F7" i="16" s="1"/>
  <c r="D17" i="13"/>
  <c r="O25" i="17"/>
  <c r="N25" i="17"/>
  <c r="P25" i="17" s="1"/>
  <c r="Q25" i="17" s="1"/>
  <c r="R25" i="17" s="1"/>
  <c r="C6" i="10"/>
  <c r="G12" i="16"/>
  <c r="D7" i="16"/>
  <c r="O24" i="12"/>
  <c r="N24" i="12"/>
  <c r="O24" i="14"/>
  <c r="N24" i="14"/>
  <c r="F4" i="10"/>
  <c r="E4" i="10"/>
  <c r="O24" i="17"/>
  <c r="N24" i="17"/>
  <c r="E13" i="16"/>
  <c r="C4" i="15"/>
  <c r="E12" i="16"/>
  <c r="E7" i="16" l="1"/>
  <c r="O24" i="13"/>
  <c r="N24" i="13"/>
  <c r="P24" i="13" s="1"/>
  <c r="Q24" i="13" s="1"/>
  <c r="R24" i="13" s="1"/>
  <c r="E8" i="16" s="1"/>
  <c r="P24" i="17"/>
  <c r="Q24" i="17" s="1"/>
  <c r="R24" i="17" s="1"/>
  <c r="G8" i="16" s="1"/>
  <c r="P26" i="17"/>
  <c r="Q26" i="17" s="1"/>
  <c r="R26" i="17" s="1"/>
  <c r="G7" i="16" s="1"/>
  <c r="P24" i="12"/>
  <c r="Q24" i="12" s="1"/>
  <c r="R24" i="12" s="1"/>
  <c r="D8" i="16" s="1"/>
  <c r="P24" i="14"/>
  <c r="Q24" i="14" s="1"/>
  <c r="R24" i="14" s="1"/>
  <c r="F8" i="16" s="1"/>
  <c r="P25" i="13"/>
  <c r="Q25" i="13" s="1"/>
  <c r="R25" i="13" s="1"/>
  <c r="E9" i="16" s="1"/>
  <c r="E6" i="10"/>
  <c r="F6" i="10"/>
  <c r="F4" i="15"/>
  <c r="E4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Olofsson, Pontus</author>
  </authors>
  <commentList>
    <comment ref="N23" authorId="0" shapeId="0" xr:uid="{00000000-0006-0000-0200-000001000000}">
      <text>
        <r>
          <rPr>
            <b/>
            <sz val="9"/>
            <rFont val="Tahoma"/>
            <charset val="134"/>
          </rPr>
          <t>Olofsson, Pontus:</t>
        </r>
        <r>
          <rPr>
            <sz val="9"/>
            <rFont val="Tahoma"/>
            <charset val="134"/>
          </rPr>
          <t xml:space="preserve">
This is the first expression inside the brackets of Eq 7 (before the '+' sign)</t>
        </r>
      </text>
    </comment>
    <comment ref="O23" authorId="0" shapeId="0" xr:uid="{00000000-0006-0000-0200-000002000000}">
      <text>
        <r>
          <rPr>
            <b/>
            <sz val="9"/>
            <rFont val="Tahoma"/>
            <charset val="134"/>
          </rPr>
          <t>Olofsson, Pontus:</t>
        </r>
        <r>
          <rPr>
            <sz val="9"/>
            <rFont val="Tahoma"/>
            <charset val="134"/>
          </rPr>
          <t xml:space="preserve">
This is the second expression after the '+' sign starting with P^2_k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Olofsson, Pontus</author>
  </authors>
  <commentList>
    <comment ref="N23" authorId="0" shapeId="0" xr:uid="{00000000-0006-0000-0300-000001000000}">
      <text>
        <r>
          <rPr>
            <b/>
            <sz val="9"/>
            <rFont val="Tahoma"/>
            <charset val="134"/>
          </rPr>
          <t>Olofsson, Pontus:</t>
        </r>
        <r>
          <rPr>
            <sz val="9"/>
            <rFont val="Tahoma"/>
            <charset val="134"/>
          </rPr>
          <t xml:space="preserve">
This is the first expression inside the brackets of Eq 7 (before the '+' sign)</t>
        </r>
      </text>
    </comment>
    <comment ref="O23" authorId="0" shapeId="0" xr:uid="{00000000-0006-0000-0300-000002000000}">
      <text>
        <r>
          <rPr>
            <b/>
            <sz val="9"/>
            <rFont val="Tahoma"/>
            <charset val="134"/>
          </rPr>
          <t>Olofsson, Pontus:</t>
        </r>
        <r>
          <rPr>
            <sz val="9"/>
            <rFont val="Tahoma"/>
            <charset val="134"/>
          </rPr>
          <t xml:space="preserve">
This is the second expression after the '+' sign starting with P^2_k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Olofsson, Pontus</author>
  </authors>
  <commentList>
    <comment ref="N23" authorId="0" shapeId="0" xr:uid="{00000000-0006-0000-0400-000001000000}">
      <text>
        <r>
          <rPr>
            <b/>
            <sz val="9"/>
            <rFont val="Tahoma"/>
            <charset val="134"/>
          </rPr>
          <t>Olofsson, Pontus:</t>
        </r>
        <r>
          <rPr>
            <sz val="9"/>
            <rFont val="Tahoma"/>
            <charset val="134"/>
          </rPr>
          <t xml:space="preserve">
This is the first expression inside the brackets of Eq 7 (before the '+' sign)</t>
        </r>
      </text>
    </comment>
    <comment ref="O23" authorId="0" shapeId="0" xr:uid="{00000000-0006-0000-0400-000002000000}">
      <text>
        <r>
          <rPr>
            <b/>
            <sz val="9"/>
            <rFont val="Tahoma"/>
            <charset val="134"/>
          </rPr>
          <t>Olofsson, Pontus:</t>
        </r>
        <r>
          <rPr>
            <sz val="9"/>
            <rFont val="Tahoma"/>
            <charset val="134"/>
          </rPr>
          <t xml:space="preserve">
This is the second expression after the '+' sign starting with P^2_k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Olofsson, Pontus</author>
  </authors>
  <commentList>
    <comment ref="N23" authorId="0" shapeId="0" xr:uid="{00000000-0006-0000-0500-000001000000}">
      <text>
        <r>
          <rPr>
            <b/>
            <sz val="9"/>
            <rFont val="Tahoma"/>
            <charset val="134"/>
          </rPr>
          <t>Olofsson, Pontus:</t>
        </r>
        <r>
          <rPr>
            <sz val="9"/>
            <rFont val="Tahoma"/>
            <charset val="134"/>
          </rPr>
          <t xml:space="preserve">
This is the first expression inside the brackets of Eq 7 (before the '+' sign)</t>
        </r>
      </text>
    </comment>
    <comment ref="O23" authorId="0" shapeId="0" xr:uid="{00000000-0006-0000-0500-000002000000}">
      <text>
        <r>
          <rPr>
            <b/>
            <sz val="9"/>
            <rFont val="Tahoma"/>
            <charset val="134"/>
          </rPr>
          <t>Olofsson, Pontus:</t>
        </r>
        <r>
          <rPr>
            <sz val="9"/>
            <rFont val="Tahoma"/>
            <charset val="134"/>
          </rPr>
          <t xml:space="preserve">
This is the second expression after the '+' sign starting with P^2_k</t>
        </r>
      </text>
    </comment>
  </commentList>
</comments>
</file>

<file path=xl/sharedStrings.xml><?xml version="1.0" encoding="utf-8"?>
<sst xmlns="http://schemas.openxmlformats.org/spreadsheetml/2006/main" count="377" uniqueCount="88">
  <si>
    <t>Burned area comparison between S2, Landsat, and Modis MCD64</t>
  </si>
  <si>
    <t>S2</t>
  </si>
  <si>
    <t>Landsat</t>
  </si>
  <si>
    <t>MCD64</t>
  </si>
  <si>
    <t>Area (Ha)</t>
  </si>
  <si>
    <t>Yes</t>
  </si>
  <si>
    <t>No</t>
  </si>
  <si>
    <t>TOTAL</t>
  </si>
  <si>
    <t>C3SBA10</t>
  </si>
  <si>
    <t>Burned S2-TreeMap, KLHK, Modis MCD63 and Landsat-TreeMap</t>
  </si>
  <si>
    <t>S1 TM</t>
  </si>
  <si>
    <t>S2 TM</t>
  </si>
  <si>
    <t>Landsat TM</t>
  </si>
  <si>
    <t>Modis MCD64</t>
  </si>
  <si>
    <t>Area (ha)</t>
  </si>
  <si>
    <t>Number of points</t>
  </si>
  <si>
    <t>Density of points</t>
  </si>
  <si>
    <t>Expected</t>
  </si>
  <si>
    <t>Rejected</t>
  </si>
  <si>
    <t>Total any BA</t>
  </si>
  <si>
    <t>Total</t>
  </si>
  <si>
    <t>Study area (ha) all &gt;66.5°</t>
  </si>
  <si>
    <t>Study area (ha) reduced</t>
  </si>
  <si>
    <t>Target Density</t>
  </si>
  <si>
    <t>Burned area (B) dataset i (Mha)</t>
  </si>
  <si>
    <t>Unburned area (U') detected as burned in datasets ≠ i (Mha)</t>
  </si>
  <si>
    <t>Expected sample size in U'</t>
  </si>
  <si>
    <t>Subsample size B (burned)</t>
  </si>
  <si>
    <t>Subsample size U (unburned)</t>
  </si>
  <si>
    <t>Subsample size  (B + U + U')</t>
  </si>
  <si>
    <t>TreeMap</t>
  </si>
  <si>
    <t>MODIS</t>
  </si>
  <si>
    <t>Burned area Mha (TreeMap or MODIS or Landsat or C3SBA10)</t>
  </si>
  <si>
    <t>Reference</t>
  </si>
  <si>
    <t>Class</t>
  </si>
  <si>
    <t>Not burn</t>
  </si>
  <si>
    <t>Burn2019</t>
  </si>
  <si>
    <t>Burn2020</t>
  </si>
  <si>
    <r>
      <rPr>
        <i/>
        <sz val="12"/>
        <color theme="1"/>
        <rFont val="Times New Roman"/>
        <charset val="134"/>
      </rPr>
      <t>A</t>
    </r>
    <r>
      <rPr>
        <i/>
        <vertAlign val="subscript"/>
        <sz val="12"/>
        <color theme="1"/>
        <rFont val="Times New Roman"/>
        <charset val="134"/>
      </rPr>
      <t>m</t>
    </r>
    <r>
      <rPr>
        <i/>
        <sz val="12"/>
        <color theme="1"/>
        <rFont val="Times New Roman"/>
        <charset val="134"/>
      </rPr>
      <t xml:space="preserve"> </t>
    </r>
    <r>
      <rPr>
        <sz val="12"/>
        <color theme="1"/>
        <rFont val="Times New Roman"/>
        <charset val="134"/>
      </rPr>
      <t>[ha]</t>
    </r>
  </si>
  <si>
    <r>
      <rPr>
        <i/>
        <sz val="12"/>
        <color theme="1"/>
        <rFont val="Times New Roman"/>
        <charset val="134"/>
      </rPr>
      <t>W</t>
    </r>
    <r>
      <rPr>
        <i/>
        <vertAlign val="subscript"/>
        <sz val="12"/>
        <color theme="1"/>
        <rFont val="Times New Roman"/>
        <charset val="134"/>
      </rPr>
      <t>h</t>
    </r>
  </si>
  <si>
    <t>User's</t>
  </si>
  <si>
    <t>Map</t>
  </si>
  <si>
    <t>Producer's</t>
  </si>
  <si>
    <t>Overall</t>
  </si>
  <si>
    <t>Area estimates</t>
  </si>
  <si>
    <t>W_k</t>
  </si>
  <si>
    <t>n_k</t>
  </si>
  <si>
    <t>expr eq5</t>
  </si>
  <si>
    <t>V(O^)</t>
  </si>
  <si>
    <t>S(O^)</t>
  </si>
  <si>
    <t>CI of Overall</t>
  </si>
  <si>
    <t>V(U^)</t>
  </si>
  <si>
    <t>S(U^)</t>
  </si>
  <si>
    <t>CI of User's</t>
  </si>
  <si>
    <t>N^_k</t>
  </si>
  <si>
    <t>expr1</t>
  </si>
  <si>
    <t>expr2</t>
  </si>
  <si>
    <t>V(P^)</t>
  </si>
  <si>
    <t>S(P^)</t>
  </si>
  <si>
    <t>CI of Prod's</t>
  </si>
  <si>
    <t>S(A^)</t>
  </si>
  <si>
    <t>CI Area</t>
  </si>
  <si>
    <t>BA 2019</t>
  </si>
  <si>
    <t>Area mapped</t>
  </si>
  <si>
    <t>CI Area (half)</t>
  </si>
  <si>
    <t>low bound</t>
  </si>
  <si>
    <t>upper bound</t>
  </si>
  <si>
    <t>Sentinel-2</t>
  </si>
  <si>
    <t>Landat</t>
  </si>
  <si>
    <t>BA 2020</t>
  </si>
  <si>
    <t>MCD64A1</t>
  </si>
  <si>
    <t>OA (%)</t>
  </si>
  <si>
    <t>Unburned</t>
  </si>
  <si>
    <t>Burned 2019</t>
  </si>
  <si>
    <t>UA (%)</t>
  </si>
  <si>
    <t>Burned 2020</t>
  </si>
  <si>
    <t>PA (%)</t>
  </si>
  <si>
    <t>Mapped burned area 2019 (Mha)</t>
  </si>
  <si>
    <t>Mapped burned area 2020 (Mha)</t>
  </si>
  <si>
    <t>Corrected burned area 2019 (Mha)</t>
  </si>
  <si>
    <t>Corrected burned area 2020 (Mha)</t>
  </si>
  <si>
    <t xml:space="preserve"> (</t>
  </si>
  <si>
    <t>)</t>
  </si>
  <si>
    <t>SENTINEL-2</t>
  </si>
  <si>
    <t>LANDSAT-7-8</t>
  </si>
  <si>
    <t xml:space="preserve">, </t>
  </si>
  <si>
    <t>Mean std area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</si>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</sst>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_ "/>
    <numFmt numFmtId="167" formatCode="_(* #,##0_);_(* \(#,##0\);_(* &quot;-&quot;??_);_(@_)"/>
    <numFmt numFmtId="168" formatCode="0_ "/>
    <numFmt numFmtId="169" formatCode="0.0000"/>
    <numFmt numFmtId="170" formatCode="_(* #,##0.000000000_);_(* \(#,##0.000000000\);_(* &quot;-&quot;??.000000000_);_(@_)"/>
    <numFmt numFmtId="171" formatCode="_(* #,##0.00000_);_(* \(#,##0.00000\);_(* &quot;-&quot;??.00000_);_(@_)"/>
  </numFmts>
  <fonts count="21">
    <font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sz val="9"/>
      <color theme="1"/>
      <name val="Times New Roman"/>
      <charset val="134"/>
    </font>
    <font>
      <i/>
      <sz val="9"/>
      <color theme="1"/>
      <name val="Times New Roman"/>
      <charset val="134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2"/>
      <color theme="1"/>
      <name val="Times New Roman"/>
      <charset val="134"/>
    </font>
    <font>
      <i/>
      <sz val="12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0"/>
      <color theme="1"/>
      <name val="Times New Roman"/>
      <charset val="134"/>
    </font>
    <font>
      <sz val="8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color theme="1"/>
      <name val="Calibri"/>
      <scheme val="minor"/>
    </font>
    <font>
      <b/>
      <i/>
      <sz val="11"/>
      <color theme="1"/>
      <name val="Calibri"/>
      <charset val="134"/>
      <scheme val="minor"/>
    </font>
    <font>
      <i/>
      <vertAlign val="subscript"/>
      <sz val="12"/>
      <color theme="1"/>
      <name val="Times New Roman"/>
      <charset val="134"/>
    </font>
    <font>
      <sz val="9"/>
      <name val="Tahoma"/>
      <charset val="134"/>
    </font>
    <font>
      <b/>
      <sz val="9"/>
      <name val="Tahoma"/>
      <charset val="134"/>
    </font>
    <font>
      <sz val="11"/>
      <color theme="1"/>
      <name val="Calibri"/>
      <charset val="134"/>
      <scheme val="minor"/>
    </font>
    <font>
      <sz val="9"/>
      <color theme="1"/>
      <name val="Times New Roman"/>
      <family val="1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16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</cellStyleXfs>
  <cellXfs count="144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2" borderId="0" xfId="0" applyFont="1" applyFill="1" applyAlignment="1">
      <alignment horizontal="justify"/>
    </xf>
    <xf numFmtId="0" fontId="3" fillId="2" borderId="1" xfId="0" applyFont="1" applyFill="1" applyBorder="1" applyAlignment="1">
      <alignment horizontal="justify"/>
    </xf>
    <xf numFmtId="165" fontId="2" fillId="2" borderId="1" xfId="0" applyNumberFormat="1" applyFont="1" applyFill="1" applyBorder="1" applyAlignment="1">
      <alignment horizontal="justify"/>
    </xf>
    <xf numFmtId="0" fontId="2" fillId="2" borderId="1" xfId="0" applyFont="1" applyFill="1" applyBorder="1" applyAlignment="1">
      <alignment horizontal="justify"/>
    </xf>
    <xf numFmtId="0" fontId="3" fillId="2" borderId="0" xfId="0" applyFont="1" applyFill="1" applyAlignment="1">
      <alignment horizontal="justify"/>
    </xf>
    <xf numFmtId="0" fontId="2" fillId="2" borderId="2" xfId="0" applyFont="1" applyFill="1" applyBorder="1" applyAlignment="1">
      <alignment horizontal="justify"/>
    </xf>
    <xf numFmtId="4" fontId="2" fillId="2" borderId="0" xfId="0" applyNumberFormat="1" applyFont="1" applyFill="1" applyAlignment="1">
      <alignment horizontal="justify"/>
    </xf>
    <xf numFmtId="166" fontId="2" fillId="2" borderId="0" xfId="0" applyNumberFormat="1" applyFont="1" applyFill="1" applyAlignment="1">
      <alignment horizontal="left"/>
    </xf>
    <xf numFmtId="0" fontId="2" fillId="2" borderId="0" xfId="0" applyFont="1" applyFill="1"/>
    <xf numFmtId="166" fontId="2" fillId="2" borderId="2" xfId="0" applyNumberFormat="1" applyFont="1" applyFill="1" applyBorder="1" applyAlignment="1">
      <alignment horizontal="left"/>
    </xf>
    <xf numFmtId="0" fontId="4" fillId="0" borderId="0" xfId="0" applyFont="1"/>
    <xf numFmtId="0" fontId="0" fillId="0" borderId="0" xfId="0" applyFont="1"/>
    <xf numFmtId="0" fontId="0" fillId="0" borderId="3" xfId="0" applyFont="1" applyBorder="1" applyAlignment="1">
      <alignment horizontal="center"/>
    </xf>
    <xf numFmtId="167" fontId="0" fillId="0" borderId="0" xfId="1" applyNumberFormat="1" applyFont="1"/>
    <xf numFmtId="3" fontId="5" fillId="0" borderId="0" xfId="0" applyNumberFormat="1" applyFont="1" applyAlignment="1">
      <alignment horizontal="center" vertical="center" wrapText="1"/>
    </xf>
    <xf numFmtId="167" fontId="0" fillId="0" borderId="0" xfId="0" applyNumberFormat="1"/>
    <xf numFmtId="0" fontId="6" fillId="0" borderId="0" xfId="0" applyFont="1"/>
    <xf numFmtId="0" fontId="7" fillId="0" borderId="0" xfId="0" applyFont="1"/>
    <xf numFmtId="0" fontId="7" fillId="0" borderId="2" xfId="0" applyFont="1" applyBorder="1" applyAlignment="1">
      <alignment horizontal="left" vertical="center" wrapText="1"/>
    </xf>
    <xf numFmtId="0" fontId="8" fillId="0" borderId="2" xfId="3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6" fillId="0" borderId="0" xfId="3" applyFont="1"/>
    <xf numFmtId="0" fontId="8" fillId="0" borderId="0" xfId="0" applyFont="1" applyBorder="1" applyAlignment="1">
      <alignment horizontal="left" vertical="center" wrapText="1"/>
    </xf>
    <xf numFmtId="168" fontId="7" fillId="0" borderId="0" xfId="3" applyNumberFormat="1" applyFont="1" applyFill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3" fontId="7" fillId="0" borderId="0" xfId="3" applyNumberFormat="1" applyFont="1" applyAlignment="1">
      <alignment horizontal="left" vertical="center" wrapText="1"/>
    </xf>
    <xf numFmtId="3" fontId="7" fillId="0" borderId="2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center" wrapText="1"/>
    </xf>
    <xf numFmtId="165" fontId="7" fillId="0" borderId="2" xfId="0" applyNumberFormat="1" applyFont="1" applyBorder="1" applyAlignment="1">
      <alignment horizontal="left" vertical="center" wrapText="1"/>
    </xf>
    <xf numFmtId="1" fontId="7" fillId="0" borderId="2" xfId="0" applyNumberFormat="1" applyFont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2" fontId="7" fillId="0" borderId="0" xfId="0" applyNumberFormat="1" applyFont="1"/>
    <xf numFmtId="165" fontId="6" fillId="0" borderId="0" xfId="0" applyNumberFormat="1" applyFont="1"/>
    <xf numFmtId="0" fontId="9" fillId="0" borderId="0" xfId="0" applyFont="1"/>
    <xf numFmtId="3" fontId="9" fillId="0" borderId="0" xfId="0" applyNumberFormat="1" applyFont="1"/>
    <xf numFmtId="3" fontId="6" fillId="0" borderId="0" xfId="0" applyNumberFormat="1" applyFont="1"/>
    <xf numFmtId="0" fontId="6" fillId="0" borderId="4" xfId="0" applyFont="1" applyBorder="1"/>
    <xf numFmtId="2" fontId="6" fillId="0" borderId="0" xfId="0" applyNumberFormat="1" applyFont="1"/>
    <xf numFmtId="0" fontId="7" fillId="0" borderId="0" xfId="0" applyFont="1" applyBorder="1"/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textRotation="90"/>
    </xf>
    <xf numFmtId="0" fontId="0" fillId="0" borderId="0" xfId="0" applyFont="1" applyFill="1" applyAlignment="1">
      <alignment vertical="center"/>
    </xf>
    <xf numFmtId="0" fontId="6" fillId="0" borderId="0" xfId="0" applyFont="1" applyBorder="1"/>
    <xf numFmtId="0" fontId="7" fillId="0" borderId="0" xfId="0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left" vertical="center" wrapText="1"/>
    </xf>
    <xf numFmtId="1" fontId="7" fillId="0" borderId="0" xfId="0" applyNumberFormat="1" applyFont="1" applyBorder="1" applyAlignment="1">
      <alignment horizontal="left" vertical="center" wrapText="1"/>
    </xf>
    <xf numFmtId="2" fontId="7" fillId="0" borderId="0" xfId="0" applyNumberFormat="1" applyFont="1" applyBorder="1"/>
    <xf numFmtId="165" fontId="6" fillId="0" borderId="0" xfId="0" applyNumberFormat="1" applyFont="1" applyBorder="1"/>
    <xf numFmtId="3" fontId="6" fillId="0" borderId="0" xfId="0" applyNumberFormat="1" applyFont="1" applyBorder="1"/>
    <xf numFmtId="0" fontId="9" fillId="0" borderId="5" xfId="0" applyFont="1" applyBorder="1"/>
    <xf numFmtId="0" fontId="6" fillId="0" borderId="0" xfId="0" applyFont="1" applyFill="1" applyBorder="1"/>
    <xf numFmtId="2" fontId="9" fillId="0" borderId="6" xfId="0" applyNumberFormat="1" applyFont="1" applyBorder="1"/>
    <xf numFmtId="2" fontId="6" fillId="0" borderId="0" xfId="0" applyNumberFormat="1" applyFont="1" applyBorder="1"/>
    <xf numFmtId="0" fontId="9" fillId="0" borderId="6" xfId="0" applyFont="1" applyBorder="1"/>
    <xf numFmtId="0" fontId="9" fillId="0" borderId="7" xfId="0" applyFont="1" applyBorder="1"/>
    <xf numFmtId="2" fontId="9" fillId="0" borderId="7" xfId="0" applyNumberFormat="1" applyFont="1" applyBorder="1"/>
    <xf numFmtId="3" fontId="7" fillId="0" borderId="0" xfId="0" applyNumberFormat="1" applyFont="1" applyBorder="1" applyAlignment="1">
      <alignment horizontal="left" vertical="center" wrapText="1"/>
    </xf>
    <xf numFmtId="0" fontId="9" fillId="0" borderId="5" xfId="0" applyFont="1" applyFill="1" applyBorder="1"/>
    <xf numFmtId="165" fontId="9" fillId="0" borderId="6" xfId="0" applyNumberFormat="1" applyFont="1" applyBorder="1"/>
    <xf numFmtId="167" fontId="9" fillId="0" borderId="0" xfId="1" applyNumberFormat="1" applyFont="1"/>
    <xf numFmtId="169" fontId="9" fillId="0" borderId="6" xfId="0" applyNumberFormat="1" applyFont="1" applyBorder="1"/>
    <xf numFmtId="169" fontId="9" fillId="0" borderId="7" xfId="0" applyNumberFormat="1" applyFont="1" applyBorder="1"/>
    <xf numFmtId="1" fontId="7" fillId="0" borderId="0" xfId="0" applyNumberFormat="1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2" xfId="0" applyBorder="1"/>
    <xf numFmtId="0" fontId="4" fillId="0" borderId="0" xfId="0" applyFont="1" applyAlignment="1"/>
    <xf numFmtId="167" fontId="0" fillId="0" borderId="0" xfId="1" applyNumberFormat="1" applyFont="1" applyAlignment="1">
      <alignment wrapText="1"/>
    </xf>
    <xf numFmtId="0" fontId="4" fillId="0" borderId="0" xfId="3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167" fontId="4" fillId="0" borderId="0" xfId="1" applyNumberFormat="1" applyFont="1" applyBorder="1" applyAlignment="1">
      <alignment horizont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4" fillId="0" borderId="8" xfId="0" applyFont="1" applyBorder="1"/>
    <xf numFmtId="170" fontId="0" fillId="0" borderId="8" xfId="0" applyNumberFormat="1" applyBorder="1"/>
    <xf numFmtId="0" fontId="0" fillId="0" borderId="9" xfId="0" applyBorder="1" applyAlignment="1">
      <alignment horizontal="center" vertical="center"/>
    </xf>
    <xf numFmtId="167" fontId="0" fillId="0" borderId="9" xfId="0" applyNumberFormat="1" applyBorder="1"/>
    <xf numFmtId="170" fontId="0" fillId="0" borderId="9" xfId="0" applyNumberFormat="1" applyBorder="1"/>
    <xf numFmtId="0" fontId="0" fillId="0" borderId="0" xfId="0" applyBorder="1" applyAlignment="1">
      <alignment horizontal="center" vertical="center"/>
    </xf>
    <xf numFmtId="167" fontId="0" fillId="0" borderId="0" xfId="0" applyNumberFormat="1" applyBorder="1"/>
    <xf numFmtId="170" fontId="0" fillId="0" borderId="0" xfId="0" applyNumberFormat="1"/>
    <xf numFmtId="0" fontId="0" fillId="0" borderId="0" xfId="0" applyAlignment="1">
      <alignment horizontal="center" vertical="center"/>
    </xf>
    <xf numFmtId="0" fontId="4" fillId="0" borderId="8" xfId="0" applyFont="1" applyBorder="1" applyAlignment="1">
      <alignment horizontal="right"/>
    </xf>
    <xf numFmtId="167" fontId="0" fillId="0" borderId="8" xfId="1" applyNumberFormat="1" applyFont="1" applyBorder="1"/>
    <xf numFmtId="167" fontId="4" fillId="0" borderId="8" xfId="0" applyNumberFormat="1" applyFont="1" applyBorder="1"/>
    <xf numFmtId="167" fontId="4" fillId="0" borderId="0" xfId="0" applyNumberFormat="1" applyFont="1" applyAlignment="1">
      <alignment horizontal="right"/>
    </xf>
    <xf numFmtId="167" fontId="4" fillId="0" borderId="0" xfId="0" applyNumberFormat="1" applyFont="1"/>
    <xf numFmtId="0" fontId="4" fillId="0" borderId="0" xfId="0" applyFont="1" applyAlignment="1">
      <alignment horizontal="center" vertical="center" wrapText="1"/>
    </xf>
    <xf numFmtId="167" fontId="0" fillId="0" borderId="0" xfId="0" applyNumberFormat="1" applyAlignment="1">
      <alignment horizontal="center" vertical="center"/>
    </xf>
    <xf numFmtId="167" fontId="0" fillId="0" borderId="0" xfId="1" applyNumberFormat="1" applyFont="1"/>
    <xf numFmtId="170" fontId="0" fillId="0" borderId="0" xfId="0" applyNumberFormat="1" applyAlignment="1">
      <alignment horizontal="center" vertical="center"/>
    </xf>
    <xf numFmtId="0" fontId="0" fillId="0" borderId="0" xfId="0" applyFill="1" applyBorder="1"/>
    <xf numFmtId="0" fontId="6" fillId="0" borderId="3" xfId="0" applyFont="1" applyFill="1" applyBorder="1" applyAlignment="1">
      <alignment horizontal="right"/>
    </xf>
    <xf numFmtId="0" fontId="10" fillId="0" borderId="3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right"/>
    </xf>
    <xf numFmtId="167" fontId="6" fillId="0" borderId="0" xfId="1" applyNumberFormat="1" applyFont="1" applyFill="1" applyBorder="1" applyAlignment="1">
      <alignment horizontal="center" vertical="center" wrapText="1"/>
    </xf>
    <xf numFmtId="167" fontId="6" fillId="0" borderId="0" xfId="1" applyNumberFormat="1" applyFont="1" applyFill="1" applyBorder="1" applyAlignment="1">
      <alignment horizontal="center" vertical="center"/>
    </xf>
    <xf numFmtId="168" fontId="6" fillId="0" borderId="0" xfId="0" applyNumberFormat="1" applyFont="1" applyFill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11" fillId="0" borderId="0" xfId="0" applyFont="1" applyAlignment="1">
      <alignment wrapText="1"/>
    </xf>
    <xf numFmtId="0" fontId="12" fillId="0" borderId="0" xfId="0" applyFont="1"/>
    <xf numFmtId="171" fontId="0" fillId="0" borderId="0" xfId="0" applyNumberFormat="1"/>
    <xf numFmtId="0" fontId="0" fillId="0" borderId="0" xfId="0" applyAlignment="1">
      <alignment horizontal="center" wrapText="1"/>
    </xf>
    <xf numFmtId="168" fontId="0" fillId="0" borderId="0" xfId="0" applyNumberFormat="1" applyBorder="1"/>
    <xf numFmtId="168" fontId="0" fillId="0" borderId="9" xfId="1" applyNumberFormat="1" applyFont="1" applyBorder="1"/>
    <xf numFmtId="168" fontId="0" fillId="0" borderId="0" xfId="0" applyNumberFormat="1"/>
    <xf numFmtId="168" fontId="0" fillId="0" borderId="0" xfId="1" applyNumberFormat="1" applyFont="1"/>
    <xf numFmtId="168" fontId="4" fillId="0" borderId="8" xfId="0" applyNumberFormat="1" applyFont="1" applyBorder="1"/>
    <xf numFmtId="168" fontId="4" fillId="0" borderId="0" xfId="0" applyNumberFormat="1" applyFont="1"/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4" fillId="0" borderId="8" xfId="3" applyFont="1" applyFill="1" applyBorder="1"/>
    <xf numFmtId="167" fontId="4" fillId="0" borderId="8" xfId="1" applyNumberFormat="1" applyFont="1" applyBorder="1"/>
    <xf numFmtId="0" fontId="0" fillId="0" borderId="9" xfId="0" applyBorder="1"/>
    <xf numFmtId="0" fontId="0" fillId="0" borderId="0" xfId="2" applyNumberFormat="1" applyFont="1" applyFill="1" applyBorder="1" applyAlignment="1" applyProtection="1"/>
    <xf numFmtId="0" fontId="0" fillId="0" borderId="3" xfId="0" applyBorder="1"/>
    <xf numFmtId="167" fontId="0" fillId="0" borderId="3" xfId="1" applyNumberFormat="1" applyFont="1" applyBorder="1"/>
    <xf numFmtId="0" fontId="4" fillId="0" borderId="0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7" fontId="0" fillId="0" borderId="9" xfId="1" applyNumberFormat="1" applyFont="1" applyBorder="1"/>
    <xf numFmtId="167" fontId="13" fillId="0" borderId="9" xfId="1" applyNumberFormat="1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167" fontId="0" fillId="0" borderId="3" xfId="1" applyNumberFormat="1" applyFont="1" applyBorder="1"/>
    <xf numFmtId="167" fontId="13" fillId="0" borderId="0" xfId="1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14" fillId="0" borderId="0" xfId="0" applyFont="1"/>
    <xf numFmtId="0" fontId="4" fillId="0" borderId="0" xfId="3" applyFont="1" applyFill="1" applyBorder="1"/>
    <xf numFmtId="10" fontId="0" fillId="0" borderId="0" xfId="2" applyNumberFormat="1" applyFont="1"/>
    <xf numFmtId="11" fontId="0" fillId="0" borderId="0" xfId="2" applyNumberFormat="1" applyFont="1"/>
    <xf numFmtId="0" fontId="19" fillId="2" borderId="2" xfId="0" applyFont="1" applyFill="1" applyBorder="1"/>
    <xf numFmtId="0" fontId="19" fillId="2" borderId="2" xfId="0" applyFont="1" applyFill="1" applyBorder="1" applyAlignment="1">
      <alignment horizontal="justify"/>
    </xf>
    <xf numFmtId="0" fontId="19" fillId="2" borderId="0" xfId="0" applyFont="1" applyFill="1" applyAlignment="1">
      <alignment horizontal="justify"/>
    </xf>
    <xf numFmtId="0" fontId="19" fillId="2" borderId="0" xfId="0" applyFont="1" applyFill="1"/>
    <xf numFmtId="0" fontId="19" fillId="2" borderId="1" xfId="0" applyFont="1" applyFill="1" applyBorder="1" applyAlignment="1">
      <alignment horizontal="justify"/>
    </xf>
    <xf numFmtId="0" fontId="19" fillId="2" borderId="0" xfId="0" applyFont="1" applyFill="1" applyAlignment="1">
      <alignment wrapText="1"/>
    </xf>
    <xf numFmtId="0" fontId="20" fillId="0" borderId="0" xfId="0" applyFont="1"/>
    <xf numFmtId="165" fontId="1" fillId="0" borderId="0" xfId="0" applyNumberFormat="1" applyFont="1"/>
    <xf numFmtId="2" fontId="20" fillId="0" borderId="0" xfId="0" applyNumberFormat="1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textRotation="90"/>
    </xf>
    <xf numFmtId="3" fontId="0" fillId="0" borderId="0" xfId="0" applyNumberFormat="1"/>
  </cellXfs>
  <cellStyles count="6">
    <cellStyle name="Comma" xfId="1" builtinId="3"/>
    <cellStyle name="Comma 2" xfId="4" xr:uid="{00000000-0005-0000-0000-000032000000}"/>
    <cellStyle name="Comma 3" xfId="5" xr:uid="{00000000-0005-0000-0000-000033000000}"/>
    <cellStyle name="Normal" xfId="0" builtinId="0"/>
    <cellStyle name="Normal 2" xfId="3" xr:uid="{00000000-0005-0000-0000-000020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/>
              <a:t>Burned area above Arctic line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'Summary AE 2019'!$C$2</c:f>
              <c:strCache>
                <c:ptCount val="1"/>
                <c:pt idx="0">
                  <c:v>Area estimates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 AE 2019'!$D$3:$D$6</c:f>
                <c:numCache>
                  <c:formatCode>General</c:formatCode>
                  <c:ptCount val="4"/>
                  <c:pt idx="0">
                    <c:v>118009.51548883626</c:v>
                  </c:pt>
                  <c:pt idx="1">
                    <c:v>132395.40743414653</c:v>
                  </c:pt>
                  <c:pt idx="2">
                    <c:v>213704.54983616646</c:v>
                  </c:pt>
                  <c:pt idx="3">
                    <c:v>160739.04658707621</c:v>
                  </c:pt>
                </c:numCache>
              </c:numRef>
            </c:plus>
            <c:minus>
              <c:numRef>
                <c:f>'Summary AE 2019'!$D$3:$D$6</c:f>
                <c:numCache>
                  <c:formatCode>General</c:formatCode>
                  <c:ptCount val="4"/>
                  <c:pt idx="0">
                    <c:v>118009.51548883626</c:v>
                  </c:pt>
                  <c:pt idx="1">
                    <c:v>132395.40743414653</c:v>
                  </c:pt>
                  <c:pt idx="2">
                    <c:v>213704.54983616646</c:v>
                  </c:pt>
                  <c:pt idx="3">
                    <c:v>160739.04658707621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'Summary AE 2019'!$A$3:$A$6</c:f>
              <c:strCache>
                <c:ptCount val="4"/>
                <c:pt idx="0">
                  <c:v>Sentinel-2</c:v>
                </c:pt>
                <c:pt idx="1">
                  <c:v>Landat</c:v>
                </c:pt>
                <c:pt idx="2">
                  <c:v>MODIS</c:v>
                </c:pt>
                <c:pt idx="3">
                  <c:v>C3SBA10</c:v>
                </c:pt>
              </c:strCache>
            </c:strRef>
          </c:xVal>
          <c:yVal>
            <c:numRef>
              <c:f>'Summary AE 2019'!$C$3:$C$6</c:f>
              <c:numCache>
                <c:formatCode>#,##0</c:formatCode>
                <c:ptCount val="4"/>
                <c:pt idx="0">
                  <c:v>1742965.7614869003</c:v>
                </c:pt>
                <c:pt idx="1">
                  <c:v>1695712.2554292174</c:v>
                </c:pt>
                <c:pt idx="2">
                  <c:v>1868049.2384976933</c:v>
                </c:pt>
                <c:pt idx="3">
                  <c:v>1819370.6121356641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70-4F01-8DAA-7BCA1336BEC1}"/>
            </c:ext>
          </c:extLst>
        </c:ser>
        <c:ser>
          <c:idx val="0"/>
          <c:order val="1"/>
          <c:tx>
            <c:strRef>
              <c:f>'Summary AE 2019'!$B$2</c:f>
              <c:strCache>
                <c:ptCount val="1"/>
                <c:pt idx="0">
                  <c:v>Area mapped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37291869579333E-3"/>
                  <c:y val="0.45694444444444399"/>
                </c:manualLayout>
              </c:layout>
              <c:tx>
                <c:rich>
                  <a:bodyPr/>
                  <a:lstStyle/>
                  <a:p>
                    <a:r>
                      <a:rPr lang="en-GB" altLang="en-US"/>
                      <a:t>S2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1-1A70-4F01-8DAA-7BCA1336BEC1}"/>
                </c:ext>
              </c:extLst>
            </c:dLbl>
            <c:dLbl>
              <c:idx val="1"/>
              <c:layout>
                <c:manualLayout>
                  <c:x val="4.9512021824189203E-3"/>
                  <c:y val="0.45162037037037001"/>
                </c:manualLayout>
              </c:layout>
              <c:tx>
                <c:rich>
                  <a:bodyPr/>
                  <a:lstStyle/>
                  <a:p>
                    <a:r>
                      <a:rPr lang="en-GB" altLang="en-US"/>
                      <a:t>Landsat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2-1A70-4F01-8DAA-7BCA1336BEC1}"/>
                </c:ext>
              </c:extLst>
            </c:dLbl>
            <c:dLbl>
              <c:idx val="2"/>
              <c:layout>
                <c:manualLayout>
                  <c:x val="6.2826893405886998E-3"/>
                  <c:y val="0.34282540939310502"/>
                </c:manualLayout>
              </c:layout>
              <c:tx>
                <c:rich>
                  <a:bodyPr/>
                  <a:lstStyle/>
                  <a:p>
                    <a:r>
                      <a:rPr lang="en-GB" altLang="en-US"/>
                      <a:t>MODIS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3-1A70-4F01-8DAA-7BCA1336BEC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4-1A70-4F01-8DAA-7BCA1336BE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strRef>
              <c:f>'Summary AE 2019'!$A$3:$A$6</c:f>
              <c:strCache>
                <c:ptCount val="4"/>
                <c:pt idx="0">
                  <c:v>Sentinel-2</c:v>
                </c:pt>
                <c:pt idx="1">
                  <c:v>Landat</c:v>
                </c:pt>
                <c:pt idx="2">
                  <c:v>MODIS</c:v>
                </c:pt>
                <c:pt idx="3">
                  <c:v>C3SBA10</c:v>
                </c:pt>
              </c:strCache>
            </c:strRef>
          </c:xVal>
          <c:yVal>
            <c:numRef>
              <c:f>'Summary AE 2019'!$B$3:$B$6</c:f>
              <c:numCache>
                <c:formatCode>_(* #,##0_);_(* \(#,##0\);_(* "-"??_);_(@_)</c:formatCode>
                <c:ptCount val="4"/>
                <c:pt idx="0">
                  <c:v>1549195.8792221099</c:v>
                </c:pt>
                <c:pt idx="1">
                  <c:v>1519124.6299980599</c:v>
                </c:pt>
                <c:pt idx="2">
                  <c:v>1148469.2642064299</c:v>
                </c:pt>
                <c:pt idx="3">
                  <c:v>1740496.8081547599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'[1]Summary AE'!$A$3:$A$5</c15:f>
                <c15:dlblRangeCache>
                  <c:ptCount val="3"/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1A70-4F01-8DAA-7BCA1336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10360"/>
        <c:axId val="222112320"/>
      </c:scatterChart>
      <c:valAx>
        <c:axId val="22211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12320"/>
        <c:crosses val="autoZero"/>
        <c:crossBetween val="midCat"/>
      </c:valAx>
      <c:valAx>
        <c:axId val="22211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Area (ha)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10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802050222573299"/>
          <c:y val="0.938072616219885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/>
              <a:t>Burned area above Arctic line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'Summary AE 2020'!$C$2</c:f>
              <c:strCache>
                <c:ptCount val="1"/>
                <c:pt idx="0">
                  <c:v>Area estimates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 AE 2020'!$D$3:$D$6</c:f>
                <c:numCache>
                  <c:formatCode>General</c:formatCode>
                  <c:ptCount val="4"/>
                  <c:pt idx="0">
                    <c:v>69807.59676028711</c:v>
                  </c:pt>
                  <c:pt idx="1">
                    <c:v>77477.489676785481</c:v>
                  </c:pt>
                  <c:pt idx="2">
                    <c:v>131593.11980081562</c:v>
                  </c:pt>
                  <c:pt idx="3">
                    <c:v>84438.844135926935</c:v>
                  </c:pt>
                </c:numCache>
              </c:numRef>
            </c:plus>
            <c:minus>
              <c:numRef>
                <c:f>'Summary AE 2020'!$D$3:$D$6</c:f>
                <c:numCache>
                  <c:formatCode>General</c:formatCode>
                  <c:ptCount val="4"/>
                  <c:pt idx="0">
                    <c:v>69807.59676028711</c:v>
                  </c:pt>
                  <c:pt idx="1">
                    <c:v>77477.489676785481</c:v>
                  </c:pt>
                  <c:pt idx="2">
                    <c:v>131593.11980081562</c:v>
                  </c:pt>
                  <c:pt idx="3">
                    <c:v>84438.844135926935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'Summary AE 2020'!$A$3:$A$6</c:f>
              <c:strCache>
                <c:ptCount val="4"/>
                <c:pt idx="0">
                  <c:v>Sentinel-2</c:v>
                </c:pt>
                <c:pt idx="1">
                  <c:v>Landat</c:v>
                </c:pt>
                <c:pt idx="2">
                  <c:v>MODIS</c:v>
                </c:pt>
                <c:pt idx="3">
                  <c:v>C3SBA10</c:v>
                </c:pt>
              </c:strCache>
            </c:strRef>
          </c:xVal>
          <c:yVal>
            <c:numRef>
              <c:f>'Summary AE 2020'!$C$3:$C$6</c:f>
              <c:numCache>
                <c:formatCode>#,##0</c:formatCode>
                <c:ptCount val="4"/>
                <c:pt idx="0">
                  <c:v>2989156.1556675956</c:v>
                </c:pt>
                <c:pt idx="1">
                  <c:v>2922594.1656144774</c:v>
                </c:pt>
                <c:pt idx="2">
                  <c:v>2833631.702157395</c:v>
                </c:pt>
                <c:pt idx="3">
                  <c:v>2916357.7619954469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26-42B0-83F0-FDC36EACD123}"/>
            </c:ext>
          </c:extLst>
        </c:ser>
        <c:ser>
          <c:idx val="0"/>
          <c:order val="1"/>
          <c:tx>
            <c:strRef>
              <c:f>'Summary AE 2020'!$B$2</c:f>
              <c:strCache>
                <c:ptCount val="1"/>
                <c:pt idx="0">
                  <c:v>Area mapped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37291869579333E-3"/>
                  <c:y val="0.54856303962598496"/>
                </c:manualLayout>
              </c:layout>
              <c:tx>
                <c:rich>
                  <a:bodyPr/>
                  <a:lstStyle/>
                  <a:p>
                    <a:r>
                      <a:rPr lang="en-GB" altLang="en-US"/>
                      <a:t>S2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1-8E26-42B0-83F0-FDC36EACD123}"/>
                </c:ext>
              </c:extLst>
            </c:dLbl>
            <c:dLbl>
              <c:idx val="1"/>
              <c:layout>
                <c:manualLayout>
                  <c:x val="8.0625898613237192E-3"/>
                  <c:y val="0.540694004574646"/>
                </c:manualLayout>
              </c:layout>
              <c:tx>
                <c:rich>
                  <a:bodyPr/>
                  <a:lstStyle/>
                  <a:p>
                    <a:r>
                      <a:rPr lang="en-GB" altLang="en-US"/>
                      <a:t>Landsat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2-8E26-42B0-83F0-FDC36EACD123}"/>
                </c:ext>
              </c:extLst>
            </c:dLbl>
            <c:dLbl>
              <c:idx val="2"/>
              <c:layout>
                <c:manualLayout>
                  <c:x val="8.3606114185107404E-3"/>
                  <c:y val="0.34774566728248402"/>
                </c:manualLayout>
              </c:layout>
              <c:tx>
                <c:rich>
                  <a:bodyPr/>
                  <a:lstStyle/>
                  <a:p>
                    <a:r>
                      <a:rPr lang="en-GB" altLang="en-US"/>
                      <a:t>MODIS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3-8E26-42B0-83F0-FDC36EACD12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4-8E26-42B0-83F0-FDC36EACD1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strRef>
              <c:f>'Summary AE 2020'!$A$3:$A$6</c:f>
              <c:strCache>
                <c:ptCount val="4"/>
                <c:pt idx="0">
                  <c:v>Sentinel-2</c:v>
                </c:pt>
                <c:pt idx="1">
                  <c:v>Landat</c:v>
                </c:pt>
                <c:pt idx="2">
                  <c:v>MODIS</c:v>
                </c:pt>
                <c:pt idx="3">
                  <c:v>C3SBA10</c:v>
                </c:pt>
              </c:strCache>
            </c:strRef>
          </c:xVal>
          <c:yVal>
            <c:numRef>
              <c:f>'Summary AE 2020'!$B$3:$B$6</c:f>
              <c:numCache>
                <c:formatCode>_(* #,##0_);_(* \(#,##0\);_(* "-"??_);_(@_)</c:formatCode>
                <c:ptCount val="4"/>
                <c:pt idx="0">
                  <c:v>2616375.4659662098</c:v>
                </c:pt>
                <c:pt idx="1">
                  <c:v>2585247.0473026298</c:v>
                </c:pt>
                <c:pt idx="2">
                  <c:v>1705739.87605249</c:v>
                </c:pt>
                <c:pt idx="3">
                  <c:v>2380160.6627690801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'[1]Summary AE'!$A$3:$A$5</c15:f>
                <c15:dlblRangeCache>
                  <c:ptCount val="3"/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8E26-42B0-83F0-FDC36EACD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10360"/>
        <c:axId val="222112320"/>
      </c:scatterChart>
      <c:valAx>
        <c:axId val="22211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12320"/>
        <c:crosses val="autoZero"/>
        <c:crossBetween val="midCat"/>
      </c:valAx>
      <c:valAx>
        <c:axId val="22211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Area (ha)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10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802050222573299"/>
          <c:y val="0.938072616219885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940435</xdr:colOff>
      <xdr:row>9</xdr:row>
      <xdr:rowOff>33020</xdr:rowOff>
    </xdr:from>
    <xdr:to>
      <xdr:col>9</xdr:col>
      <xdr:colOff>5080</xdr:colOff>
      <xdr:row>28</xdr:row>
      <xdr:rowOff>156210</xdr:rowOff>
    </xdr:to>
    <xdr:graphicFrame macro="">
      <xdr:nvGraphicFramePr>
        <xdr:cNvPr id="2" name="Gráfico 5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949960</xdr:colOff>
      <xdr:row>9</xdr:row>
      <xdr:rowOff>33020</xdr:rowOff>
    </xdr:from>
    <xdr:to>
      <xdr:col>9</xdr:col>
      <xdr:colOff>14605</xdr:colOff>
      <xdr:row>28</xdr:row>
      <xdr:rowOff>156210</xdr:rowOff>
    </xdr:to>
    <xdr:graphicFrame macro="">
      <xdr:nvGraphicFramePr>
        <xdr:cNvPr id="2" name="Gráfico 5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%20A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A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workbookViewId="0">
      <selection activeCell="F20" sqref="F20"/>
    </sheetView>
  </sheetViews>
  <sheetFormatPr defaultColWidth="9" defaultRowHeight="15"/>
  <cols>
    <col min="1" max="4" width="14" customWidth="1"/>
    <col min="5" max="5" width="13.42578125" style="16" customWidth="1"/>
    <col min="6" max="7" width="10.5703125" customWidth="1"/>
    <col min="9" max="9" width="13.42578125" customWidth="1"/>
    <col min="10" max="10" width="11.5703125" customWidth="1"/>
    <col min="13" max="13" width="17.5703125"/>
  </cols>
  <sheetData>
    <row r="1" spans="1:8">
      <c r="A1" s="13" t="s">
        <v>0</v>
      </c>
      <c r="D1" s="16"/>
      <c r="E1"/>
    </row>
    <row r="2" spans="1:8">
      <c r="A2" s="114" t="s">
        <v>1</v>
      </c>
      <c r="B2" s="114" t="s">
        <v>2</v>
      </c>
      <c r="C2" s="76" t="s">
        <v>3</v>
      </c>
      <c r="D2" s="115" t="s">
        <v>4</v>
      </c>
      <c r="E2"/>
    </row>
    <row r="3" spans="1:8">
      <c r="A3" s="116" t="s">
        <v>5</v>
      </c>
      <c r="B3" s="116" t="s">
        <v>5</v>
      </c>
      <c r="C3" s="116" t="s">
        <v>5</v>
      </c>
      <c r="D3" s="116">
        <v>2031668.8104838501</v>
      </c>
      <c r="E3"/>
    </row>
    <row r="4" spans="1:8">
      <c r="A4" t="s">
        <v>5</v>
      </c>
      <c r="B4" t="s">
        <v>5</v>
      </c>
      <c r="C4" t="s">
        <v>6</v>
      </c>
      <c r="D4">
        <v>1578411.50205754</v>
      </c>
      <c r="E4"/>
    </row>
    <row r="5" spans="1:8">
      <c r="A5" t="s">
        <v>5</v>
      </c>
      <c r="B5" t="s">
        <v>6</v>
      </c>
      <c r="C5" t="s">
        <v>5</v>
      </c>
      <c r="D5">
        <v>139331.80954057499</v>
      </c>
      <c r="E5"/>
    </row>
    <row r="6" spans="1:8">
      <c r="A6" t="s">
        <v>5</v>
      </c>
      <c r="B6" t="s">
        <v>6</v>
      </c>
      <c r="C6" t="s">
        <v>6</v>
      </c>
      <c r="D6">
        <v>286282.91934373701</v>
      </c>
      <c r="E6"/>
    </row>
    <row r="7" spans="1:8">
      <c r="A7" t="s">
        <v>6</v>
      </c>
      <c r="B7" t="s">
        <v>5</v>
      </c>
      <c r="C7" t="s">
        <v>5</v>
      </c>
      <c r="D7" s="16">
        <v>168655.885287218</v>
      </c>
      <c r="E7"/>
    </row>
    <row r="8" spans="1:8">
      <c r="A8" t="s">
        <v>6</v>
      </c>
      <c r="B8" t="s">
        <v>5</v>
      </c>
      <c r="C8" t="s">
        <v>6</v>
      </c>
      <c r="D8">
        <v>338513.26076526998</v>
      </c>
      <c r="E8"/>
    </row>
    <row r="9" spans="1:8">
      <c r="A9" t="s">
        <v>6</v>
      </c>
      <c r="B9" t="s">
        <v>6</v>
      </c>
      <c r="C9" t="s">
        <v>5</v>
      </c>
      <c r="D9" s="117">
        <v>523680.47818722599</v>
      </c>
      <c r="E9"/>
    </row>
    <row r="10" spans="1:8">
      <c r="A10" s="118" t="s">
        <v>6</v>
      </c>
      <c r="B10" s="118" t="s">
        <v>6</v>
      </c>
      <c r="C10" s="118" t="s">
        <v>6</v>
      </c>
      <c r="D10" s="119">
        <v>283704521.19475698</v>
      </c>
      <c r="E10"/>
    </row>
    <row r="11" spans="1:8">
      <c r="C11" s="13" t="s">
        <v>7</v>
      </c>
      <c r="D11" s="16">
        <f>SUM(D3:D10)</f>
        <v>288771065.86042237</v>
      </c>
      <c r="E11"/>
    </row>
    <row r="13" spans="1:8">
      <c r="B13" s="120" t="s">
        <v>1</v>
      </c>
      <c r="C13" s="120" t="s">
        <v>2</v>
      </c>
      <c r="D13" s="121" t="s">
        <v>3</v>
      </c>
      <c r="E13" s="121" t="s">
        <v>8</v>
      </c>
    </row>
    <row r="14" spans="1:8">
      <c r="A14" s="121">
        <v>2019</v>
      </c>
      <c r="B14" s="122">
        <v>1549195.8792221099</v>
      </c>
      <c r="C14" s="122">
        <v>1519124.6299980599</v>
      </c>
      <c r="D14" s="122">
        <v>1148469.2642064299</v>
      </c>
      <c r="E14" s="123">
        <v>1740496.8081547599</v>
      </c>
      <c r="F14" s="124"/>
      <c r="G14" s="124"/>
    </row>
    <row r="15" spans="1:8">
      <c r="A15" s="121">
        <v>2020</v>
      </c>
      <c r="B15" s="125">
        <v>2616375.4659662098</v>
      </c>
      <c r="C15" s="125">
        <v>2585247.0473026298</v>
      </c>
      <c r="D15" s="125">
        <v>1705739.87605249</v>
      </c>
      <c r="E15" s="126">
        <v>2380160.6627690801</v>
      </c>
      <c r="F15" s="124"/>
      <c r="G15" s="127"/>
      <c r="H15" s="127"/>
    </row>
    <row r="16" spans="1:8">
      <c r="A16" t="s">
        <v>7</v>
      </c>
      <c r="B16" s="18">
        <f>SUM(B14:B15)</f>
        <v>4165571.3451883197</v>
      </c>
      <c r="C16" s="18">
        <f>SUM(C14:C15)</f>
        <v>4104371.6773006897</v>
      </c>
      <c r="D16" s="18">
        <f>SUM(D14:D15)</f>
        <v>2854209.1402589199</v>
      </c>
      <c r="E16" s="79">
        <f>SUM(E14:E15)</f>
        <v>4120657.4709238401</v>
      </c>
      <c r="F16" s="18"/>
    </row>
    <row r="17" spans="2:13">
      <c r="F17" s="18"/>
      <c r="G17" s="18"/>
    </row>
    <row r="20" spans="2:13">
      <c r="G20" s="128"/>
    </row>
    <row r="21" spans="2:13">
      <c r="B21" s="129"/>
      <c r="C21" s="129"/>
      <c r="E21" s="13"/>
      <c r="G21" s="13"/>
      <c r="H21" s="13"/>
      <c r="I21" s="13"/>
      <c r="J21" s="13"/>
      <c r="L21" s="13"/>
    </row>
    <row r="22" spans="2:13">
      <c r="J22" s="16"/>
      <c r="L22" s="18"/>
      <c r="M22" s="130"/>
    </row>
    <row r="23" spans="2:13">
      <c r="J23" s="16"/>
      <c r="L23" s="18"/>
      <c r="M23" s="130"/>
    </row>
    <row r="24" spans="2:13">
      <c r="J24" s="16"/>
      <c r="L24" s="18"/>
      <c r="M24" s="131"/>
    </row>
    <row r="25" spans="2:13">
      <c r="J25" s="16"/>
      <c r="L25" s="18"/>
      <c r="M25" s="130"/>
    </row>
    <row r="26" spans="2:13">
      <c r="J26" s="16"/>
      <c r="L26" s="18"/>
      <c r="M26" s="130"/>
    </row>
    <row r="27" spans="2:13">
      <c r="J27" s="16"/>
      <c r="L27" s="18"/>
      <c r="M27" s="130"/>
    </row>
    <row r="28" spans="2:13">
      <c r="J28" s="16"/>
      <c r="L28" s="18"/>
      <c r="M28" s="130"/>
    </row>
  </sheetData>
  <sortState xmlns:xlrd2="http://schemas.microsoft.com/office/spreadsheetml/2017/richdata2" ref="B3:G37">
    <sortCondition descending="1" ref="B3:B37"/>
    <sortCondition descending="1" ref="C3:C37"/>
    <sortCondition descending="1" ref="D3:D37"/>
  </sortState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39"/>
  <sheetViews>
    <sheetView workbookViewId="0">
      <selection activeCell="B37" sqref="B37"/>
    </sheetView>
  </sheetViews>
  <sheetFormatPr defaultColWidth="9.140625" defaultRowHeight="15"/>
  <cols>
    <col min="1" max="1" width="15.140625" customWidth="1"/>
    <col min="2" max="7" width="14.85546875" customWidth="1"/>
    <col min="8" max="11" width="15.28515625" customWidth="1"/>
    <col min="13" max="13" width="12.85546875"/>
    <col min="15" max="15" width="14"/>
  </cols>
  <sheetData>
    <row r="2" spans="1:17"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</row>
    <row r="3" spans="1:17" s="67" customFormat="1" ht="21" customHeight="1">
      <c r="A3" s="69" t="s">
        <v>9</v>
      </c>
      <c r="B3" s="69"/>
      <c r="G3" s="70"/>
    </row>
    <row r="4" spans="1:17" s="67" customFormat="1" ht="35.1" customHeight="1">
      <c r="A4" s="71" t="s">
        <v>10</v>
      </c>
      <c r="B4" s="71" t="s">
        <v>11</v>
      </c>
      <c r="C4" s="72" t="s">
        <v>12</v>
      </c>
      <c r="D4" s="71" t="s">
        <v>13</v>
      </c>
      <c r="E4" s="71" t="s">
        <v>8</v>
      </c>
      <c r="F4" s="73" t="s">
        <v>14</v>
      </c>
      <c r="G4" s="72" t="s">
        <v>15</v>
      </c>
      <c r="H4" s="72" t="s">
        <v>16</v>
      </c>
      <c r="I4" s="105" t="s">
        <v>17</v>
      </c>
      <c r="J4" s="105" t="s">
        <v>18</v>
      </c>
    </row>
    <row r="5" spans="1:17">
      <c r="A5" s="74">
        <v>0</v>
      </c>
      <c r="B5" s="74" t="s">
        <v>6</v>
      </c>
      <c r="C5" s="74" t="s">
        <v>6</v>
      </c>
      <c r="D5" s="74" t="s">
        <v>6</v>
      </c>
      <c r="E5" s="74" t="s">
        <v>6</v>
      </c>
      <c r="F5" s="75">
        <v>20743023.888196301</v>
      </c>
      <c r="G5" s="76">
        <v>1111</v>
      </c>
      <c r="H5" s="77">
        <f>G5/F5</f>
        <v>5.3560175507111484E-5</v>
      </c>
      <c r="I5" s="76">
        <f>G5</f>
        <v>1111</v>
      </c>
      <c r="J5" s="75"/>
    </row>
    <row r="6" spans="1:17">
      <c r="A6" s="78">
        <v>1</v>
      </c>
      <c r="B6" s="78" t="s">
        <v>5</v>
      </c>
      <c r="C6" s="78" t="s">
        <v>5</v>
      </c>
      <c r="D6" s="78" t="s">
        <v>5</v>
      </c>
      <c r="E6" s="78" t="s">
        <v>5</v>
      </c>
      <c r="F6">
        <v>1819892.34745095</v>
      </c>
      <c r="G6" s="79">
        <v>214</v>
      </c>
      <c r="H6" s="80">
        <f>G6/F6</f>
        <v>1.1758937296469277E-4</v>
      </c>
      <c r="I6" s="106">
        <f>ROUND(B$25*F6,0)</f>
        <v>171</v>
      </c>
      <c r="J6" s="107">
        <f>G6-I6</f>
        <v>43</v>
      </c>
      <c r="N6" s="108"/>
    </row>
    <row r="7" spans="1:17">
      <c r="A7" s="81">
        <v>2</v>
      </c>
      <c r="B7" s="81" t="s">
        <v>5</v>
      </c>
      <c r="C7" s="81" t="s">
        <v>5</v>
      </c>
      <c r="D7" s="81" t="s">
        <v>5</v>
      </c>
      <c r="E7" s="81" t="s">
        <v>6</v>
      </c>
      <c r="F7">
        <v>270299.757934194</v>
      </c>
      <c r="G7" s="82">
        <v>34</v>
      </c>
      <c r="H7" s="83">
        <f t="shared" ref="H7:H14" si="0">G7/F7</f>
        <v>1.2578627616927979E-4</v>
      </c>
      <c r="I7" s="106">
        <f>ROUND(B$25*F7,0)</f>
        <v>25</v>
      </c>
      <c r="J7" s="109">
        <f t="shared" ref="J7:J13" si="1">G7-I7</f>
        <v>9</v>
      </c>
      <c r="N7" s="108"/>
    </row>
    <row r="8" spans="1:17">
      <c r="A8" s="81">
        <v>3</v>
      </c>
      <c r="B8" s="81" t="s">
        <v>5</v>
      </c>
      <c r="C8" s="81" t="s">
        <v>5</v>
      </c>
      <c r="D8" s="81" t="s">
        <v>6</v>
      </c>
      <c r="E8" s="81" t="s">
        <v>5</v>
      </c>
      <c r="F8">
        <v>1130394.62475618</v>
      </c>
      <c r="G8" s="82">
        <v>129</v>
      </c>
      <c r="H8" s="83">
        <f t="shared" si="0"/>
        <v>1.1411943862332555E-4</v>
      </c>
      <c r="I8" s="106">
        <f t="shared" ref="I8:I13" si="2">ROUND(B$25*F8,0)</f>
        <v>106</v>
      </c>
      <c r="J8" s="109">
        <f t="shared" si="1"/>
        <v>23</v>
      </c>
      <c r="N8" s="108"/>
    </row>
    <row r="9" spans="1:17">
      <c r="A9" s="81">
        <v>4</v>
      </c>
      <c r="B9" s="81" t="s">
        <v>5</v>
      </c>
      <c r="C9" s="81" t="s">
        <v>5</v>
      </c>
      <c r="D9" s="81" t="s">
        <v>6</v>
      </c>
      <c r="E9" s="81" t="s">
        <v>6</v>
      </c>
      <c r="F9">
        <v>509018.011006293</v>
      </c>
      <c r="G9" s="82">
        <v>63</v>
      </c>
      <c r="H9" s="83">
        <f t="shared" si="0"/>
        <v>1.2376772263019418E-4</v>
      </c>
      <c r="I9" s="106">
        <f t="shared" si="2"/>
        <v>48</v>
      </c>
      <c r="J9" s="109">
        <f t="shared" si="1"/>
        <v>15</v>
      </c>
      <c r="N9" s="108"/>
    </row>
    <row r="10" spans="1:17">
      <c r="A10" s="81">
        <v>5</v>
      </c>
      <c r="B10" s="81" t="s">
        <v>5</v>
      </c>
      <c r="C10" s="81" t="s">
        <v>6</v>
      </c>
      <c r="D10" s="81" t="s">
        <v>5</v>
      </c>
      <c r="E10" s="81" t="s">
        <v>5</v>
      </c>
      <c r="F10">
        <v>121950.677212765</v>
      </c>
      <c r="G10" s="82">
        <v>13</v>
      </c>
      <c r="H10" s="83">
        <f t="shared" si="0"/>
        <v>1.0660047403688582E-4</v>
      </c>
      <c r="I10" s="106">
        <f t="shared" si="2"/>
        <v>11</v>
      </c>
      <c r="J10" s="109">
        <f t="shared" si="1"/>
        <v>2</v>
      </c>
      <c r="N10" s="108"/>
    </row>
    <row r="11" spans="1:17">
      <c r="A11" s="81">
        <v>6</v>
      </c>
      <c r="B11" s="81" t="s">
        <v>5</v>
      </c>
      <c r="C11" s="81" t="s">
        <v>6</v>
      </c>
      <c r="D11" s="81" t="s">
        <v>5</v>
      </c>
      <c r="E11" s="81" t="s">
        <v>6</v>
      </c>
      <c r="F11">
        <v>24577.747431788001</v>
      </c>
      <c r="G11" s="82">
        <v>3</v>
      </c>
      <c r="H11" s="83">
        <f t="shared" si="0"/>
        <v>1.2206163352951967E-4</v>
      </c>
      <c r="I11" s="106">
        <f t="shared" si="2"/>
        <v>2</v>
      </c>
      <c r="J11" s="109">
        <f t="shared" si="1"/>
        <v>1</v>
      </c>
      <c r="N11" s="108"/>
    </row>
    <row r="12" spans="1:17">
      <c r="A12" s="81">
        <v>7</v>
      </c>
      <c r="B12" s="81" t="s">
        <v>5</v>
      </c>
      <c r="C12" s="81" t="s">
        <v>6</v>
      </c>
      <c r="D12" s="81" t="s">
        <v>6</v>
      </c>
      <c r="E12" s="81" t="s">
        <v>5</v>
      </c>
      <c r="F12">
        <v>167749.90751441399</v>
      </c>
      <c r="G12" s="82">
        <v>17</v>
      </c>
      <c r="H12" s="83">
        <f t="shared" si="0"/>
        <v>1.0134133754165716E-4</v>
      </c>
      <c r="I12" s="106">
        <f t="shared" si="2"/>
        <v>16</v>
      </c>
      <c r="J12" s="109">
        <f t="shared" si="1"/>
        <v>1</v>
      </c>
      <c r="N12" s="108"/>
    </row>
    <row r="13" spans="1:17">
      <c r="A13" s="81">
        <v>8</v>
      </c>
      <c r="B13" s="81" t="s">
        <v>5</v>
      </c>
      <c r="C13" s="81" t="s">
        <v>6</v>
      </c>
      <c r="D13" s="81" t="s">
        <v>6</v>
      </c>
      <c r="E13" s="81" t="s">
        <v>5</v>
      </c>
      <c r="F13">
        <v>121672.115881729</v>
      </c>
      <c r="G13" s="82">
        <v>16</v>
      </c>
      <c r="H13" s="83">
        <f t="shared" si="0"/>
        <v>1.3150095964101381E-4</v>
      </c>
      <c r="I13" s="106">
        <f t="shared" si="2"/>
        <v>11</v>
      </c>
      <c r="J13" s="109">
        <f t="shared" si="1"/>
        <v>5</v>
      </c>
      <c r="N13" s="108"/>
    </row>
    <row r="14" spans="1:17">
      <c r="A14" s="81">
        <v>9</v>
      </c>
      <c r="B14" s="81" t="s">
        <v>6</v>
      </c>
      <c r="C14" s="81" t="s">
        <v>5</v>
      </c>
      <c r="D14" s="81" t="s">
        <v>5</v>
      </c>
      <c r="E14" s="81" t="s">
        <v>5</v>
      </c>
      <c r="F14">
        <v>93457.1481460707</v>
      </c>
      <c r="G14" s="82">
        <v>10</v>
      </c>
      <c r="H14" s="83">
        <f t="shared" si="0"/>
        <v>1.0700091109532149E-4</v>
      </c>
      <c r="I14" s="106">
        <f t="shared" ref="I14:I20" si="3">ROUND(B$25*F14,0)</f>
        <v>9</v>
      </c>
      <c r="J14" s="109">
        <f t="shared" ref="J14:J20" si="4">G14-I14</f>
        <v>1</v>
      </c>
      <c r="N14" s="108"/>
    </row>
    <row r="15" spans="1:17">
      <c r="A15" s="81">
        <v>10</v>
      </c>
      <c r="B15" s="81" t="s">
        <v>6</v>
      </c>
      <c r="C15" s="81" t="s">
        <v>5</v>
      </c>
      <c r="D15" s="81" t="s">
        <v>5</v>
      </c>
      <c r="E15" s="81" t="s">
        <v>6</v>
      </c>
      <c r="F15">
        <v>27755.722859846301</v>
      </c>
      <c r="G15" s="82">
        <v>4</v>
      </c>
      <c r="H15" s="83">
        <f t="shared" ref="H15:H20" si="5">G15/F15</f>
        <v>1.4411442354422436E-4</v>
      </c>
      <c r="I15" s="106">
        <f t="shared" si="3"/>
        <v>3</v>
      </c>
      <c r="J15" s="109">
        <f t="shared" si="4"/>
        <v>1</v>
      </c>
      <c r="N15" s="108"/>
    </row>
    <row r="16" spans="1:17">
      <c r="A16" s="81">
        <v>11</v>
      </c>
      <c r="B16" s="81" t="s">
        <v>6</v>
      </c>
      <c r="C16" s="81" t="s">
        <v>5</v>
      </c>
      <c r="D16" s="81" t="s">
        <v>6</v>
      </c>
      <c r="E16" s="81" t="s">
        <v>5</v>
      </c>
      <c r="F16">
        <v>127592.873070328</v>
      </c>
      <c r="G16" s="82">
        <v>12</v>
      </c>
      <c r="H16" s="83">
        <f t="shared" si="5"/>
        <v>9.4049140137989612E-5</v>
      </c>
      <c r="I16" s="106">
        <f t="shared" si="3"/>
        <v>12</v>
      </c>
      <c r="J16" s="109">
        <f t="shared" si="4"/>
        <v>0</v>
      </c>
      <c r="N16" s="108"/>
    </row>
    <row r="17" spans="1:16">
      <c r="A17" s="84">
        <v>12</v>
      </c>
      <c r="B17" s="84" t="s">
        <v>6</v>
      </c>
      <c r="C17" s="84" t="s">
        <v>5</v>
      </c>
      <c r="D17" s="84" t="s">
        <v>6</v>
      </c>
      <c r="E17" s="84" t="s">
        <v>6</v>
      </c>
      <c r="F17">
        <v>125945.036076823</v>
      </c>
      <c r="G17" s="82">
        <v>15</v>
      </c>
      <c r="H17" s="83">
        <f t="shared" si="5"/>
        <v>1.1909957285533995E-4</v>
      </c>
      <c r="I17" s="106">
        <f t="shared" si="3"/>
        <v>12</v>
      </c>
      <c r="J17" s="109">
        <f t="shared" si="4"/>
        <v>3</v>
      </c>
      <c r="N17" s="108"/>
    </row>
    <row r="18" spans="1:16">
      <c r="A18" s="84">
        <v>13</v>
      </c>
      <c r="B18" s="84" t="s">
        <v>6</v>
      </c>
      <c r="C18" s="84" t="s">
        <v>6</v>
      </c>
      <c r="D18" s="84" t="s">
        <v>5</v>
      </c>
      <c r="E18" s="84" t="s">
        <v>5</v>
      </c>
      <c r="F18">
        <v>170261.28927989901</v>
      </c>
      <c r="G18" s="82">
        <v>18</v>
      </c>
      <c r="H18" s="83">
        <f t="shared" si="5"/>
        <v>1.0571986196115968E-4</v>
      </c>
      <c r="I18" s="106">
        <f t="shared" si="3"/>
        <v>16</v>
      </c>
      <c r="J18" s="109">
        <f t="shared" si="4"/>
        <v>2</v>
      </c>
      <c r="N18" s="108"/>
    </row>
    <row r="19" spans="1:16">
      <c r="A19" s="84">
        <v>14</v>
      </c>
      <c r="B19" s="84" t="s">
        <v>6</v>
      </c>
      <c r="C19" s="84" t="s">
        <v>6</v>
      </c>
      <c r="D19" s="84" t="s">
        <v>5</v>
      </c>
      <c r="E19" s="84" t="s">
        <v>6</v>
      </c>
      <c r="F19">
        <v>335142.29318336101</v>
      </c>
      <c r="G19" s="82">
        <v>38</v>
      </c>
      <c r="H19" s="83">
        <f t="shared" si="5"/>
        <v>1.1338467502580962E-4</v>
      </c>
      <c r="I19" s="106">
        <f t="shared" si="3"/>
        <v>32</v>
      </c>
      <c r="J19" s="109">
        <f t="shared" si="4"/>
        <v>6</v>
      </c>
      <c r="N19" s="108"/>
    </row>
    <row r="20" spans="1:16">
      <c r="A20" s="84">
        <v>15</v>
      </c>
      <c r="B20" s="84" t="s">
        <v>6</v>
      </c>
      <c r="C20" s="84" t="s">
        <v>6</v>
      </c>
      <c r="D20" s="84" t="s">
        <v>6</v>
      </c>
      <c r="E20" s="84" t="s">
        <v>5</v>
      </c>
      <c r="F20">
        <v>480465.532831533</v>
      </c>
      <c r="G20" s="82">
        <v>54</v>
      </c>
      <c r="H20" s="83">
        <f t="shared" si="5"/>
        <v>1.1239099646078915E-4</v>
      </c>
      <c r="I20" s="106">
        <f t="shared" si="3"/>
        <v>45</v>
      </c>
      <c r="J20" s="109">
        <f t="shared" si="4"/>
        <v>9</v>
      </c>
      <c r="N20" s="108"/>
    </row>
    <row r="21" spans="1:16">
      <c r="A21" s="75"/>
      <c r="B21" s="75"/>
      <c r="C21" s="75"/>
      <c r="D21" s="85" t="s">
        <v>19</v>
      </c>
      <c r="E21" s="85"/>
      <c r="F21" s="86">
        <f>SUM(F6:F20)</f>
        <v>5526175.0846361732</v>
      </c>
      <c r="G21" s="87">
        <f>SUM(G6:G20)</f>
        <v>640</v>
      </c>
      <c r="H21" s="77"/>
      <c r="I21" s="110">
        <f>SUM(I6:I20)</f>
        <v>519</v>
      </c>
      <c r="J21" s="110"/>
    </row>
    <row r="22" spans="1:16">
      <c r="B22" s="84"/>
      <c r="C22" s="84"/>
      <c r="D22" s="88" t="s">
        <v>20</v>
      </c>
      <c r="E22" s="88"/>
      <c r="F22" s="18">
        <f>F5+F21</f>
        <v>26269198.972832475</v>
      </c>
      <c r="G22" s="89">
        <f>G21+G5</f>
        <v>1751</v>
      </c>
      <c r="H22" s="83"/>
      <c r="I22" s="111">
        <f>I21+I5</f>
        <v>1630</v>
      </c>
    </row>
    <row r="23" spans="1:16" ht="30.95" customHeight="1">
      <c r="A23" s="90" t="s">
        <v>21</v>
      </c>
      <c r="B23" s="91">
        <f>F21+283244890.775786</f>
        <v>288771065.86042213</v>
      </c>
      <c r="C23" s="84"/>
      <c r="D23" s="88"/>
      <c r="E23" s="88"/>
      <c r="F23" s="13"/>
      <c r="G23" s="83"/>
      <c r="H23" s="89"/>
    </row>
    <row r="24" spans="1:16" ht="30.95" customHeight="1">
      <c r="A24" s="90" t="s">
        <v>22</v>
      </c>
      <c r="B24" s="92">
        <f>F21+F5</f>
        <v>26269198.972832475</v>
      </c>
      <c r="G24" s="83"/>
    </row>
    <row r="25" spans="1:16" ht="21" customHeight="1">
      <c r="A25" s="90" t="s">
        <v>23</v>
      </c>
      <c r="B25" s="93">
        <f>H16</f>
        <v>9.4049140137989612E-5</v>
      </c>
    </row>
    <row r="26" spans="1:16">
      <c r="G26" s="90"/>
      <c r="H26" s="93"/>
    </row>
    <row r="27" spans="1:16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</row>
    <row r="30" spans="1:16" ht="51">
      <c r="A30" s="94"/>
      <c r="B30" s="95"/>
      <c r="C30" s="96" t="s">
        <v>24</v>
      </c>
      <c r="D30" s="96" t="s">
        <v>25</v>
      </c>
      <c r="E30" s="96" t="s">
        <v>26</v>
      </c>
      <c r="F30" s="96" t="s">
        <v>27</v>
      </c>
      <c r="G30" s="96" t="s">
        <v>28</v>
      </c>
      <c r="H30" s="96" t="s">
        <v>29</v>
      </c>
      <c r="I30" s="112"/>
    </row>
    <row r="31" spans="1:16">
      <c r="A31" s="94"/>
      <c r="B31" s="97" t="s">
        <v>30</v>
      </c>
      <c r="C31" s="98">
        <f>SUM(F6:F13)</f>
        <v>4165555.1891883127</v>
      </c>
      <c r="D31" s="99">
        <f>B$36-C31</f>
        <v>1360619.8954478605</v>
      </c>
      <c r="E31" s="100">
        <f>D31*H$5</f>
        <v>72.875040398655088</v>
      </c>
      <c r="F31" s="101">
        <f>SUM(I6:I13)</f>
        <v>390</v>
      </c>
      <c r="G31" s="101">
        <f>G5</f>
        <v>1111</v>
      </c>
      <c r="H31" s="100">
        <f>E31+F31+G31</f>
        <v>1573.8750403986551</v>
      </c>
      <c r="I31" s="100"/>
    </row>
    <row r="32" spans="1:16">
      <c r="A32" s="94"/>
      <c r="B32" s="97" t="s">
        <v>2</v>
      </c>
      <c r="C32" s="98">
        <f>SUM(F6:F9,F14:F17)</f>
        <v>4104355.5213006847</v>
      </c>
      <c r="D32" s="99">
        <f>B$36-C32</f>
        <v>1421819.5633354886</v>
      </c>
      <c r="E32" s="100">
        <f>D32*H$5</f>
        <v>76.152905351693377</v>
      </c>
      <c r="F32" s="101">
        <f>SUM(I6:I9,I14:I17)</f>
        <v>386</v>
      </c>
      <c r="G32" s="84">
        <f>G5</f>
        <v>1111</v>
      </c>
      <c r="H32" s="100">
        <f>E32+F32+G32</f>
        <v>1573.1529053516933</v>
      </c>
      <c r="I32" s="100"/>
    </row>
    <row r="33" spans="1:9">
      <c r="A33" s="94"/>
      <c r="B33" s="97" t="s">
        <v>31</v>
      </c>
      <c r="C33" s="98">
        <f>SUM(F6:F7,F10:F11,F14:F15,F18:F19)</f>
        <v>2863336.9834988746</v>
      </c>
      <c r="D33" s="99">
        <f>B$36-C33</f>
        <v>2662838.1011372986</v>
      </c>
      <c r="E33" s="100">
        <f>D33*H$5</f>
        <v>142.6220760439372</v>
      </c>
      <c r="F33" s="101">
        <f>SUM(I6:I7,I10:I11,I14:I15,I18:I19)</f>
        <v>269</v>
      </c>
      <c r="G33" s="84">
        <f>G5</f>
        <v>1111</v>
      </c>
      <c r="H33" s="100">
        <f>E33+F33+G33</f>
        <v>1522.6220760439373</v>
      </c>
      <c r="I33" s="100"/>
    </row>
    <row r="34" spans="1:9">
      <c r="A34" s="94"/>
      <c r="B34" s="97" t="s">
        <v>8</v>
      </c>
      <c r="C34" s="98">
        <f>SUM(F6,F8,F10,F12,F14,F16,F18,F20)</f>
        <v>4111764.4002621393</v>
      </c>
      <c r="D34" s="99">
        <f>B$36-C34</f>
        <v>1414410.6843740339</v>
      </c>
      <c r="E34" s="100">
        <f>D34*H$5</f>
        <v>75.756084494206931</v>
      </c>
      <c r="F34" s="100">
        <f>SUM(I6,I8,I10,I12,I14,I16,I18,I20)</f>
        <v>386</v>
      </c>
      <c r="G34" s="84">
        <f>G5</f>
        <v>1111</v>
      </c>
      <c r="H34" s="100">
        <f>E34+F34+G34</f>
        <v>1572.7560844942068</v>
      </c>
      <c r="I34" s="113"/>
    </row>
    <row r="36" spans="1:9" ht="36" customHeight="1">
      <c r="A36" s="102" t="s">
        <v>32</v>
      </c>
      <c r="B36" s="92">
        <f>F21</f>
        <v>5526175.0846361732</v>
      </c>
    </row>
    <row r="37" spans="1:9">
      <c r="B37" s="102"/>
      <c r="C37" s="92"/>
    </row>
    <row r="38" spans="1:9">
      <c r="B38" s="102"/>
      <c r="D38" s="103"/>
      <c r="E38" s="103"/>
    </row>
    <row r="39" spans="1:9">
      <c r="B39" s="102"/>
      <c r="C39" s="104"/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Y35"/>
  <sheetViews>
    <sheetView zoomScale="85" zoomScaleNormal="85" workbookViewId="0">
      <selection activeCell="F7" sqref="F7"/>
    </sheetView>
  </sheetViews>
  <sheetFormatPr defaultColWidth="9.140625" defaultRowHeight="15"/>
  <cols>
    <col min="1" max="1" width="4.42578125" style="19" customWidth="1"/>
    <col min="2" max="2" width="9.140625" style="19" customWidth="1"/>
    <col min="3" max="3" width="13.85546875" style="19" customWidth="1"/>
    <col min="4" max="4" width="11.28515625" style="19" customWidth="1"/>
    <col min="5" max="7" width="10.7109375" style="19" customWidth="1"/>
    <col min="8" max="8" width="11.42578125" style="19" customWidth="1"/>
    <col min="9" max="9" width="13.140625" style="19" customWidth="1"/>
    <col min="10" max="10" width="8" style="19" customWidth="1"/>
    <col min="11" max="11" width="9.140625" style="19"/>
    <col min="12" max="12" width="13.42578125" style="19" customWidth="1"/>
    <col min="13" max="13" width="13.28515625" style="19" customWidth="1"/>
    <col min="14" max="14" width="9.140625" style="19"/>
    <col min="15" max="16" width="12" style="19" customWidth="1"/>
    <col min="17" max="17" width="9.140625" style="19"/>
    <col min="18" max="18" width="13" style="19" customWidth="1"/>
    <col min="19" max="20" width="12.42578125" style="19" customWidth="1"/>
    <col min="21" max="21" width="13.140625" style="19" customWidth="1"/>
    <col min="22" max="23" width="9.140625" style="19"/>
    <col min="24" max="24" width="12.42578125" style="19" customWidth="1"/>
    <col min="25" max="16384" width="9.140625" style="19"/>
  </cols>
  <sheetData>
    <row r="2" spans="1:25" ht="15.75">
      <c r="A2" s="20"/>
      <c r="C2" s="20"/>
      <c r="D2" s="141" t="s">
        <v>33</v>
      </c>
      <c r="E2" s="141"/>
      <c r="F2" s="141"/>
      <c r="G2" s="141"/>
      <c r="H2" s="20"/>
      <c r="I2" s="20"/>
      <c r="J2" s="20"/>
      <c r="K2" s="20"/>
      <c r="L2" s="20"/>
      <c r="N2" s="41"/>
      <c r="O2" s="41"/>
      <c r="P2" s="42"/>
      <c r="Q2" s="42"/>
      <c r="R2" s="42"/>
      <c r="S2" s="42"/>
      <c r="T2" s="41"/>
      <c r="U2" s="41"/>
      <c r="V2" s="41"/>
      <c r="W2" s="41"/>
      <c r="X2" s="41"/>
      <c r="Y2" s="46"/>
    </row>
    <row r="3" spans="1:25" ht="18.75">
      <c r="A3" s="20"/>
      <c r="B3" s="19" t="s">
        <v>34</v>
      </c>
      <c r="C3" s="21"/>
      <c r="D3" s="22" t="s">
        <v>35</v>
      </c>
      <c r="E3" s="22" t="s">
        <v>36</v>
      </c>
      <c r="F3" s="22" t="s">
        <v>37</v>
      </c>
      <c r="G3" s="21" t="s">
        <v>20</v>
      </c>
      <c r="H3" s="23" t="s">
        <v>38</v>
      </c>
      <c r="I3" s="23" t="s">
        <v>39</v>
      </c>
      <c r="J3" s="20"/>
      <c r="K3" s="20" t="s">
        <v>40</v>
      </c>
      <c r="M3" s="41"/>
      <c r="N3" s="43"/>
      <c r="O3" s="25"/>
      <c r="P3" s="25"/>
      <c r="Q3" s="25"/>
      <c r="R3" s="25"/>
      <c r="S3" s="43"/>
      <c r="T3" s="25"/>
      <c r="U3" s="25"/>
      <c r="V3" s="41"/>
      <c r="W3" s="41"/>
      <c r="X3" s="46"/>
    </row>
    <row r="4" spans="1:25" ht="15.75">
      <c r="A4" s="142" t="s">
        <v>41</v>
      </c>
      <c r="B4" s="24" t="s">
        <v>35</v>
      </c>
      <c r="C4" s="25"/>
      <c r="D4" s="26">
        <v>1147</v>
      </c>
      <c r="E4" s="26">
        <v>13</v>
      </c>
      <c r="F4" s="26">
        <v>24</v>
      </c>
      <c r="G4" s="27">
        <f t="shared" ref="G4:G6" si="0">SUM(D4:F4)</f>
        <v>1184</v>
      </c>
      <c r="H4" s="28">
        <f>H7-H5-H6</f>
        <v>22103627.627644155</v>
      </c>
      <c r="I4" s="30">
        <f t="shared" ref="I4:I6" si="1">H4/$H$7</f>
        <v>0.84142754602086112</v>
      </c>
      <c r="J4" s="20"/>
      <c r="K4" s="34">
        <f>D4/G4</f>
        <v>0.96875</v>
      </c>
      <c r="M4" s="44"/>
      <c r="N4" s="25"/>
      <c r="O4" s="43"/>
      <c r="P4" s="43"/>
      <c r="Q4" s="43"/>
      <c r="R4" s="43"/>
      <c r="S4" s="43"/>
      <c r="T4" s="60"/>
      <c r="U4" s="48"/>
      <c r="V4" s="41"/>
      <c r="W4" s="50"/>
      <c r="X4" s="46"/>
    </row>
    <row r="5" spans="1:25" ht="15.75">
      <c r="A5" s="142"/>
      <c r="B5" s="24" t="s">
        <v>36</v>
      </c>
      <c r="C5" s="25"/>
      <c r="D5" s="26">
        <v>4</v>
      </c>
      <c r="E5" s="26">
        <v>184</v>
      </c>
      <c r="F5" s="26">
        <v>2</v>
      </c>
      <c r="G5" s="27">
        <f t="shared" si="0"/>
        <v>190</v>
      </c>
      <c r="H5" s="28">
        <f>BA_GEE!B14</f>
        <v>1549195.8792221099</v>
      </c>
      <c r="I5" s="30">
        <f t="shared" si="1"/>
        <v>5.8973853021718842E-2</v>
      </c>
      <c r="J5" s="20"/>
      <c r="K5" s="34">
        <f>E5/G5</f>
        <v>0.96842105263157896</v>
      </c>
      <c r="M5" s="44"/>
      <c r="N5" s="45"/>
      <c r="O5" s="45"/>
      <c r="P5" s="43"/>
      <c r="Q5" s="43"/>
      <c r="R5" s="43"/>
      <c r="S5" s="43"/>
      <c r="T5" s="60"/>
      <c r="U5" s="48"/>
      <c r="V5" s="41"/>
      <c r="W5" s="50"/>
      <c r="X5" s="46"/>
    </row>
    <row r="6" spans="1:25" ht="15.75">
      <c r="A6" s="142"/>
      <c r="B6" s="24" t="s">
        <v>37</v>
      </c>
      <c r="C6" s="25"/>
      <c r="D6" s="26">
        <v>7</v>
      </c>
      <c r="E6" s="26">
        <v>0</v>
      </c>
      <c r="F6" s="26">
        <v>193</v>
      </c>
      <c r="G6" s="27">
        <f t="shared" si="0"/>
        <v>200</v>
      </c>
      <c r="H6" s="28">
        <f>BA_GEE!B15</f>
        <v>2616375.4659662098</v>
      </c>
      <c r="I6" s="30">
        <f t="shared" si="1"/>
        <v>9.9598600957420028E-2</v>
      </c>
      <c r="J6" s="20"/>
      <c r="K6" s="34">
        <f>F6/G6</f>
        <v>0.96499999999999997</v>
      </c>
      <c r="M6" s="44"/>
      <c r="N6" s="25"/>
      <c r="O6" s="43"/>
      <c r="P6" s="43"/>
      <c r="Q6" s="43"/>
      <c r="R6" s="43"/>
      <c r="S6" s="43"/>
      <c r="T6" s="60"/>
      <c r="U6" s="48"/>
      <c r="V6" s="41"/>
      <c r="W6" s="50"/>
      <c r="X6" s="46"/>
    </row>
    <row r="7" spans="1:25" ht="15.75">
      <c r="A7" s="20"/>
      <c r="C7" s="21" t="s">
        <v>20</v>
      </c>
      <c r="D7" s="21">
        <f t="shared" ref="D7:I7" si="2">SUM(D4:D6)</f>
        <v>1158</v>
      </c>
      <c r="E7" s="21">
        <f t="shared" si="2"/>
        <v>197</v>
      </c>
      <c r="F7" s="21">
        <f t="shared" si="2"/>
        <v>219</v>
      </c>
      <c r="G7" s="29">
        <f t="shared" si="2"/>
        <v>1574</v>
      </c>
      <c r="H7" s="29">
        <f>REFDATASET_correction!B24</f>
        <v>26269198.972832475</v>
      </c>
      <c r="I7" s="21">
        <f t="shared" si="2"/>
        <v>1</v>
      </c>
      <c r="J7" s="20"/>
      <c r="K7" s="20"/>
      <c r="M7" s="41"/>
      <c r="N7" s="43"/>
      <c r="P7" s="43"/>
      <c r="Q7" s="43"/>
      <c r="R7" s="43"/>
      <c r="S7" s="60"/>
      <c r="T7" s="60"/>
      <c r="U7" s="43"/>
      <c r="V7" s="41"/>
      <c r="W7" s="41"/>
      <c r="X7" s="46"/>
    </row>
    <row r="8" spans="1:25"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</row>
    <row r="9" spans="1:25"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</row>
    <row r="10" spans="1:25" ht="15.75" customHeight="1">
      <c r="A10" s="20"/>
      <c r="C10" s="20"/>
      <c r="D10" s="141" t="s">
        <v>33</v>
      </c>
      <c r="E10" s="141"/>
      <c r="F10" s="141"/>
      <c r="G10" s="141"/>
      <c r="H10" s="20"/>
      <c r="I10" s="20"/>
      <c r="J10" s="20"/>
      <c r="N10" s="41"/>
      <c r="O10" s="41"/>
      <c r="P10" s="47"/>
      <c r="Q10" s="47"/>
      <c r="R10" s="47"/>
      <c r="S10" s="47"/>
      <c r="T10" s="41"/>
      <c r="U10" s="41"/>
      <c r="V10" s="41"/>
      <c r="W10" s="46"/>
      <c r="X10" s="46"/>
      <c r="Y10" s="46"/>
    </row>
    <row r="11" spans="1:25" ht="18.75">
      <c r="A11" s="20"/>
      <c r="B11" s="19" t="s">
        <v>34</v>
      </c>
      <c r="C11" s="21"/>
      <c r="D11" s="22" t="s">
        <v>35</v>
      </c>
      <c r="E11" s="22" t="s">
        <v>36</v>
      </c>
      <c r="F11" s="23" t="s">
        <v>37</v>
      </c>
      <c r="G11" s="21" t="s">
        <v>20</v>
      </c>
      <c r="H11" s="23" t="s">
        <v>38</v>
      </c>
      <c r="I11" s="23" t="s">
        <v>39</v>
      </c>
      <c r="M11" s="41"/>
      <c r="N11" s="43"/>
      <c r="O11" s="25"/>
      <c r="P11" s="25"/>
      <c r="Q11" s="25"/>
      <c r="R11" s="25"/>
      <c r="S11" s="43"/>
      <c r="T11" s="25"/>
      <c r="U11" s="25"/>
      <c r="V11" s="46"/>
      <c r="W11" s="46"/>
      <c r="X11" s="46"/>
    </row>
    <row r="12" spans="1:25" ht="15.75">
      <c r="A12" s="142" t="s">
        <v>41</v>
      </c>
      <c r="B12" s="24" t="s">
        <v>35</v>
      </c>
      <c r="C12" s="25"/>
      <c r="D12" s="30">
        <f t="shared" ref="D12:G12" si="3">D4/$G4*$I4</f>
        <v>0.81513293520770924</v>
      </c>
      <c r="E12" s="66">
        <f t="shared" si="3"/>
        <v>9.2386470424587804E-3</v>
      </c>
      <c r="F12" s="30">
        <f t="shared" si="3"/>
        <v>1.7055963770693131E-2</v>
      </c>
      <c r="G12" s="30">
        <f t="shared" si="3"/>
        <v>0.84142754602086112</v>
      </c>
      <c r="H12" s="28">
        <v>36585421</v>
      </c>
      <c r="I12" s="30">
        <f t="shared" ref="I12:I14" si="4">H12/$H$7</f>
        <v>1.392711709170749</v>
      </c>
      <c r="M12" s="44"/>
      <c r="N12" s="25"/>
      <c r="O12" s="48"/>
      <c r="P12" s="49"/>
      <c r="Q12" s="48"/>
      <c r="R12" s="48"/>
      <c r="S12" s="48"/>
      <c r="T12" s="60"/>
      <c r="U12" s="48"/>
      <c r="V12" s="46"/>
      <c r="W12" s="46"/>
      <c r="X12" s="46"/>
    </row>
    <row r="13" spans="1:25" ht="15.75">
      <c r="A13" s="142"/>
      <c r="B13" s="24" t="s">
        <v>36</v>
      </c>
      <c r="C13" s="25"/>
      <c r="D13" s="66">
        <f t="shared" ref="D13:G13" si="5">D5/$G5*$I5</f>
        <v>1.2415548004572387E-3</v>
      </c>
      <c r="E13" s="30">
        <f t="shared" si="5"/>
        <v>5.7111520821032984E-2</v>
      </c>
      <c r="F13" s="30">
        <f t="shared" si="5"/>
        <v>6.2077740022861933E-4</v>
      </c>
      <c r="G13" s="30">
        <f t="shared" si="5"/>
        <v>5.8973853021718842E-2</v>
      </c>
      <c r="H13" s="28">
        <v>1250484</v>
      </c>
      <c r="I13" s="30">
        <f t="shared" si="4"/>
        <v>4.7602669624347768E-2</v>
      </c>
      <c r="M13" s="44"/>
      <c r="N13" s="25"/>
      <c r="O13" s="49"/>
      <c r="P13" s="48"/>
      <c r="Q13" s="48"/>
      <c r="R13" s="48"/>
      <c r="S13" s="48"/>
      <c r="T13" s="60"/>
      <c r="U13" s="48"/>
      <c r="V13" s="46"/>
      <c r="W13" s="46"/>
      <c r="X13" s="46"/>
    </row>
    <row r="14" spans="1:25" ht="15.75">
      <c r="A14" s="142"/>
      <c r="B14" s="24" t="s">
        <v>37</v>
      </c>
      <c r="C14" s="25"/>
      <c r="D14" s="30">
        <f t="shared" ref="D14:G14" si="6">D6/$G6*$I6</f>
        <v>3.4859510335097012E-3</v>
      </c>
      <c r="E14" s="30">
        <f t="shared" si="6"/>
        <v>0</v>
      </c>
      <c r="F14" s="30">
        <f t="shared" si="6"/>
        <v>9.6112649923910318E-2</v>
      </c>
      <c r="G14" s="30">
        <f t="shared" si="6"/>
        <v>9.9598600957420028E-2</v>
      </c>
      <c r="H14" s="28">
        <v>2211462</v>
      </c>
      <c r="I14" s="30">
        <f t="shared" si="4"/>
        <v>8.4184599701235166E-2</v>
      </c>
      <c r="M14" s="44"/>
      <c r="N14" s="25"/>
      <c r="O14" s="48"/>
      <c r="P14" s="49"/>
      <c r="Q14" s="48"/>
      <c r="R14" s="48"/>
      <c r="S14" s="48"/>
      <c r="T14" s="60"/>
      <c r="U14" s="48"/>
      <c r="V14" s="46"/>
      <c r="W14" s="46"/>
      <c r="X14" s="46"/>
    </row>
    <row r="15" spans="1:25" ht="15.75">
      <c r="A15" s="20"/>
      <c r="C15" s="21" t="s">
        <v>20</v>
      </c>
      <c r="D15" s="31">
        <f t="shared" ref="D15:I15" si="7">SUM(D12:D14)</f>
        <v>0.81986044104167621</v>
      </c>
      <c r="E15" s="31">
        <f t="shared" si="7"/>
        <v>6.6350167863491766E-2</v>
      </c>
      <c r="F15" s="31">
        <f t="shared" si="7"/>
        <v>0.11378939109483208</v>
      </c>
      <c r="G15" s="32">
        <f t="shared" si="7"/>
        <v>1</v>
      </c>
      <c r="H15" s="29">
        <f t="shared" si="7"/>
        <v>40047367</v>
      </c>
      <c r="I15" s="21">
        <f t="shared" si="7"/>
        <v>1.5244989784963319</v>
      </c>
      <c r="M15" s="41"/>
      <c r="N15" s="43"/>
      <c r="O15" s="48"/>
      <c r="P15" s="48"/>
      <c r="Q15" s="48"/>
      <c r="R15" s="48"/>
      <c r="S15" s="49"/>
      <c r="T15" s="60"/>
      <c r="U15" s="43"/>
      <c r="V15" s="46"/>
      <c r="W15" s="46"/>
      <c r="X15" s="46"/>
    </row>
    <row r="16" spans="1:25"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</row>
    <row r="17" spans="2:25" ht="15.75">
      <c r="C17" s="33" t="s">
        <v>42</v>
      </c>
      <c r="D17" s="34">
        <f>D12/D15</f>
        <v>0.99423376760566662</v>
      </c>
      <c r="E17" s="34">
        <f>E13/E15</f>
        <v>0.86075925140888432</v>
      </c>
      <c r="F17" s="34">
        <f>F14/F15</f>
        <v>0.84465387325792118</v>
      </c>
      <c r="G17" s="34"/>
      <c r="H17" s="20"/>
      <c r="N17" s="46"/>
      <c r="O17" s="33"/>
      <c r="P17" s="50"/>
      <c r="Q17" s="50"/>
      <c r="R17" s="50"/>
      <c r="S17" s="50"/>
      <c r="T17" s="41"/>
      <c r="U17" s="46"/>
      <c r="V17" s="46"/>
      <c r="W17" s="46"/>
      <c r="X17" s="46"/>
      <c r="Y17" s="46"/>
    </row>
    <row r="18" spans="2:25">
      <c r="C18" s="19" t="s">
        <v>43</v>
      </c>
      <c r="D18" s="35">
        <f>SUM(D12,E13,F14)</f>
        <v>0.96835710595265256</v>
      </c>
      <c r="N18" s="46"/>
      <c r="O18" s="46"/>
      <c r="P18" s="51"/>
      <c r="Q18" s="46"/>
      <c r="R18" s="46"/>
      <c r="S18" s="46"/>
      <c r="T18" s="46"/>
      <c r="U18" s="46"/>
      <c r="V18" s="46"/>
      <c r="W18" s="46"/>
      <c r="X18" s="46"/>
      <c r="Y18" s="46"/>
    </row>
    <row r="19" spans="2:25">
      <c r="C19" s="36" t="s">
        <v>44</v>
      </c>
      <c r="D19" s="37">
        <f>$H$7*D15</f>
        <v>21537077.05567798</v>
      </c>
      <c r="E19" s="37">
        <f t="shared" ref="E19:F19" si="8">$H$7*E15</f>
        <v>1742965.7614869003</v>
      </c>
      <c r="F19" s="37">
        <f t="shared" si="8"/>
        <v>2989156.1556675956</v>
      </c>
      <c r="G19" s="38"/>
      <c r="N19" s="46"/>
      <c r="O19" s="46"/>
      <c r="P19" s="52"/>
      <c r="Q19" s="52"/>
      <c r="R19" s="52"/>
      <c r="S19" s="52"/>
      <c r="T19" s="46"/>
      <c r="U19" s="46"/>
      <c r="V19" s="46"/>
      <c r="W19" s="46"/>
      <c r="X19" s="46"/>
      <c r="Y19" s="46"/>
    </row>
    <row r="20" spans="2:25"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</row>
    <row r="21" spans="2:25"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</row>
    <row r="23" spans="2:25">
      <c r="B23" s="19" t="s">
        <v>34</v>
      </c>
      <c r="C23" s="19" t="s">
        <v>45</v>
      </c>
      <c r="D23" s="19" t="str">
        <f t="shared" ref="D23:D26" si="9">K3</f>
        <v>User's</v>
      </c>
      <c r="E23" s="19" t="s">
        <v>46</v>
      </c>
      <c r="F23" s="19" t="s">
        <v>47</v>
      </c>
      <c r="G23" s="39" t="s">
        <v>48</v>
      </c>
      <c r="H23" s="19" t="s">
        <v>49</v>
      </c>
      <c r="I23" s="53" t="s">
        <v>50</v>
      </c>
      <c r="J23" s="46" t="s">
        <v>51</v>
      </c>
      <c r="K23" s="19" t="s">
        <v>52</v>
      </c>
      <c r="L23" s="53" t="s">
        <v>53</v>
      </c>
      <c r="M23" s="46" t="s">
        <v>54</v>
      </c>
      <c r="N23" s="54" t="s">
        <v>55</v>
      </c>
      <c r="O23" s="54" t="s">
        <v>56</v>
      </c>
      <c r="P23" s="54" t="s">
        <v>57</v>
      </c>
      <c r="Q23" s="54" t="s">
        <v>58</v>
      </c>
      <c r="R23" s="61" t="s">
        <v>59</v>
      </c>
      <c r="V23" s="19" t="s">
        <v>58</v>
      </c>
      <c r="W23" s="19" t="s">
        <v>60</v>
      </c>
      <c r="X23" s="36" t="s">
        <v>61</v>
      </c>
    </row>
    <row r="24" spans="2:25">
      <c r="B24" s="24" t="s">
        <v>36</v>
      </c>
      <c r="C24" s="35">
        <f t="shared" ref="C24:C26" si="10">I4</f>
        <v>0.84142754602086112</v>
      </c>
      <c r="D24" s="40">
        <f t="shared" si="9"/>
        <v>0.96875</v>
      </c>
      <c r="E24" s="19">
        <f t="shared" ref="E24:E26" si="11">G4</f>
        <v>1184</v>
      </c>
      <c r="F24" s="19">
        <f t="shared" ref="F24:F26" si="12">C24^2*D24*(1-D24)/(E24-1)</f>
        <v>1.8118007854834223E-5</v>
      </c>
      <c r="G24" s="39">
        <f>SUM(F24:F26)</f>
        <v>2.0364400627937983E-5</v>
      </c>
      <c r="H24" s="19">
        <f>SQRT(G24)</f>
        <v>4.5126932787347713E-3</v>
      </c>
      <c r="I24" s="55">
        <f>H24*1.96</f>
        <v>8.8448788263201517E-3</v>
      </c>
      <c r="J24" s="56">
        <f>D24*(1-D24)/(E24-1)</f>
        <v>2.5590395181741335E-5</v>
      </c>
      <c r="K24" s="19">
        <f t="shared" ref="K24:K26" si="13">SQRT(J24)</f>
        <v>5.0586950077803009E-3</v>
      </c>
      <c r="L24" s="55">
        <f t="shared" ref="L24:L26" si="14">1.96*K24</f>
        <v>9.9150422152493901E-3</v>
      </c>
      <c r="M24" s="52">
        <f>(H4*D4/G4+H6*D5/G5+H5*D6/G6)</f>
        <v>21522192.708810233</v>
      </c>
      <c r="N24" s="19">
        <f>H4^2*(1-D17)^2*K4*(1-K4)/(G4-1)</f>
        <v>415708.00444270426</v>
      </c>
      <c r="O24" s="19">
        <f>D17^2*(H6^2*D5/G5*(1-D5/G5)/(G5-1)+H5^2*D6/G6*(1-D6/G6)/(G6-1))</f>
        <v>1140526042.7249968</v>
      </c>
      <c r="P24" s="19">
        <f t="shared" ref="P24:P26" si="15">(1/M24^2)*(N24+O24)</f>
        <v>2.4631476238317277E-6</v>
      </c>
      <c r="Q24" s="19">
        <f t="shared" ref="Q24:Q26" si="16">SQRT(P24)</f>
        <v>1.5694418191929663E-3</v>
      </c>
      <c r="R24" s="62">
        <f t="shared" ref="R24:R26" si="17">1.96*Q24</f>
        <v>3.0761059656182138E-3</v>
      </c>
      <c r="S24" s="19">
        <f>G12^2*(D4/G4*(1-(D4/G4))/(G4-1))</f>
        <v>1.8118007854834223E-5</v>
      </c>
      <c r="T24" s="19">
        <f>G13^2*(D5/G5*(1-(D5/G5))/(G5-1))</f>
        <v>3.7924768252929238E-7</v>
      </c>
      <c r="U24" s="19">
        <f>G14^2*(D6/G6*(1-(D6/G6))/(G6-1))</f>
        <v>1.683638147415132E-6</v>
      </c>
      <c r="V24" s="19">
        <f t="shared" ref="V24:V26" si="18">SQRT(SUM(S24:U24))</f>
        <v>4.4923149583236755E-3</v>
      </c>
      <c r="W24" s="19">
        <f>V24*H7</f>
        <v>118009.51548883626</v>
      </c>
      <c r="X24" s="63">
        <f t="shared" ref="X24:X26" si="19">2*W24</f>
        <v>236019.03097767252</v>
      </c>
    </row>
    <row r="25" spans="2:25">
      <c r="B25" s="24" t="s">
        <v>37</v>
      </c>
      <c r="C25" s="35">
        <f t="shared" si="10"/>
        <v>5.8973853021718842E-2</v>
      </c>
      <c r="D25" s="40">
        <f t="shared" si="9"/>
        <v>0.96842105263157896</v>
      </c>
      <c r="E25" s="19">
        <f t="shared" si="11"/>
        <v>190</v>
      </c>
      <c r="F25" s="19">
        <f t="shared" si="12"/>
        <v>5.6275462568862717E-7</v>
      </c>
      <c r="G25" s="39"/>
      <c r="I25" s="57"/>
      <c r="J25" s="46">
        <f t="shared" ref="J25:J26" si="20">D25*(1-D25)/(E25-1)</f>
        <v>1.6180802884403986E-4</v>
      </c>
      <c r="K25" s="19">
        <f t="shared" si="13"/>
        <v>1.2720378486666184E-2</v>
      </c>
      <c r="L25" s="55">
        <f t="shared" si="14"/>
        <v>2.4931941833865719E-2</v>
      </c>
      <c r="M25" s="52">
        <f>(H4*E4/G4+H6*E5/G5+H5*E6/G6)</f>
        <v>2776444.9402285544</v>
      </c>
      <c r="N25" s="19">
        <f>H6^2*(1-E17)^2*K5*(1-K5)/(G5-1)</f>
        <v>21474986.64376286</v>
      </c>
      <c r="O25" s="19">
        <f>E17^2*(H4^2*E4/G4*(1-E4/G4)/(G4-1)+H5^2*E6/G6*(1-E6/G6)/(G6-1))</f>
        <v>3322787801.7194176</v>
      </c>
      <c r="P25" s="19">
        <f t="shared" si="15"/>
        <v>4.3383268200296939E-4</v>
      </c>
      <c r="Q25" s="19">
        <f t="shared" si="16"/>
        <v>2.0828650508445557E-2</v>
      </c>
      <c r="R25" s="64">
        <f t="shared" si="17"/>
        <v>4.0824154996553293E-2</v>
      </c>
      <c r="S25" s="19">
        <f>G12^2*(E4/G4*(1-(E4/G4))/(G4-1))</f>
        <v>6.4989852158189726E-6</v>
      </c>
      <c r="T25" s="19">
        <f>G13^2*(E5/G5*(1-(E5/G5))/(G5-1))</f>
        <v>5.6275462568862717E-7</v>
      </c>
      <c r="U25" s="19">
        <f>G14^2*(E6/G6*(1-(E6/G6))/(G6-1))</f>
        <v>0</v>
      </c>
      <c r="V25" s="19">
        <f t="shared" si="18"/>
        <v>2.6573934299436355E-3</v>
      </c>
      <c r="W25" s="19">
        <f>V25*H7</f>
        <v>69807.59676028711</v>
      </c>
      <c r="X25" s="63">
        <f t="shared" si="19"/>
        <v>139615.19352057422</v>
      </c>
    </row>
    <row r="26" spans="2:25">
      <c r="B26" s="24" t="s">
        <v>35</v>
      </c>
      <c r="C26" s="35">
        <f t="shared" si="10"/>
        <v>9.9598600957420028E-2</v>
      </c>
      <c r="D26" s="40">
        <f t="shared" si="9"/>
        <v>0.96499999999999997</v>
      </c>
      <c r="E26" s="19">
        <f t="shared" si="11"/>
        <v>200</v>
      </c>
      <c r="F26" s="19">
        <f t="shared" si="12"/>
        <v>1.6836381474151332E-6</v>
      </c>
      <c r="G26" s="39"/>
      <c r="I26" s="58"/>
      <c r="J26" s="46">
        <f t="shared" si="20"/>
        <v>1.697236180904524E-4</v>
      </c>
      <c r="K26" s="19">
        <f t="shared" si="13"/>
        <v>1.3027801736688058E-2</v>
      </c>
      <c r="L26" s="59">
        <f t="shared" si="14"/>
        <v>2.5534491403908594E-2</v>
      </c>
      <c r="M26" s="52">
        <f>(H4*F4/G4+H6*F5/G5+H5*F6/G6)</f>
        <v>1970561.3237936876</v>
      </c>
      <c r="N26" s="19">
        <f>H5^2*(1-F17)^2*K6*(1-K6)/(G6-1)</f>
        <v>9830051.7997640632</v>
      </c>
      <c r="O26" s="19">
        <f>F17^2*(H4^2*F4/G4*(1-F4/G4)/(G4-1)+H6^2*F5/G5*(1-F5/G5)/(G5-1))</f>
        <v>6120619252.2703657</v>
      </c>
      <c r="P26" s="19">
        <f t="shared" si="15"/>
        <v>1.5787464830449409E-3</v>
      </c>
      <c r="Q26" s="19">
        <f t="shared" si="16"/>
        <v>3.9733442879329506E-2</v>
      </c>
      <c r="R26" s="65">
        <f t="shared" si="17"/>
        <v>7.7877548043485831E-2</v>
      </c>
      <c r="S26" s="19">
        <f>G12^2*(F4/G4*(1-(F4/G4))/(G4-1))</f>
        <v>1.1885419983472389E-5</v>
      </c>
      <c r="T26" s="19">
        <f>G13^2*(F5/G5*(1-(F5/G5))/(G5-1))</f>
        <v>1.9166280729974987E-7</v>
      </c>
      <c r="U26" s="19">
        <f>G14^2*(F6/G6*(1-(F6/G6))/(G6-1))</f>
        <v>1.6836381474151334E-6</v>
      </c>
      <c r="V26" s="19">
        <f t="shared" si="18"/>
        <v>3.7095445728805134E-3</v>
      </c>
      <c r="W26" s="19">
        <f>V26*H7</f>
        <v>97446.764483589068</v>
      </c>
      <c r="X26" s="63">
        <f t="shared" si="19"/>
        <v>194893.52896717814</v>
      </c>
    </row>
    <row r="27" spans="2:25">
      <c r="M27" s="54"/>
    </row>
    <row r="32" spans="2:25">
      <c r="M32" s="38"/>
    </row>
    <row r="33" spans="13:13">
      <c r="M33" s="38"/>
    </row>
    <row r="34" spans="13:13">
      <c r="M34" s="38"/>
    </row>
    <row r="35" spans="13:13">
      <c r="M35" s="38"/>
    </row>
  </sheetData>
  <mergeCells count="4">
    <mergeCell ref="D2:G2"/>
    <mergeCell ref="D10:G10"/>
    <mergeCell ref="A4:A6"/>
    <mergeCell ref="A12:A14"/>
  </mergeCells>
  <pageMargins left="0.75" right="0.75" top="1" bottom="1" header="0.5" footer="0.5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Y35"/>
  <sheetViews>
    <sheetView zoomScale="85" zoomScaleNormal="85" workbookViewId="0">
      <selection activeCell="F7" sqref="F7"/>
    </sheetView>
  </sheetViews>
  <sheetFormatPr defaultColWidth="9.140625" defaultRowHeight="15"/>
  <cols>
    <col min="1" max="1" width="4.42578125" style="19" customWidth="1"/>
    <col min="2" max="2" width="9.140625" style="19" customWidth="1"/>
    <col min="3" max="3" width="13.85546875" style="19" customWidth="1"/>
    <col min="4" max="4" width="11.28515625" style="19" customWidth="1"/>
    <col min="5" max="7" width="10.7109375" style="19" customWidth="1"/>
    <col min="8" max="8" width="11.42578125" style="19" customWidth="1"/>
    <col min="9" max="9" width="13.140625" style="19" customWidth="1"/>
    <col min="10" max="10" width="8" style="19" customWidth="1"/>
    <col min="11" max="11" width="9.140625" style="19"/>
    <col min="12" max="12" width="13.42578125" style="19" customWidth="1"/>
    <col min="13" max="13" width="13.28515625" style="19" customWidth="1"/>
    <col min="14" max="14" width="9.140625" style="19"/>
    <col min="15" max="16" width="12" style="19" customWidth="1"/>
    <col min="17" max="17" width="9.140625" style="19"/>
    <col min="18" max="18" width="13" style="19" customWidth="1"/>
    <col min="19" max="20" width="12.42578125" style="19" customWidth="1"/>
    <col min="21" max="21" width="13.140625" style="19" customWidth="1"/>
    <col min="22" max="23" width="9.140625" style="19"/>
    <col min="24" max="24" width="12.42578125" style="19" customWidth="1"/>
    <col min="25" max="16384" width="9.140625" style="19"/>
  </cols>
  <sheetData>
    <row r="2" spans="1:25" ht="15.75">
      <c r="A2" s="20"/>
      <c r="C2" s="20"/>
      <c r="D2" s="141" t="s">
        <v>33</v>
      </c>
      <c r="E2" s="141"/>
      <c r="F2" s="141"/>
      <c r="G2" s="141"/>
      <c r="H2" s="20"/>
      <c r="I2" s="20"/>
      <c r="J2" s="20"/>
      <c r="K2" s="20"/>
      <c r="L2" s="20"/>
      <c r="N2" s="41"/>
      <c r="O2" s="41"/>
      <c r="P2" s="42"/>
      <c r="Q2" s="42"/>
      <c r="R2" s="42"/>
      <c r="S2" s="42"/>
      <c r="T2" s="41"/>
      <c r="U2" s="41"/>
      <c r="V2" s="41"/>
      <c r="W2" s="41"/>
      <c r="X2" s="41"/>
      <c r="Y2" s="46"/>
    </row>
    <row r="3" spans="1:25" ht="18.75">
      <c r="A3" s="20"/>
      <c r="B3" s="19" t="s">
        <v>34</v>
      </c>
      <c r="C3" s="21"/>
      <c r="D3" s="22" t="s">
        <v>35</v>
      </c>
      <c r="E3" s="22" t="s">
        <v>36</v>
      </c>
      <c r="F3" s="22" t="s">
        <v>37</v>
      </c>
      <c r="G3" s="21" t="s">
        <v>20</v>
      </c>
      <c r="H3" s="23" t="s">
        <v>38</v>
      </c>
      <c r="I3" s="23" t="s">
        <v>39</v>
      </c>
      <c r="J3" s="20"/>
      <c r="K3" s="20" t="s">
        <v>40</v>
      </c>
      <c r="M3" s="41"/>
      <c r="N3" s="43"/>
      <c r="O3" s="25"/>
      <c r="P3" s="25"/>
      <c r="Q3" s="25"/>
      <c r="R3" s="25"/>
      <c r="S3" s="43"/>
      <c r="T3" s="25"/>
      <c r="U3" s="25"/>
      <c r="V3" s="41"/>
      <c r="W3" s="41"/>
      <c r="X3" s="46"/>
    </row>
    <row r="4" spans="1:25" ht="15.75">
      <c r="A4" s="142" t="s">
        <v>41</v>
      </c>
      <c r="B4" s="24" t="s">
        <v>35</v>
      </c>
      <c r="C4" s="25"/>
      <c r="D4" s="26">
        <v>1144</v>
      </c>
      <c r="E4" s="26">
        <v>14</v>
      </c>
      <c r="F4" s="26">
        <v>29</v>
      </c>
      <c r="G4" s="27">
        <f t="shared" ref="G4:G6" si="0">SUM(D4:F4)</f>
        <v>1187</v>
      </c>
      <c r="H4" s="28">
        <f>H7-H5-H6</f>
        <v>22164827.295531783</v>
      </c>
      <c r="I4" s="30">
        <f t="shared" ref="I4:I6" si="1">H4/$H$7</f>
        <v>0.84375725801363721</v>
      </c>
      <c r="J4" s="20"/>
      <c r="K4" s="34">
        <f>D4/G4</f>
        <v>0.96377422072451557</v>
      </c>
      <c r="M4" s="44"/>
      <c r="N4" s="25"/>
      <c r="O4" s="43"/>
      <c r="P4" s="43"/>
      <c r="Q4" s="43"/>
      <c r="R4" s="43"/>
      <c r="S4" s="43"/>
      <c r="T4" s="60"/>
      <c r="U4" s="48"/>
      <c r="V4" s="41"/>
      <c r="W4" s="50"/>
      <c r="X4" s="46"/>
    </row>
    <row r="5" spans="1:25" ht="15.75">
      <c r="A5" s="142"/>
      <c r="B5" s="24" t="s">
        <v>36</v>
      </c>
      <c r="C5" s="25"/>
      <c r="D5" s="26">
        <v>13</v>
      </c>
      <c r="E5" s="26">
        <v>177</v>
      </c>
      <c r="F5" s="26">
        <v>1</v>
      </c>
      <c r="G5" s="27">
        <f t="shared" si="0"/>
        <v>191</v>
      </c>
      <c r="H5" s="28">
        <f>BA_GEE!C14</f>
        <v>1519124.6299980599</v>
      </c>
      <c r="I5" s="30">
        <f t="shared" si="1"/>
        <v>5.7829118869179602E-2</v>
      </c>
      <c r="J5" s="20"/>
      <c r="K5" s="34">
        <f>E5/G5</f>
        <v>0.92670157068062831</v>
      </c>
      <c r="M5" s="44"/>
      <c r="N5" s="45"/>
      <c r="O5" s="45"/>
      <c r="P5" s="43"/>
      <c r="Q5" s="43"/>
      <c r="R5" s="43"/>
      <c r="S5" s="43"/>
      <c r="T5" s="60"/>
      <c r="U5" s="48"/>
      <c r="V5" s="41"/>
      <c r="W5" s="50"/>
      <c r="X5" s="46"/>
    </row>
    <row r="6" spans="1:25" ht="15.75">
      <c r="A6" s="142"/>
      <c r="B6" s="24" t="s">
        <v>37</v>
      </c>
      <c r="C6" s="25"/>
      <c r="D6" s="26">
        <v>14</v>
      </c>
      <c r="E6" s="26">
        <v>2</v>
      </c>
      <c r="F6" s="26">
        <v>179</v>
      </c>
      <c r="G6" s="27">
        <f t="shared" si="0"/>
        <v>195</v>
      </c>
      <c r="H6" s="28">
        <f>BA_GEE!C15</f>
        <v>2585247.0473026298</v>
      </c>
      <c r="I6" s="30">
        <f t="shared" si="1"/>
        <v>9.8413623117183144E-2</v>
      </c>
      <c r="J6" s="20"/>
      <c r="K6" s="34">
        <f>F6/G6</f>
        <v>0.91794871794871791</v>
      </c>
      <c r="M6" s="44"/>
      <c r="N6" s="25"/>
      <c r="O6" s="43"/>
      <c r="P6" s="43"/>
      <c r="Q6" s="43"/>
      <c r="R6" s="43"/>
      <c r="S6" s="43"/>
      <c r="T6" s="60"/>
      <c r="U6" s="48"/>
      <c r="V6" s="41"/>
      <c r="W6" s="50"/>
      <c r="X6" s="46"/>
    </row>
    <row r="7" spans="1:25" ht="15.75">
      <c r="A7" s="20"/>
      <c r="C7" s="21" t="s">
        <v>20</v>
      </c>
      <c r="D7" s="21">
        <f t="shared" ref="D7:G7" si="2">SUM(D4:D6)</f>
        <v>1171</v>
      </c>
      <c r="E7" s="21">
        <f t="shared" si="2"/>
        <v>193</v>
      </c>
      <c r="F7" s="21">
        <f t="shared" si="2"/>
        <v>209</v>
      </c>
      <c r="G7" s="29">
        <f t="shared" si="2"/>
        <v>1573</v>
      </c>
      <c r="H7" s="29">
        <f>REFDATASET_correction!B24</f>
        <v>26269198.972832475</v>
      </c>
      <c r="I7" s="21">
        <f>SUM(I4:I6)</f>
        <v>1</v>
      </c>
      <c r="J7" s="20"/>
      <c r="K7" s="20"/>
      <c r="M7" s="41"/>
      <c r="N7" s="43"/>
      <c r="P7" s="43"/>
      <c r="Q7" s="43"/>
      <c r="R7" s="43"/>
      <c r="S7" s="60"/>
      <c r="T7" s="60"/>
      <c r="U7" s="43"/>
      <c r="V7" s="41"/>
      <c r="W7" s="41"/>
      <c r="X7" s="46"/>
    </row>
    <row r="8" spans="1:25"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</row>
    <row r="9" spans="1:25"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</row>
    <row r="10" spans="1:25" ht="15.75" customHeight="1">
      <c r="A10" s="20"/>
      <c r="C10" s="20"/>
      <c r="D10" s="141" t="s">
        <v>33</v>
      </c>
      <c r="E10" s="141"/>
      <c r="F10" s="141"/>
      <c r="G10" s="141"/>
      <c r="H10" s="20"/>
      <c r="I10" s="20"/>
      <c r="J10" s="20"/>
      <c r="N10" s="41"/>
      <c r="O10" s="41"/>
      <c r="P10" s="47"/>
      <c r="Q10" s="47"/>
      <c r="R10" s="47"/>
      <c r="S10" s="47"/>
      <c r="T10" s="41"/>
      <c r="U10" s="41"/>
      <c r="V10" s="41"/>
      <c r="W10" s="46"/>
      <c r="X10" s="46"/>
      <c r="Y10" s="46"/>
    </row>
    <row r="11" spans="1:25" ht="18.75">
      <c r="A11" s="20"/>
      <c r="B11" s="19" t="s">
        <v>34</v>
      </c>
      <c r="C11" s="21"/>
      <c r="D11" s="22" t="s">
        <v>35</v>
      </c>
      <c r="E11" s="22" t="s">
        <v>36</v>
      </c>
      <c r="F11" s="23" t="s">
        <v>37</v>
      </c>
      <c r="G11" s="21" t="s">
        <v>20</v>
      </c>
      <c r="H11" s="23" t="s">
        <v>38</v>
      </c>
      <c r="I11" s="23" t="s">
        <v>39</v>
      </c>
      <c r="M11" s="41"/>
      <c r="N11" s="43"/>
      <c r="O11" s="25"/>
      <c r="P11" s="25"/>
      <c r="Q11" s="25"/>
      <c r="R11" s="25"/>
      <c r="S11" s="43"/>
      <c r="T11" s="25"/>
      <c r="U11" s="25"/>
      <c r="V11" s="46"/>
      <c r="W11" s="46"/>
      <c r="X11" s="46"/>
    </row>
    <row r="12" spans="1:25" ht="15.75">
      <c r="A12" s="142" t="s">
        <v>41</v>
      </c>
      <c r="B12" s="24" t="s">
        <v>35</v>
      </c>
      <c r="C12" s="25"/>
      <c r="D12" s="30">
        <f t="shared" ref="D12:G12" si="3">D4/$G4*$I4</f>
        <v>0.81319149382274725</v>
      </c>
      <c r="E12" s="66">
        <f t="shared" si="3"/>
        <v>9.9516441551734808E-3</v>
      </c>
      <c r="F12" s="30">
        <f t="shared" si="3"/>
        <v>2.0614120035716495E-2</v>
      </c>
      <c r="G12" s="30">
        <f t="shared" si="3"/>
        <v>0.84375725801363721</v>
      </c>
      <c r="H12" s="28">
        <v>36585421</v>
      </c>
      <c r="I12" s="30">
        <f t="shared" ref="I12:I14" si="4">H12/$H$7</f>
        <v>1.392711709170749</v>
      </c>
      <c r="M12" s="44"/>
      <c r="N12" s="25"/>
      <c r="O12" s="48"/>
      <c r="P12" s="49"/>
      <c r="Q12" s="48"/>
      <c r="R12" s="48"/>
      <c r="S12" s="48"/>
      <c r="T12" s="60"/>
      <c r="U12" s="48"/>
      <c r="V12" s="46"/>
      <c r="W12" s="46"/>
      <c r="X12" s="46"/>
    </row>
    <row r="13" spans="1:25" ht="15.75">
      <c r="A13" s="142"/>
      <c r="B13" s="24" t="s">
        <v>36</v>
      </c>
      <c r="C13" s="25"/>
      <c r="D13" s="66">
        <f t="shared" ref="D13:G13" si="5">D5/$G5*$I5</f>
        <v>3.9360133261745279E-3</v>
      </c>
      <c r="E13" s="30">
        <f t="shared" si="5"/>
        <v>5.3590335287145498E-2</v>
      </c>
      <c r="F13" s="30">
        <f t="shared" si="5"/>
        <v>3.0277025585957908E-4</v>
      </c>
      <c r="G13" s="30">
        <f t="shared" si="5"/>
        <v>5.7829118869179602E-2</v>
      </c>
      <c r="H13" s="28">
        <v>1250484</v>
      </c>
      <c r="I13" s="30">
        <f t="shared" si="4"/>
        <v>4.7602669624347768E-2</v>
      </c>
      <c r="M13" s="44"/>
      <c r="N13" s="25"/>
      <c r="O13" s="49"/>
      <c r="P13" s="48"/>
      <c r="Q13" s="48"/>
      <c r="R13" s="48"/>
      <c r="S13" s="48"/>
      <c r="T13" s="60"/>
      <c r="U13" s="48"/>
      <c r="V13" s="46"/>
      <c r="W13" s="46"/>
      <c r="X13" s="46"/>
    </row>
    <row r="14" spans="1:25" ht="15.75">
      <c r="A14" s="142"/>
      <c r="B14" s="24" t="s">
        <v>37</v>
      </c>
      <c r="C14" s="25"/>
      <c r="D14" s="30">
        <f t="shared" ref="D14:G14" si="6">D6/$G6*$I6</f>
        <v>7.0655934545669945E-3</v>
      </c>
      <c r="E14" s="30">
        <f t="shared" si="6"/>
        <v>1.0093704935095708E-3</v>
      </c>
      <c r="F14" s="30">
        <f t="shared" si="6"/>
        <v>9.0338659169106578E-2</v>
      </c>
      <c r="G14" s="30">
        <f t="shared" si="6"/>
        <v>9.8413623117183144E-2</v>
      </c>
      <c r="H14" s="28">
        <v>2211462</v>
      </c>
      <c r="I14" s="30">
        <f t="shared" si="4"/>
        <v>8.4184599701235166E-2</v>
      </c>
      <c r="M14" s="44"/>
      <c r="N14" s="25"/>
      <c r="O14" s="48"/>
      <c r="P14" s="49"/>
      <c r="Q14" s="48"/>
      <c r="R14" s="48"/>
      <c r="S14" s="48"/>
      <c r="T14" s="60"/>
      <c r="U14" s="48"/>
      <c r="V14" s="46"/>
      <c r="W14" s="46"/>
      <c r="X14" s="46"/>
    </row>
    <row r="15" spans="1:25" ht="15.75">
      <c r="A15" s="20"/>
      <c r="C15" s="21" t="s">
        <v>20</v>
      </c>
      <c r="D15" s="31">
        <f t="shared" ref="D15:I15" si="7">SUM(D12:D14)</f>
        <v>0.82419310060348883</v>
      </c>
      <c r="E15" s="31">
        <f t="shared" si="7"/>
        <v>6.4551349935828561E-2</v>
      </c>
      <c r="F15" s="31">
        <f t="shared" si="7"/>
        <v>0.11125554946068265</v>
      </c>
      <c r="G15" s="32">
        <f t="shared" si="7"/>
        <v>1</v>
      </c>
      <c r="H15" s="29">
        <f t="shared" si="7"/>
        <v>40047367</v>
      </c>
      <c r="I15" s="21">
        <f t="shared" si="7"/>
        <v>1.5244989784963319</v>
      </c>
      <c r="M15" s="41"/>
      <c r="N15" s="43"/>
      <c r="O15" s="48"/>
      <c r="P15" s="48"/>
      <c r="Q15" s="48"/>
      <c r="R15" s="48"/>
      <c r="S15" s="49"/>
      <c r="T15" s="60"/>
      <c r="U15" s="43"/>
      <c r="V15" s="46"/>
      <c r="W15" s="46"/>
      <c r="X15" s="46"/>
    </row>
    <row r="16" spans="1:25"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</row>
    <row r="17" spans="2:25" ht="15.75">
      <c r="C17" s="33" t="s">
        <v>42</v>
      </c>
      <c r="D17" s="34">
        <f>D12/D15</f>
        <v>0.98665166358140344</v>
      </c>
      <c r="E17" s="34">
        <f>E13/E15</f>
        <v>0.83019697249430768</v>
      </c>
      <c r="F17" s="34">
        <f>F14/F15</f>
        <v>0.81199238695982501</v>
      </c>
      <c r="G17" s="34"/>
      <c r="H17" s="20"/>
      <c r="N17" s="46"/>
      <c r="O17" s="33"/>
      <c r="P17" s="50"/>
      <c r="Q17" s="50"/>
      <c r="R17" s="50"/>
      <c r="S17" s="50"/>
      <c r="T17" s="41"/>
      <c r="U17" s="46"/>
      <c r="V17" s="46"/>
      <c r="W17" s="46"/>
      <c r="X17" s="46"/>
      <c r="Y17" s="46"/>
    </row>
    <row r="18" spans="2:25">
      <c r="C18" s="19" t="s">
        <v>43</v>
      </c>
      <c r="D18" s="35">
        <f>SUM(D12,E13,F14)</f>
        <v>0.95712048827899932</v>
      </c>
      <c r="N18" s="46"/>
      <c r="O18" s="46"/>
      <c r="P18" s="51"/>
      <c r="Q18" s="46"/>
      <c r="R18" s="46"/>
      <c r="S18" s="46"/>
      <c r="T18" s="46"/>
      <c r="U18" s="46"/>
      <c r="V18" s="46"/>
      <c r="W18" s="46"/>
      <c r="X18" s="46"/>
      <c r="Y18" s="46"/>
    </row>
    <row r="19" spans="2:25">
      <c r="C19" s="36" t="s">
        <v>44</v>
      </c>
      <c r="D19" s="37">
        <f t="shared" ref="D19:F19" si="8">$H$7*D15</f>
        <v>21650892.551788781</v>
      </c>
      <c r="E19" s="37">
        <f t="shared" si="8"/>
        <v>1695712.2554292174</v>
      </c>
      <c r="F19" s="37">
        <f t="shared" si="8"/>
        <v>2922594.1656144774</v>
      </c>
      <c r="G19" s="38"/>
      <c r="N19" s="46"/>
      <c r="O19" s="46"/>
      <c r="P19" s="52"/>
      <c r="Q19" s="52"/>
      <c r="R19" s="52"/>
      <c r="S19" s="52"/>
      <c r="T19" s="46"/>
      <c r="U19" s="46"/>
      <c r="V19" s="46"/>
      <c r="W19" s="46"/>
      <c r="X19" s="46"/>
      <c r="Y19" s="46"/>
    </row>
    <row r="20" spans="2:25"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</row>
    <row r="21" spans="2:25"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</row>
    <row r="23" spans="2:25">
      <c r="B23" s="19" t="s">
        <v>34</v>
      </c>
      <c r="C23" s="19" t="s">
        <v>45</v>
      </c>
      <c r="D23" s="19" t="str">
        <f t="shared" ref="D23:D26" si="9">K3</f>
        <v>User's</v>
      </c>
      <c r="E23" s="19" t="s">
        <v>46</v>
      </c>
      <c r="F23" s="19" t="s">
        <v>47</v>
      </c>
      <c r="G23" s="39" t="s">
        <v>48</v>
      </c>
      <c r="H23" s="19" t="s">
        <v>49</v>
      </c>
      <c r="I23" s="53" t="s">
        <v>50</v>
      </c>
      <c r="J23" s="46" t="s">
        <v>51</v>
      </c>
      <c r="K23" s="19" t="s">
        <v>52</v>
      </c>
      <c r="L23" s="53" t="s">
        <v>53</v>
      </c>
      <c r="M23" s="46" t="s">
        <v>54</v>
      </c>
      <c r="N23" s="54" t="s">
        <v>55</v>
      </c>
      <c r="O23" s="54" t="s">
        <v>56</v>
      </c>
      <c r="P23" s="54" t="s">
        <v>57</v>
      </c>
      <c r="Q23" s="54" t="s">
        <v>58</v>
      </c>
      <c r="R23" s="61" t="s">
        <v>59</v>
      </c>
      <c r="V23" s="19" t="s">
        <v>58</v>
      </c>
      <c r="W23" s="19" t="s">
        <v>60</v>
      </c>
      <c r="X23" s="36" t="s">
        <v>61</v>
      </c>
    </row>
    <row r="24" spans="2:25">
      <c r="B24" s="24" t="s">
        <v>36</v>
      </c>
      <c r="C24" s="35">
        <f t="shared" ref="C24:C26" si="10">I4</f>
        <v>0.84375725801363721</v>
      </c>
      <c r="D24" s="40">
        <f t="shared" si="9"/>
        <v>0.96377422072451557</v>
      </c>
      <c r="E24" s="19">
        <f t="shared" ref="E24:E26" si="11">G4</f>
        <v>1187</v>
      </c>
      <c r="F24" s="19">
        <f t="shared" ref="F24:F26" si="12">C24^2*D24*(1-D24)/(E24-1)</f>
        <v>2.0957689243021638E-5</v>
      </c>
      <c r="G24" s="39">
        <f>SUM(F24:F26)</f>
        <v>2.5913470271141206E-5</v>
      </c>
      <c r="H24" s="19">
        <f>SQRT(G24)</f>
        <v>5.0905275042122311E-3</v>
      </c>
      <c r="I24" s="55">
        <f>H24*1.96</f>
        <v>9.977433908255973E-3</v>
      </c>
      <c r="J24" s="56">
        <f t="shared" ref="J24:J26" si="13">D24*(1-D24)/(E24-1)</f>
        <v>2.9438003534037363E-5</v>
      </c>
      <c r="K24" s="19">
        <f t="shared" ref="K24:K26" si="14">SQRT(J24)</f>
        <v>5.4256800066016945E-3</v>
      </c>
      <c r="L24" s="55">
        <f t="shared" ref="L24:L26" si="15">1.96*K24</f>
        <v>1.0634332812939322E-2</v>
      </c>
      <c r="M24" s="52">
        <f>(H4*D4/G4+H6*D5/G5+H5*D6/G6)</f>
        <v>21646913.735410597</v>
      </c>
      <c r="N24" s="19">
        <f>H4^2*(1-D17)^2*K4*(1-K4)/(G4-1)</f>
        <v>2576863.0836951099</v>
      </c>
      <c r="O24" s="19">
        <f>D17^2*(H6^2*D5/G5*(1-D5/G5)/(G5-1)+H5^2*D6/G6*(1-D6/G6)/(G6-1))</f>
        <v>2943778015.9046488</v>
      </c>
      <c r="P24" s="19">
        <f t="shared" ref="P24:P26" si="16">(1/M24^2)*(N24+O24)</f>
        <v>6.2877183833888866E-6</v>
      </c>
      <c r="Q24" s="19">
        <f t="shared" ref="Q24:Q26" si="17">SQRT(P24)</f>
        <v>2.5075323294802975E-3</v>
      </c>
      <c r="R24" s="62">
        <f t="shared" ref="R24:R26" si="18">1.96*Q24</f>
        <v>4.9147633657813826E-3</v>
      </c>
      <c r="S24" s="19">
        <f>G12^2*(D4/G4*(1-(D4/G4))/(G4-1))</f>
        <v>2.0957689243021638E-5</v>
      </c>
      <c r="T24" s="19">
        <f>G13^2*(D5/G5*(1-(D5/G5))/(G5-1))</f>
        <v>1.1164420084536752E-6</v>
      </c>
      <c r="U24" s="19">
        <f>G14^2*(D6/G6*(1-(D6/G6))/(G6-1))</f>
        <v>3.3269486622256309E-6</v>
      </c>
      <c r="V24" s="19">
        <f t="shared" ref="V24:V26" si="19">SQRT(SUM(S24:U24))</f>
        <v>5.039948403872895E-3</v>
      </c>
      <c r="W24" s="19">
        <f>V24*H7</f>
        <v>132395.40743414653</v>
      </c>
      <c r="X24" s="63">
        <f t="shared" ref="X24:X26" si="20">2*W24</f>
        <v>264790.81486829306</v>
      </c>
    </row>
    <row r="25" spans="2:25">
      <c r="B25" s="24" t="s">
        <v>37</v>
      </c>
      <c r="C25" s="35">
        <f t="shared" si="10"/>
        <v>5.7829118869179602E-2</v>
      </c>
      <c r="D25" s="40">
        <f t="shared" si="9"/>
        <v>0.92670157068062831</v>
      </c>
      <c r="E25" s="19">
        <f t="shared" si="11"/>
        <v>191</v>
      </c>
      <c r="F25" s="19">
        <f t="shared" si="12"/>
        <v>1.1955675440571333E-6</v>
      </c>
      <c r="G25" s="39"/>
      <c r="I25" s="57"/>
      <c r="J25" s="46">
        <f t="shared" si="13"/>
        <v>3.5750405041413036E-4</v>
      </c>
      <c r="K25" s="19">
        <f t="shared" si="14"/>
        <v>1.890777751122882E-2</v>
      </c>
      <c r="L25" s="55">
        <f t="shared" si="15"/>
        <v>3.7059243922008489E-2</v>
      </c>
      <c r="M25" s="52">
        <f>(H4*E4/G4+H6*E5/G5+H5*E6/G6)</f>
        <v>2672754.9851877587</v>
      </c>
      <c r="N25" s="19">
        <f>H6^2*(1-E17)^2*K5*(1-K5)/(G5-1)</f>
        <v>68893131.626883402</v>
      </c>
      <c r="O25" s="19">
        <f>E17^2*(H4^2*E4/G4*(1-E4/G4)/(G4-1)+H5^2*E6/G6*(1-E6/G6)/(G6-1))</f>
        <v>3410825693.926846</v>
      </c>
      <c r="P25" s="19">
        <f t="shared" si="16"/>
        <v>4.8710866618849742E-4</v>
      </c>
      <c r="Q25" s="19">
        <f t="shared" si="17"/>
        <v>2.2070538420901686E-2</v>
      </c>
      <c r="R25" s="64">
        <f t="shared" si="18"/>
        <v>4.3258255304967304E-2</v>
      </c>
      <c r="S25" s="19">
        <f>G12^2*(E4/G4*(1-(E4/G4))/(G4-1))</f>
        <v>6.9964053656875353E-6</v>
      </c>
      <c r="T25" s="19">
        <f>G13^2*(E5/G5*(1-(E5/G5))/(G5-1))</f>
        <v>1.1955675440571333E-6</v>
      </c>
      <c r="U25" s="19">
        <f>G14^2*(E6/G6*(1-(E6/G6))/(G6-1))</f>
        <v>5.0678854917880562E-7</v>
      </c>
      <c r="V25" s="19">
        <f t="shared" si="19"/>
        <v>2.9493662809023016E-3</v>
      </c>
      <c r="W25" s="19">
        <f>V25*H7</f>
        <v>77477.489676785481</v>
      </c>
      <c r="X25" s="63">
        <f t="shared" si="20"/>
        <v>154954.97935357096</v>
      </c>
    </row>
    <row r="26" spans="2:25">
      <c r="B26" s="24" t="s">
        <v>35</v>
      </c>
      <c r="C26" s="35">
        <f t="shared" si="10"/>
        <v>9.8413623117183144E-2</v>
      </c>
      <c r="D26" s="40">
        <f t="shared" si="9"/>
        <v>0.91794871794871791</v>
      </c>
      <c r="E26" s="19">
        <f t="shared" si="11"/>
        <v>195</v>
      </c>
      <c r="F26" s="19">
        <f t="shared" si="12"/>
        <v>3.7602134840624346E-6</v>
      </c>
      <c r="G26" s="39"/>
      <c r="I26" s="58"/>
      <c r="J26" s="46">
        <f t="shared" si="13"/>
        <v>3.882415936341394E-4</v>
      </c>
      <c r="K26" s="19">
        <f t="shared" si="14"/>
        <v>1.9703847178511598E-2</v>
      </c>
      <c r="L26" s="59">
        <f t="shared" si="15"/>
        <v>3.8619540469882731E-2</v>
      </c>
      <c r="M26" s="52">
        <f>(H4*F4/G4+H6*F5/G5+H5*F6/G6)</f>
        <v>1949530.2522341162</v>
      </c>
      <c r="N26" s="19">
        <f>H5^2*(1-F17)^2*K6*(1-K6)/(G6-1)</f>
        <v>31669393.222575754</v>
      </c>
      <c r="O26" s="19">
        <f>F17^2*(H4^2*F4/G4*(1-F4/G4)/(G4-1)+H6^2*F5/G5*(1-F5/G5)/(G5-1))</f>
        <v>6630374063.0872145</v>
      </c>
      <c r="P26" s="19">
        <f t="shared" si="16"/>
        <v>1.7528611018028993E-3</v>
      </c>
      <c r="Q26" s="19">
        <f t="shared" si="17"/>
        <v>4.1867184068228175E-2</v>
      </c>
      <c r="R26" s="65">
        <f t="shared" si="18"/>
        <v>8.2059680773727217E-2</v>
      </c>
      <c r="S26" s="19">
        <f>G12^2*(F4/G4*(1-(F4/G4))/(G4-1))</f>
        <v>1.4307227194648569E-5</v>
      </c>
      <c r="T26" s="19">
        <f>G13^2*(F5/G5*(1-(F5/G5))/(G5-1))</f>
        <v>9.1669827833274982E-8</v>
      </c>
      <c r="U26" s="19">
        <f>G14^2*(F6/G6*(1-(F6/G6))/(G6-1))</f>
        <v>3.760213484062435E-6</v>
      </c>
      <c r="V26" s="19">
        <f t="shared" si="19"/>
        <v>4.2613507842636329E-3</v>
      </c>
      <c r="W26" s="19">
        <f>V26*H7</f>
        <v>111942.27164485709</v>
      </c>
      <c r="X26" s="63">
        <f t="shared" si="20"/>
        <v>223884.54328971417</v>
      </c>
    </row>
    <row r="27" spans="2:25">
      <c r="M27" s="54"/>
    </row>
    <row r="32" spans="2:25">
      <c r="M32" s="38"/>
    </row>
    <row r="33" spans="13:13">
      <c r="M33" s="38"/>
    </row>
    <row r="34" spans="13:13">
      <c r="M34" s="38"/>
    </row>
    <row r="35" spans="13:13">
      <c r="M35" s="38"/>
    </row>
  </sheetData>
  <mergeCells count="4">
    <mergeCell ref="D2:G2"/>
    <mergeCell ref="D10:G10"/>
    <mergeCell ref="A4:A6"/>
    <mergeCell ref="A12:A14"/>
  </mergeCells>
  <pageMargins left="0.75" right="0.75" top="1" bottom="1" header="0.5" footer="0.5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Y35"/>
  <sheetViews>
    <sheetView zoomScale="85" zoomScaleNormal="85" workbookViewId="0">
      <selection activeCell="X25" sqref="X25"/>
    </sheetView>
  </sheetViews>
  <sheetFormatPr defaultColWidth="9.140625" defaultRowHeight="15"/>
  <cols>
    <col min="1" max="1" width="4.42578125" style="19" customWidth="1"/>
    <col min="2" max="2" width="9.140625" style="19" customWidth="1"/>
    <col min="3" max="3" width="13.85546875" style="19" customWidth="1"/>
    <col min="4" max="4" width="11.28515625" style="19" customWidth="1"/>
    <col min="5" max="7" width="10.7109375" style="19" customWidth="1"/>
    <col min="8" max="8" width="12.5703125" style="19" customWidth="1"/>
    <col min="9" max="9" width="13.140625" style="19" customWidth="1"/>
    <col min="10" max="10" width="8" style="19" customWidth="1"/>
    <col min="11" max="11" width="9.140625" style="19"/>
    <col min="12" max="12" width="13.42578125" style="19" customWidth="1"/>
    <col min="13" max="13" width="13.28515625" style="19" customWidth="1"/>
    <col min="14" max="14" width="9.140625" style="19"/>
    <col min="15" max="16" width="12" style="19" customWidth="1"/>
    <col min="17" max="17" width="9.140625" style="19"/>
    <col min="18" max="18" width="13" style="19" customWidth="1"/>
    <col min="19" max="20" width="12.42578125" style="19" customWidth="1"/>
    <col min="21" max="21" width="13.140625" style="19" customWidth="1"/>
    <col min="22" max="23" width="9.140625" style="19"/>
    <col min="24" max="24" width="12.42578125" style="19" customWidth="1"/>
    <col min="25" max="16384" width="9.140625" style="19"/>
  </cols>
  <sheetData>
    <row r="2" spans="1:25" ht="15.75">
      <c r="A2" s="20"/>
      <c r="C2" s="20"/>
      <c r="D2" s="141" t="s">
        <v>33</v>
      </c>
      <c r="E2" s="141"/>
      <c r="F2" s="141"/>
      <c r="G2" s="141"/>
      <c r="H2" s="20"/>
      <c r="I2" s="20"/>
      <c r="J2" s="20"/>
      <c r="K2" s="20"/>
      <c r="L2" s="20"/>
      <c r="N2" s="41"/>
      <c r="O2" s="41"/>
      <c r="P2" s="42"/>
      <c r="Q2" s="42"/>
      <c r="R2" s="42"/>
      <c r="S2" s="42"/>
      <c r="T2" s="41"/>
      <c r="U2" s="41"/>
      <c r="V2" s="41"/>
      <c r="W2" s="41"/>
      <c r="X2" s="41"/>
      <c r="Y2" s="46"/>
    </row>
    <row r="3" spans="1:25" ht="18.75">
      <c r="A3" s="20"/>
      <c r="B3" s="19" t="s">
        <v>34</v>
      </c>
      <c r="C3" s="21"/>
      <c r="D3" s="22" t="s">
        <v>35</v>
      </c>
      <c r="E3" s="22" t="s">
        <v>36</v>
      </c>
      <c r="F3" s="22" t="s">
        <v>37</v>
      </c>
      <c r="G3" s="21" t="s">
        <v>20</v>
      </c>
      <c r="H3" s="23" t="s">
        <v>38</v>
      </c>
      <c r="I3" s="23" t="s">
        <v>39</v>
      </c>
      <c r="J3" s="20"/>
      <c r="K3" s="20" t="s">
        <v>40</v>
      </c>
      <c r="M3" s="41"/>
      <c r="N3" s="43"/>
      <c r="O3" s="25"/>
      <c r="P3" s="25"/>
      <c r="Q3" s="25"/>
      <c r="R3" s="25"/>
      <c r="S3" s="43"/>
      <c r="T3" s="25"/>
      <c r="U3" s="25"/>
      <c r="V3" s="41"/>
      <c r="W3" s="41"/>
      <c r="X3" s="46"/>
    </row>
    <row r="4" spans="1:25" ht="15.75">
      <c r="A4" s="142" t="s">
        <v>41</v>
      </c>
      <c r="B4" s="24" t="s">
        <v>35</v>
      </c>
      <c r="C4" s="25"/>
      <c r="D4" s="26">
        <v>1125</v>
      </c>
      <c r="E4" s="26">
        <v>48</v>
      </c>
      <c r="F4" s="26">
        <v>81</v>
      </c>
      <c r="G4" s="27">
        <f t="shared" ref="G4:G6" si="0">SUM(D4:F4)</f>
        <v>1254</v>
      </c>
      <c r="H4" s="28">
        <f>H7-H5-H6</f>
        <v>23414989.832573555</v>
      </c>
      <c r="I4" s="30">
        <f t="shared" ref="I4:I6" si="1">H4/$H$7</f>
        <v>0.89134769038025352</v>
      </c>
      <c r="J4" s="20"/>
      <c r="K4" s="34">
        <f>D4/G4</f>
        <v>0.89712918660287078</v>
      </c>
      <c r="M4" s="44"/>
      <c r="N4" s="25"/>
      <c r="O4" s="43"/>
      <c r="P4" s="43"/>
      <c r="Q4" s="43"/>
      <c r="R4" s="43"/>
      <c r="S4" s="43"/>
      <c r="T4" s="60"/>
      <c r="U4" s="48"/>
      <c r="V4" s="41"/>
      <c r="W4" s="50"/>
      <c r="X4" s="46"/>
    </row>
    <row r="5" spans="1:25" ht="15.75">
      <c r="A5" s="142"/>
      <c r="B5" s="24" t="s">
        <v>36</v>
      </c>
      <c r="C5" s="25"/>
      <c r="D5" s="26">
        <v>21</v>
      </c>
      <c r="E5" s="26">
        <v>121</v>
      </c>
      <c r="F5" s="26">
        <v>1</v>
      </c>
      <c r="G5" s="27">
        <f t="shared" si="0"/>
        <v>143</v>
      </c>
      <c r="H5" s="28">
        <f>BA_GEE!D14</f>
        <v>1148469.2642064299</v>
      </c>
      <c r="I5" s="30">
        <f t="shared" si="1"/>
        <v>4.371923427867646E-2</v>
      </c>
      <c r="J5" s="20"/>
      <c r="K5" s="34">
        <f>E5/G5</f>
        <v>0.84615384615384615</v>
      </c>
      <c r="M5" s="44"/>
      <c r="N5" s="45"/>
      <c r="O5" s="45"/>
      <c r="P5" s="43"/>
      <c r="Q5" s="43"/>
      <c r="R5" s="43"/>
      <c r="S5" s="43"/>
      <c r="T5" s="60"/>
      <c r="U5" s="48"/>
      <c r="V5" s="41"/>
      <c r="W5" s="50"/>
      <c r="X5" s="46"/>
    </row>
    <row r="6" spans="1:25" ht="15.75">
      <c r="A6" s="142"/>
      <c r="B6" s="24" t="s">
        <v>37</v>
      </c>
      <c r="C6" s="25"/>
      <c r="D6" s="26">
        <v>29</v>
      </c>
      <c r="E6" s="26">
        <v>0</v>
      </c>
      <c r="F6" s="26">
        <v>97</v>
      </c>
      <c r="G6" s="27">
        <f t="shared" si="0"/>
        <v>126</v>
      </c>
      <c r="H6" s="28">
        <f>BA_GEE!D15</f>
        <v>1705739.87605249</v>
      </c>
      <c r="I6" s="30">
        <f t="shared" si="1"/>
        <v>6.4933075341070012E-2</v>
      </c>
      <c r="J6" s="20"/>
      <c r="K6" s="34">
        <f>F6/G6</f>
        <v>0.76984126984126988</v>
      </c>
      <c r="M6" s="44"/>
      <c r="N6" s="25"/>
      <c r="O6" s="43"/>
      <c r="P6" s="43"/>
      <c r="Q6" s="43"/>
      <c r="R6" s="43"/>
      <c r="S6" s="43"/>
      <c r="T6" s="60"/>
      <c r="U6" s="48"/>
      <c r="V6" s="41"/>
      <c r="W6" s="50"/>
      <c r="X6" s="46"/>
    </row>
    <row r="7" spans="1:25" ht="15.75">
      <c r="A7" s="20"/>
      <c r="C7" s="21" t="s">
        <v>20</v>
      </c>
      <c r="D7" s="21">
        <f t="shared" ref="D7:G7" si="2">SUM(D4:D6)</f>
        <v>1175</v>
      </c>
      <c r="E7" s="21">
        <f t="shared" si="2"/>
        <v>169</v>
      </c>
      <c r="F7" s="21">
        <f t="shared" si="2"/>
        <v>179</v>
      </c>
      <c r="G7" s="29">
        <f t="shared" si="2"/>
        <v>1523</v>
      </c>
      <c r="H7" s="29">
        <f>REFDATASET_correction!B24</f>
        <v>26269198.972832475</v>
      </c>
      <c r="I7" s="21">
        <f>SUM(I4:I6)</f>
        <v>1</v>
      </c>
      <c r="J7" s="20"/>
      <c r="K7" s="20"/>
      <c r="M7" s="41"/>
      <c r="N7" s="43"/>
      <c r="P7" s="43"/>
      <c r="Q7" s="43"/>
      <c r="R7" s="43"/>
      <c r="S7" s="60"/>
      <c r="T7" s="60"/>
      <c r="U7" s="43"/>
      <c r="V7" s="41"/>
      <c r="W7" s="41"/>
      <c r="X7" s="46"/>
    </row>
    <row r="8" spans="1:25"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</row>
    <row r="9" spans="1:25"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</row>
    <row r="10" spans="1:25" ht="15.75" customHeight="1">
      <c r="A10" s="20"/>
      <c r="C10" s="20"/>
      <c r="D10" s="141" t="s">
        <v>33</v>
      </c>
      <c r="E10" s="141"/>
      <c r="F10" s="141"/>
      <c r="G10" s="141"/>
      <c r="H10" s="20"/>
      <c r="I10" s="20"/>
      <c r="J10" s="20"/>
      <c r="N10" s="41"/>
      <c r="O10" s="41"/>
      <c r="P10" s="47"/>
      <c r="Q10" s="47"/>
      <c r="R10" s="47"/>
      <c r="S10" s="47"/>
      <c r="T10" s="41"/>
      <c r="U10" s="41"/>
      <c r="V10" s="41"/>
      <c r="W10" s="46"/>
      <c r="X10" s="46"/>
      <c r="Y10" s="46"/>
    </row>
    <row r="11" spans="1:25" ht="18.75">
      <c r="A11" s="20"/>
      <c r="B11" s="19" t="s">
        <v>34</v>
      </c>
      <c r="C11" s="21"/>
      <c r="D11" s="22" t="s">
        <v>35</v>
      </c>
      <c r="E11" s="22" t="s">
        <v>36</v>
      </c>
      <c r="F11" s="23" t="s">
        <v>37</v>
      </c>
      <c r="G11" s="21" t="s">
        <v>20</v>
      </c>
      <c r="H11" s="23" t="s">
        <v>38</v>
      </c>
      <c r="I11" s="23" t="s">
        <v>39</v>
      </c>
      <c r="M11" s="41"/>
      <c r="N11" s="43"/>
      <c r="O11" s="25"/>
      <c r="P11" s="25"/>
      <c r="Q11" s="25"/>
      <c r="R11" s="25"/>
      <c r="S11" s="43"/>
      <c r="T11" s="25"/>
      <c r="U11" s="25"/>
      <c r="V11" s="46"/>
      <c r="W11" s="46"/>
      <c r="X11" s="46"/>
    </row>
    <row r="12" spans="1:25" ht="15.75">
      <c r="A12" s="142" t="s">
        <v>41</v>
      </c>
      <c r="B12" s="24" t="s">
        <v>35</v>
      </c>
      <c r="C12" s="25"/>
      <c r="D12" s="30">
        <f t="shared" ref="D12:G12" si="3">D4/$G4*$I4</f>
        <v>0.79965402845118438</v>
      </c>
      <c r="E12" s="30">
        <f t="shared" si="3"/>
        <v>3.4118571880583863E-2</v>
      </c>
      <c r="F12" s="30">
        <f t="shared" si="3"/>
        <v>5.7575090048485281E-2</v>
      </c>
      <c r="G12" s="30">
        <f t="shared" si="3"/>
        <v>0.89134769038025352</v>
      </c>
      <c r="H12" s="28">
        <v>36585421</v>
      </c>
      <c r="I12" s="30">
        <f t="shared" ref="I12:I14" si="4">H12/$H$7</f>
        <v>1.392711709170749</v>
      </c>
      <c r="M12" s="44"/>
      <c r="N12" s="25"/>
      <c r="O12" s="48"/>
      <c r="P12" s="49"/>
      <c r="Q12" s="48"/>
      <c r="R12" s="48"/>
      <c r="S12" s="48"/>
      <c r="T12" s="60"/>
      <c r="U12" s="48"/>
      <c r="V12" s="46"/>
      <c r="W12" s="46"/>
      <c r="X12" s="46"/>
    </row>
    <row r="13" spans="1:25" ht="15.75">
      <c r="A13" s="142"/>
      <c r="B13" s="24" t="s">
        <v>36</v>
      </c>
      <c r="C13" s="25"/>
      <c r="D13" s="30">
        <f t="shared" ref="D13:G13" si="5">D5/$G5*$I5</f>
        <v>6.4203071318336058E-3</v>
      </c>
      <c r="E13" s="30">
        <f t="shared" si="5"/>
        <v>3.699319823580316E-2</v>
      </c>
      <c r="F13" s="30">
        <f t="shared" si="5"/>
        <v>3.0572891103969552E-4</v>
      </c>
      <c r="G13" s="30">
        <f t="shared" si="5"/>
        <v>4.371923427867646E-2</v>
      </c>
      <c r="H13" s="28">
        <v>1250484</v>
      </c>
      <c r="I13" s="30">
        <f t="shared" si="4"/>
        <v>4.7602669624347768E-2</v>
      </c>
      <c r="M13" s="44"/>
      <c r="N13" s="25"/>
      <c r="O13" s="49"/>
      <c r="P13" s="48"/>
      <c r="Q13" s="48"/>
      <c r="R13" s="48"/>
      <c r="S13" s="48"/>
      <c r="T13" s="60"/>
      <c r="U13" s="48"/>
      <c r="V13" s="46"/>
      <c r="W13" s="46"/>
      <c r="X13" s="46"/>
    </row>
    <row r="14" spans="1:25" ht="15.75">
      <c r="A14" s="142"/>
      <c r="B14" s="24" t="s">
        <v>37</v>
      </c>
      <c r="C14" s="25"/>
      <c r="D14" s="30">
        <f t="shared" ref="D14:G14" si="6">D6/$G6*$I6</f>
        <v>1.4944914165801827E-2</v>
      </c>
      <c r="E14" s="30">
        <f t="shared" si="6"/>
        <v>0</v>
      </c>
      <c r="F14" s="30">
        <f t="shared" si="6"/>
        <v>4.9988161175268185E-2</v>
      </c>
      <c r="G14" s="30">
        <f t="shared" si="6"/>
        <v>6.4933075341070012E-2</v>
      </c>
      <c r="H14" s="28">
        <v>2211462</v>
      </c>
      <c r="I14" s="30">
        <f t="shared" si="4"/>
        <v>8.4184599701235166E-2</v>
      </c>
      <c r="M14" s="44"/>
      <c r="N14" s="25"/>
      <c r="O14" s="48"/>
      <c r="P14" s="49"/>
      <c r="Q14" s="48"/>
      <c r="R14" s="48"/>
      <c r="S14" s="48"/>
      <c r="T14" s="60"/>
      <c r="U14" s="48"/>
      <c r="V14" s="46"/>
      <c r="W14" s="46"/>
      <c r="X14" s="46"/>
    </row>
    <row r="15" spans="1:25" ht="15.75">
      <c r="A15" s="20"/>
      <c r="C15" s="21" t="s">
        <v>20</v>
      </c>
      <c r="D15" s="31">
        <f t="shared" ref="D15:I15" si="7">SUM(D12:D14)</f>
        <v>0.82101924974881979</v>
      </c>
      <c r="E15" s="31">
        <f t="shared" si="7"/>
        <v>7.111177011638703E-2</v>
      </c>
      <c r="F15" s="31">
        <f t="shared" si="7"/>
        <v>0.10786898013479315</v>
      </c>
      <c r="G15" s="32">
        <f t="shared" si="7"/>
        <v>1</v>
      </c>
      <c r="H15" s="29">
        <f t="shared" si="7"/>
        <v>40047367</v>
      </c>
      <c r="I15" s="21">
        <f t="shared" si="7"/>
        <v>1.5244989784963319</v>
      </c>
      <c r="M15" s="41"/>
      <c r="N15" s="43"/>
      <c r="O15" s="48"/>
      <c r="P15" s="48"/>
      <c r="Q15" s="48"/>
      <c r="R15" s="48"/>
      <c r="S15" s="49"/>
      <c r="T15" s="60"/>
      <c r="U15" s="43"/>
      <c r="V15" s="46"/>
      <c r="W15" s="46"/>
      <c r="X15" s="46"/>
    </row>
    <row r="16" spans="1:25"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</row>
    <row r="17" spans="2:25" ht="15.75">
      <c r="C17" s="33" t="s">
        <v>42</v>
      </c>
      <c r="D17" s="34">
        <f>D12/D15</f>
        <v>0.97397719809350169</v>
      </c>
      <c r="E17" s="34">
        <f>E13/E15</f>
        <v>0.52021202924997123</v>
      </c>
      <c r="F17" s="34">
        <f>F14/F15</f>
        <v>0.46341553533557972</v>
      </c>
      <c r="G17" s="34"/>
      <c r="H17" s="20"/>
      <c r="N17" s="46"/>
      <c r="O17" s="33"/>
      <c r="P17" s="50"/>
      <c r="Q17" s="50"/>
      <c r="R17" s="50"/>
      <c r="S17" s="50"/>
      <c r="T17" s="41"/>
      <c r="U17" s="46"/>
      <c r="V17" s="46"/>
      <c r="W17" s="46"/>
      <c r="X17" s="46"/>
      <c r="Y17" s="46"/>
    </row>
    <row r="18" spans="2:25">
      <c r="C18" s="19" t="s">
        <v>43</v>
      </c>
      <c r="D18" s="35">
        <f>SUM(D12,E13,F14)</f>
        <v>0.88663538786225571</v>
      </c>
      <c r="N18" s="46"/>
      <c r="O18" s="46"/>
      <c r="P18" s="51"/>
      <c r="Q18" s="46"/>
      <c r="R18" s="46"/>
      <c r="S18" s="46"/>
      <c r="T18" s="46"/>
      <c r="U18" s="46"/>
      <c r="V18" s="46"/>
      <c r="W18" s="46"/>
      <c r="X18" s="46"/>
      <c r="Y18" s="46"/>
    </row>
    <row r="19" spans="2:25">
      <c r="C19" s="36" t="s">
        <v>44</v>
      </c>
      <c r="D19" s="37">
        <f>$H$7*D15</f>
        <v>21567518.032177385</v>
      </c>
      <c r="E19" s="37">
        <f>$H$7*E15</f>
        <v>1868049.2384976933</v>
      </c>
      <c r="F19" s="37">
        <f>$H$7*F15</f>
        <v>2833631.702157395</v>
      </c>
      <c r="G19" s="38"/>
      <c r="N19" s="46"/>
      <c r="O19" s="46"/>
      <c r="P19" s="52"/>
      <c r="Q19" s="52"/>
      <c r="R19" s="52"/>
      <c r="S19" s="52"/>
      <c r="T19" s="46"/>
      <c r="U19" s="46"/>
      <c r="V19" s="46"/>
      <c r="W19" s="46"/>
      <c r="X19" s="46"/>
      <c r="Y19" s="46"/>
    </row>
    <row r="20" spans="2:25"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</row>
    <row r="21" spans="2:25"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</row>
    <row r="23" spans="2:25">
      <c r="B23" s="19" t="s">
        <v>34</v>
      </c>
      <c r="C23" s="19" t="s">
        <v>45</v>
      </c>
      <c r="D23" s="19" t="str">
        <f t="shared" ref="D23:D26" si="8">K3</f>
        <v>User's</v>
      </c>
      <c r="E23" s="19" t="s">
        <v>46</v>
      </c>
      <c r="F23" s="19" t="s">
        <v>47</v>
      </c>
      <c r="G23" s="39" t="s">
        <v>48</v>
      </c>
      <c r="H23" s="19" t="s">
        <v>49</v>
      </c>
      <c r="I23" s="53" t="s">
        <v>50</v>
      </c>
      <c r="J23" s="46" t="s">
        <v>51</v>
      </c>
      <c r="K23" s="19" t="s">
        <v>52</v>
      </c>
      <c r="L23" s="53" t="s">
        <v>53</v>
      </c>
      <c r="M23" s="46" t="s">
        <v>54</v>
      </c>
      <c r="N23" s="54" t="s">
        <v>55</v>
      </c>
      <c r="O23" s="54" t="s">
        <v>56</v>
      </c>
      <c r="P23" s="54" t="s">
        <v>57</v>
      </c>
      <c r="Q23" s="54" t="s">
        <v>58</v>
      </c>
      <c r="R23" s="61" t="s">
        <v>59</v>
      </c>
      <c r="V23" s="19" t="s">
        <v>58</v>
      </c>
      <c r="W23" s="19" t="s">
        <v>60</v>
      </c>
      <c r="X23" s="36" t="s">
        <v>61</v>
      </c>
    </row>
    <row r="24" spans="2:25">
      <c r="B24" s="24" t="s">
        <v>36</v>
      </c>
      <c r="C24" s="35">
        <f t="shared" ref="C24:C26" si="9">I4</f>
        <v>0.89134769038025352</v>
      </c>
      <c r="D24" s="40">
        <f t="shared" si="8"/>
        <v>0.89712918660287078</v>
      </c>
      <c r="E24" s="19">
        <f t="shared" ref="E24:E26" si="10">G4</f>
        <v>1254</v>
      </c>
      <c r="F24" s="19">
        <f t="shared" ref="F24:F26" si="11">C24^2*D24*(1-D24)/(E24-1)</f>
        <v>5.8518121424597893E-5</v>
      </c>
      <c r="G24" s="39">
        <f>SUM(F24:F26)</f>
        <v>6.6246908160960064E-5</v>
      </c>
      <c r="H24" s="19">
        <f>SQRT(G24)</f>
        <v>8.1392203656713985E-3</v>
      </c>
      <c r="I24" s="55">
        <f>H24*1.96</f>
        <v>1.595287191671594E-2</v>
      </c>
      <c r="J24" s="56">
        <f t="shared" ref="J24:J26" si="12">D24*(1-D24)/(E24-1)</f>
        <v>7.3653957819746403E-5</v>
      </c>
      <c r="K24" s="19">
        <f t="shared" ref="K24:K26" si="13">SQRT(J24)</f>
        <v>8.5821884050483535E-3</v>
      </c>
      <c r="L24" s="55">
        <f t="shared" ref="L24:L26" si="14">1.96*K24</f>
        <v>1.6821089273894772E-2</v>
      </c>
      <c r="M24" s="52">
        <f>(H4*D4/G4+H6*D5/G5+H5*D6/G6)</f>
        <v>21521094.278798491</v>
      </c>
      <c r="N24" s="19">
        <f>H4^2*(1-D17)^2*K4*(1-K4)/(G4-1)</f>
        <v>27345895.342284624</v>
      </c>
      <c r="O24" s="19">
        <f>D17^2*(H6^2*D5/G5*(1-D5/G5)/(G5-1)+H5^2*D6/G6*(1-D6/G6)/(G6-1))</f>
        <v>4208837748.8096952</v>
      </c>
      <c r="P24" s="19">
        <f t="shared" ref="P24:P26" si="15">(1/M24^2)*(N24+O24)</f>
        <v>9.1463134110798071E-6</v>
      </c>
      <c r="Q24" s="19">
        <f t="shared" ref="Q24:Q26" si="16">SQRT(P24)</f>
        <v>3.0242872567069101E-3</v>
      </c>
      <c r="R24" s="62">
        <f t="shared" ref="R24:R26" si="17">1.96*Q24</f>
        <v>5.9276030231455437E-3</v>
      </c>
      <c r="S24" s="19">
        <f>G12^2*(D4/G4*(1-(D4/G4))/(G4-1))</f>
        <v>5.8518121424597893E-5</v>
      </c>
      <c r="T24" s="19">
        <f>G13^2*(D5/G5*(1-(D5/G5))/(G5-1))</f>
        <v>1.6864124504973046E-6</v>
      </c>
      <c r="U24" s="19">
        <f>G14^2*(D6/G6*(1-(D6/G6))/(G6-1))</f>
        <v>5.9765502245652026E-6</v>
      </c>
      <c r="V24" s="19">
        <f t="shared" ref="V24:V26" si="18">SQRT(SUM(S24:U24))</f>
        <v>8.1351757264155281E-3</v>
      </c>
      <c r="W24" s="19">
        <f>V24*H7</f>
        <v>213704.54983616646</v>
      </c>
      <c r="X24" s="63">
        <f>2*W24</f>
        <v>427409.09967233293</v>
      </c>
    </row>
    <row r="25" spans="2:25">
      <c r="B25" s="24" t="s">
        <v>37</v>
      </c>
      <c r="C25" s="35">
        <f t="shared" si="9"/>
        <v>4.371923427867646E-2</v>
      </c>
      <c r="D25" s="40">
        <f t="shared" si="8"/>
        <v>0.84615384615384615</v>
      </c>
      <c r="E25" s="19">
        <f t="shared" si="10"/>
        <v>143</v>
      </c>
      <c r="F25" s="19">
        <f t="shared" si="11"/>
        <v>1.7522365117969654E-6</v>
      </c>
      <c r="G25" s="39"/>
      <c r="I25" s="57"/>
      <c r="J25" s="46">
        <f t="shared" si="12"/>
        <v>9.1674306192182685E-4</v>
      </c>
      <c r="K25" s="19">
        <f t="shared" si="13"/>
        <v>3.0277765140806327E-2</v>
      </c>
      <c r="L25" s="55">
        <f t="shared" si="14"/>
        <v>5.9344419675980399E-2</v>
      </c>
      <c r="M25" s="52">
        <f>(H4*E4/G4+H6*E5/G5+H5*E6/G6)</f>
        <v>2339585.9100597436</v>
      </c>
      <c r="N25" s="19">
        <f>H6^2*(1-E17)^2*K5*(1-K5)/(G5-1)</f>
        <v>614005055.15442014</v>
      </c>
      <c r="O25" s="19">
        <f>E17^2*(H4^2*E4/G4*(1-E4/G4)/(G4-1)+H5^2*E6/G6*(1-E6/G6)/(G6-1))</f>
        <v>4359042760.0122805</v>
      </c>
      <c r="P25" s="19">
        <f t="shared" si="15"/>
        <v>9.0854122993024576E-4</v>
      </c>
      <c r="Q25" s="19">
        <f t="shared" si="16"/>
        <v>3.0142017681805008E-2</v>
      </c>
      <c r="R25" s="64">
        <f t="shared" si="17"/>
        <v>5.9078354656337817E-2</v>
      </c>
      <c r="S25" s="19">
        <f>G12^2*(E4/G4*(1-(E4/G4))/(G4-1))</f>
        <v>2.3341926015690759E-5</v>
      </c>
      <c r="T25" s="19">
        <f>G13^2*(E5/G5*(1-(E5/G5))/(G5-1))</f>
        <v>1.7522365117969654E-6</v>
      </c>
      <c r="U25" s="19">
        <f>G14^2*(E6/G6*(1-(E6/G6))/(G6-1))</f>
        <v>0</v>
      </c>
      <c r="V25" s="19">
        <f t="shared" si="18"/>
        <v>5.0094074028259796E-3</v>
      </c>
      <c r="W25" s="19">
        <f>V25*H7</f>
        <v>131593.11980081562</v>
      </c>
      <c r="X25" s="63">
        <f t="shared" ref="X25:X26" si="19">2*W25</f>
        <v>263186.23960163124</v>
      </c>
    </row>
    <row r="26" spans="2:25">
      <c r="B26" s="24" t="s">
        <v>35</v>
      </c>
      <c r="C26" s="35">
        <f t="shared" si="9"/>
        <v>6.4933075341070012E-2</v>
      </c>
      <c r="D26" s="40">
        <f t="shared" si="8"/>
        <v>0.76984126984126988</v>
      </c>
      <c r="E26" s="19">
        <f t="shared" si="10"/>
        <v>126</v>
      </c>
      <c r="F26" s="19">
        <f t="shared" si="11"/>
        <v>5.9765502245652026E-6</v>
      </c>
      <c r="G26" s="39"/>
      <c r="I26" s="58"/>
      <c r="J26" s="46">
        <f t="shared" si="12"/>
        <v>1.4174855127236077E-3</v>
      </c>
      <c r="K26" s="19">
        <f t="shared" si="13"/>
        <v>3.7649508797906087E-2</v>
      </c>
      <c r="L26" s="59">
        <f t="shared" si="14"/>
        <v>7.3793037243895923E-2</v>
      </c>
      <c r="M26" s="52">
        <f>(H4*F4/G4+H6*F5/G5+H5*F6/G6)</f>
        <v>2408518.7839742396</v>
      </c>
      <c r="N26" s="19">
        <f>H5^2*(1-F17)^2*K6*(1-K6)/(G6-1)</f>
        <v>538311393.89669883</v>
      </c>
      <c r="O26" s="19">
        <f>F17^2*(H4^2*F4/G4*(1-F4/G4)/(G4-1)+H6^2*F5/G5*(1-F5/G5)/(G5-1))</f>
        <v>5708171815.8043804</v>
      </c>
      <c r="P26" s="19">
        <f t="shared" si="15"/>
        <v>1.0768011272385141E-3</v>
      </c>
      <c r="Q26" s="19">
        <f t="shared" si="16"/>
        <v>3.2814648059037811E-2</v>
      </c>
      <c r="R26" s="65">
        <f t="shared" si="17"/>
        <v>6.4316710195714111E-2</v>
      </c>
      <c r="S26" s="19">
        <f>G12^2*(F4/G4*(1-(F4/G4))/(G4-1))</f>
        <v>3.8311678008029751E-5</v>
      </c>
      <c r="T26" s="19">
        <f>G13^2*(F5/G5*(1-(F5/G5))/(G5-1))</f>
        <v>9.3470167045518055E-8</v>
      </c>
      <c r="U26" s="19">
        <f>G14^2*(F6/G6*(1-(F6/G6))/(G6-1))</f>
        <v>5.9765502245652017E-6</v>
      </c>
      <c r="V26" s="19">
        <f t="shared" si="18"/>
        <v>6.6619590511831032E-3</v>
      </c>
      <c r="W26" s="19">
        <f>V26*H7</f>
        <v>175004.32786439118</v>
      </c>
      <c r="X26" s="63">
        <f t="shared" si="19"/>
        <v>350008.65572878235</v>
      </c>
    </row>
    <row r="27" spans="2:25">
      <c r="M27" s="54"/>
    </row>
    <row r="32" spans="2:25">
      <c r="M32" s="38"/>
    </row>
    <row r="33" spans="13:13">
      <c r="M33" s="38"/>
    </row>
    <row r="34" spans="13:13">
      <c r="M34" s="38"/>
    </row>
    <row r="35" spans="13:13">
      <c r="M35" s="38"/>
    </row>
  </sheetData>
  <mergeCells count="4">
    <mergeCell ref="D2:G2"/>
    <mergeCell ref="D10:G10"/>
    <mergeCell ref="A4:A6"/>
    <mergeCell ref="A12:A14"/>
  </mergeCells>
  <pageMargins left="0.75" right="0.75" top="1" bottom="1" header="0.5" footer="0.5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Y35"/>
  <sheetViews>
    <sheetView zoomScale="85" zoomScaleNormal="85" workbookViewId="0">
      <selection activeCell="W26" sqref="W26"/>
    </sheetView>
  </sheetViews>
  <sheetFormatPr defaultColWidth="9.140625" defaultRowHeight="15"/>
  <cols>
    <col min="1" max="1" width="4.42578125" style="19" customWidth="1"/>
    <col min="2" max="2" width="9.140625" style="19" customWidth="1"/>
    <col min="3" max="3" width="13.85546875" style="19" customWidth="1"/>
    <col min="4" max="4" width="11.28515625" style="19" customWidth="1"/>
    <col min="5" max="7" width="10.7109375" style="19" customWidth="1"/>
    <col min="8" max="8" width="11.42578125" style="19" customWidth="1"/>
    <col min="9" max="9" width="13.140625" style="19" customWidth="1"/>
    <col min="10" max="10" width="8" style="19" customWidth="1"/>
    <col min="11" max="11" width="9.140625" style="19"/>
    <col min="12" max="12" width="13.42578125" style="19" customWidth="1"/>
    <col min="13" max="13" width="13.28515625" style="19" customWidth="1"/>
    <col min="14" max="14" width="9.140625" style="19"/>
    <col min="15" max="16" width="12" style="19" customWidth="1"/>
    <col min="17" max="17" width="9.140625" style="19"/>
    <col min="18" max="18" width="13" style="19" customWidth="1"/>
    <col min="19" max="20" width="12.42578125" style="19" customWidth="1"/>
    <col min="21" max="21" width="13.140625" style="19" customWidth="1"/>
    <col min="22" max="23" width="9.140625" style="19"/>
    <col min="24" max="24" width="12.42578125" style="19" customWidth="1"/>
    <col min="25" max="16384" width="9.140625" style="19"/>
  </cols>
  <sheetData>
    <row r="2" spans="1:25" ht="15.75">
      <c r="A2" s="20"/>
      <c r="C2" s="20"/>
      <c r="D2" s="141" t="s">
        <v>33</v>
      </c>
      <c r="E2" s="141"/>
      <c r="F2" s="141"/>
      <c r="G2" s="141"/>
      <c r="H2" s="20"/>
      <c r="I2" s="20"/>
      <c r="J2" s="20"/>
      <c r="K2" s="20"/>
      <c r="L2" s="20"/>
      <c r="N2" s="41"/>
      <c r="O2" s="41"/>
      <c r="P2" s="42"/>
      <c r="Q2" s="42"/>
      <c r="R2" s="42"/>
      <c r="S2" s="42"/>
      <c r="T2" s="41"/>
      <c r="U2" s="41"/>
      <c r="V2" s="41"/>
      <c r="W2" s="41"/>
      <c r="X2" s="41"/>
      <c r="Y2" s="46"/>
    </row>
    <row r="3" spans="1:25" ht="18.75">
      <c r="A3" s="20"/>
      <c r="B3" s="19" t="s">
        <v>34</v>
      </c>
      <c r="C3" s="21"/>
      <c r="D3" s="22" t="s">
        <v>35</v>
      </c>
      <c r="E3" s="22" t="s">
        <v>36</v>
      </c>
      <c r="F3" s="22" t="s">
        <v>37</v>
      </c>
      <c r="G3" s="21" t="s">
        <v>20</v>
      </c>
      <c r="H3" s="23" t="s">
        <v>38</v>
      </c>
      <c r="I3" s="23" t="s">
        <v>39</v>
      </c>
      <c r="J3" s="20"/>
      <c r="K3" s="20" t="s">
        <v>40</v>
      </c>
      <c r="M3" s="41"/>
      <c r="N3" s="43"/>
      <c r="O3" s="25"/>
      <c r="P3" s="25"/>
      <c r="Q3" s="25"/>
      <c r="R3" s="25"/>
      <c r="S3" s="43"/>
      <c r="T3" s="25"/>
      <c r="U3" s="25"/>
      <c r="V3" s="41"/>
      <c r="W3" s="41"/>
      <c r="X3" s="46"/>
    </row>
    <row r="4" spans="1:25" ht="15.75">
      <c r="A4" s="142" t="s">
        <v>41</v>
      </c>
      <c r="B4" s="24" t="s">
        <v>35</v>
      </c>
      <c r="C4" s="25"/>
      <c r="D4" s="26">
        <v>1125</v>
      </c>
      <c r="E4" s="26">
        <v>16</v>
      </c>
      <c r="F4" s="26">
        <v>46</v>
      </c>
      <c r="G4" s="27">
        <f t="shared" ref="G4:G6" si="0">SUM(D4:F4)</f>
        <v>1187</v>
      </c>
      <c r="H4" s="28">
        <f>H7-H5-H6</f>
        <v>22148541.501908638</v>
      </c>
      <c r="I4" s="30">
        <f t="shared" ref="I4:I6" si="1">H4/$H$7</f>
        <v>0.8431373002585496</v>
      </c>
      <c r="J4" s="20"/>
      <c r="K4" s="34">
        <f>D4/G4</f>
        <v>0.94776748104465036</v>
      </c>
      <c r="M4" s="44"/>
      <c r="N4" s="25"/>
      <c r="O4" s="43"/>
      <c r="P4" s="43"/>
      <c r="Q4" s="43"/>
      <c r="R4" s="43"/>
      <c r="S4" s="43"/>
      <c r="T4" s="60"/>
      <c r="U4" s="48"/>
      <c r="V4" s="41"/>
      <c r="W4" s="50"/>
      <c r="X4" s="46"/>
    </row>
    <row r="5" spans="1:25" ht="15.75">
      <c r="A5" s="142"/>
      <c r="B5" s="24" t="s">
        <v>36</v>
      </c>
      <c r="C5" s="25"/>
      <c r="D5" s="26">
        <v>25</v>
      </c>
      <c r="E5" s="26">
        <v>180</v>
      </c>
      <c r="F5" s="26">
        <v>1</v>
      </c>
      <c r="G5" s="27">
        <f t="shared" si="0"/>
        <v>206</v>
      </c>
      <c r="H5" s="28">
        <f>BA_GEE!E14</f>
        <v>1740496.8081547599</v>
      </c>
      <c r="I5" s="30">
        <f t="shared" si="1"/>
        <v>6.6256181239282411E-2</v>
      </c>
      <c r="J5" s="20"/>
      <c r="K5" s="34">
        <f>E5/G5</f>
        <v>0.87378640776699024</v>
      </c>
      <c r="M5" s="44"/>
      <c r="N5" s="45"/>
      <c r="O5" s="45"/>
      <c r="P5" s="43"/>
      <c r="Q5" s="43"/>
      <c r="R5" s="43"/>
      <c r="S5" s="43"/>
      <c r="T5" s="60"/>
      <c r="U5" s="48"/>
      <c r="V5" s="41"/>
      <c r="W5" s="50"/>
      <c r="X5" s="46"/>
    </row>
    <row r="6" spans="1:25" ht="15.75">
      <c r="A6" s="142"/>
      <c r="B6" s="24" t="s">
        <v>37</v>
      </c>
      <c r="C6" s="25"/>
      <c r="D6" s="26">
        <v>25</v>
      </c>
      <c r="E6" s="26">
        <v>0</v>
      </c>
      <c r="F6" s="26">
        <v>155</v>
      </c>
      <c r="G6" s="27">
        <f t="shared" si="0"/>
        <v>180</v>
      </c>
      <c r="H6" s="28">
        <f>BA_GEE!E15</f>
        <v>2380160.6627690801</v>
      </c>
      <c r="I6" s="30">
        <f t="shared" si="1"/>
        <v>9.0606518502168068E-2</v>
      </c>
      <c r="J6" s="20"/>
      <c r="K6" s="34">
        <f>F6/G6</f>
        <v>0.86111111111111116</v>
      </c>
      <c r="M6" s="44"/>
      <c r="N6" s="25"/>
      <c r="O6" s="43"/>
      <c r="P6" s="43"/>
      <c r="Q6" s="43"/>
      <c r="R6" s="43"/>
      <c r="S6" s="43"/>
      <c r="T6" s="60"/>
      <c r="U6" s="48"/>
      <c r="V6" s="41"/>
      <c r="W6" s="50"/>
      <c r="X6" s="46"/>
    </row>
    <row r="7" spans="1:25" ht="15.75">
      <c r="A7" s="20"/>
      <c r="C7" s="21" t="s">
        <v>20</v>
      </c>
      <c r="D7" s="21">
        <f t="shared" ref="D7:G7" si="2">SUM(D4:D6)</f>
        <v>1175</v>
      </c>
      <c r="E7" s="21">
        <f t="shared" si="2"/>
        <v>196</v>
      </c>
      <c r="F7" s="21">
        <f t="shared" si="2"/>
        <v>202</v>
      </c>
      <c r="G7" s="29">
        <f t="shared" si="2"/>
        <v>1573</v>
      </c>
      <c r="H7" s="29">
        <f>REFDATASET_correction!B24</f>
        <v>26269198.972832475</v>
      </c>
      <c r="I7" s="21">
        <f>SUM(I4:I6)</f>
        <v>1.0000000000000002</v>
      </c>
      <c r="J7" s="20"/>
      <c r="K7" s="20"/>
      <c r="M7" s="41"/>
      <c r="N7" s="43"/>
      <c r="P7" s="43"/>
      <c r="Q7" s="43"/>
      <c r="R7" s="43"/>
      <c r="S7" s="60"/>
      <c r="T7" s="60"/>
      <c r="U7" s="43"/>
      <c r="V7" s="41"/>
      <c r="W7" s="41"/>
      <c r="X7" s="46"/>
    </row>
    <row r="8" spans="1:25"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</row>
    <row r="9" spans="1:25"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</row>
    <row r="10" spans="1:25" ht="15.75" customHeight="1">
      <c r="A10" s="20"/>
      <c r="C10" s="20"/>
      <c r="D10" s="141" t="s">
        <v>33</v>
      </c>
      <c r="E10" s="141"/>
      <c r="F10" s="141"/>
      <c r="G10" s="141"/>
      <c r="H10" s="20"/>
      <c r="I10" s="20"/>
      <c r="J10" s="20"/>
      <c r="N10" s="41"/>
      <c r="O10" s="41"/>
      <c r="P10" s="47"/>
      <c r="Q10" s="47"/>
      <c r="R10" s="47"/>
      <c r="S10" s="47"/>
      <c r="T10" s="41"/>
      <c r="U10" s="41"/>
      <c r="V10" s="41"/>
      <c r="W10" s="46"/>
      <c r="X10" s="46"/>
      <c r="Y10" s="46"/>
    </row>
    <row r="11" spans="1:25" ht="18.75">
      <c r="A11" s="20"/>
      <c r="B11" s="19" t="s">
        <v>34</v>
      </c>
      <c r="C11" s="21"/>
      <c r="D11" s="22" t="s">
        <v>35</v>
      </c>
      <c r="E11" s="22" t="s">
        <v>36</v>
      </c>
      <c r="F11" s="23" t="s">
        <v>37</v>
      </c>
      <c r="G11" s="21" t="s">
        <v>20</v>
      </c>
      <c r="H11" s="23" t="s">
        <v>38</v>
      </c>
      <c r="I11" s="23" t="s">
        <v>39</v>
      </c>
      <c r="M11" s="41"/>
      <c r="N11" s="43"/>
      <c r="O11" s="25"/>
      <c r="P11" s="25"/>
      <c r="Q11" s="25"/>
      <c r="R11" s="25"/>
      <c r="S11" s="43"/>
      <c r="T11" s="25"/>
      <c r="U11" s="25"/>
      <c r="V11" s="46"/>
      <c r="W11" s="46"/>
      <c r="X11" s="46"/>
    </row>
    <row r="12" spans="1:25" ht="15.75">
      <c r="A12" s="142" t="s">
        <v>41</v>
      </c>
      <c r="B12" s="24" t="s">
        <v>35</v>
      </c>
      <c r="C12" s="25"/>
      <c r="D12" s="30">
        <f t="shared" ref="D12:G12" si="3">D4/$G4*$I4</f>
        <v>0.79909811524083263</v>
      </c>
      <c r="E12" s="30">
        <f t="shared" si="3"/>
        <v>1.1364950972314063E-2</v>
      </c>
      <c r="F12" s="30">
        <f t="shared" si="3"/>
        <v>3.2674234045402935E-2</v>
      </c>
      <c r="G12" s="30">
        <f t="shared" si="3"/>
        <v>0.8431373002585496</v>
      </c>
      <c r="H12" s="28">
        <v>36585421</v>
      </c>
      <c r="I12" s="30">
        <f t="shared" ref="I12:I14" si="4">H12/$H$7</f>
        <v>1.392711709170749</v>
      </c>
      <c r="M12" s="44"/>
      <c r="N12" s="25"/>
      <c r="O12" s="48"/>
      <c r="P12" s="49"/>
      <c r="Q12" s="48"/>
      <c r="R12" s="48"/>
      <c r="S12" s="48"/>
      <c r="T12" s="60"/>
      <c r="U12" s="48"/>
      <c r="V12" s="46"/>
      <c r="W12" s="46"/>
      <c r="X12" s="46"/>
    </row>
    <row r="13" spans="1:25" ht="15.75">
      <c r="A13" s="142"/>
      <c r="B13" s="24" t="s">
        <v>36</v>
      </c>
      <c r="C13" s="25"/>
      <c r="D13" s="30">
        <f t="shared" ref="D13:G13" si="5">D5/$G5*$I5</f>
        <v>8.0407986940876711E-3</v>
      </c>
      <c r="E13" s="30">
        <f t="shared" si="5"/>
        <v>5.789375059743123E-2</v>
      </c>
      <c r="F13" s="30">
        <f t="shared" si="5"/>
        <v>3.2163194776350685E-4</v>
      </c>
      <c r="G13" s="30">
        <f t="shared" si="5"/>
        <v>6.6256181239282411E-2</v>
      </c>
      <c r="H13" s="28">
        <v>1250484</v>
      </c>
      <c r="I13" s="30">
        <f t="shared" si="4"/>
        <v>4.7602669624347768E-2</v>
      </c>
      <c r="M13" s="44"/>
      <c r="N13" s="25"/>
      <c r="O13" s="49"/>
      <c r="P13" s="48"/>
      <c r="Q13" s="48"/>
      <c r="R13" s="48"/>
      <c r="S13" s="48"/>
      <c r="T13" s="60"/>
      <c r="U13" s="48"/>
      <c r="V13" s="46"/>
      <c r="W13" s="46"/>
      <c r="X13" s="46"/>
    </row>
    <row r="14" spans="1:25" ht="15.75">
      <c r="A14" s="142"/>
      <c r="B14" s="24" t="s">
        <v>37</v>
      </c>
      <c r="C14" s="25"/>
      <c r="D14" s="30">
        <f t="shared" ref="D14:G14" si="6">D6/$G6*$I6</f>
        <v>1.2584238680856676E-2</v>
      </c>
      <c r="E14" s="30">
        <f t="shared" si="6"/>
        <v>0</v>
      </c>
      <c r="F14" s="30">
        <f t="shared" si="6"/>
        <v>7.8022279821311394E-2</v>
      </c>
      <c r="G14" s="30">
        <f t="shared" si="6"/>
        <v>9.0606518502168068E-2</v>
      </c>
      <c r="H14" s="28">
        <v>2211462</v>
      </c>
      <c r="I14" s="30">
        <f t="shared" si="4"/>
        <v>8.4184599701235166E-2</v>
      </c>
      <c r="M14" s="44"/>
      <c r="N14" s="25"/>
      <c r="O14" s="48"/>
      <c r="P14" s="49"/>
      <c r="Q14" s="48"/>
      <c r="R14" s="48"/>
      <c r="S14" s="48"/>
      <c r="T14" s="60"/>
      <c r="U14" s="48"/>
      <c r="V14" s="46"/>
      <c r="W14" s="46"/>
      <c r="X14" s="46"/>
    </row>
    <row r="15" spans="1:25" ht="15.75">
      <c r="A15" s="20"/>
      <c r="C15" s="21" t="s">
        <v>20</v>
      </c>
      <c r="D15" s="31">
        <f t="shared" ref="D15:I15" si="7">SUM(D12:D14)</f>
        <v>0.819723152615777</v>
      </c>
      <c r="E15" s="31">
        <f t="shared" si="7"/>
        <v>6.9258701569745298E-2</v>
      </c>
      <c r="F15" s="31">
        <f t="shared" si="7"/>
        <v>0.11101814581447783</v>
      </c>
      <c r="G15" s="32">
        <f t="shared" si="7"/>
        <v>1.0000000000000002</v>
      </c>
      <c r="H15" s="29">
        <f t="shared" si="7"/>
        <v>40047367</v>
      </c>
      <c r="I15" s="21">
        <f t="shared" si="7"/>
        <v>1.5244989784963319</v>
      </c>
      <c r="M15" s="41"/>
      <c r="N15" s="43"/>
      <c r="O15" s="48"/>
      <c r="P15" s="48"/>
      <c r="Q15" s="48"/>
      <c r="R15" s="48"/>
      <c r="S15" s="49"/>
      <c r="T15" s="60"/>
      <c r="U15" s="43"/>
      <c r="V15" s="46"/>
      <c r="W15" s="46"/>
      <c r="X15" s="46"/>
    </row>
    <row r="16" spans="1:25"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</row>
    <row r="17" spans="2:25" ht="15.75">
      <c r="C17" s="33" t="s">
        <v>42</v>
      </c>
      <c r="D17" s="34">
        <f>D12/D15</f>
        <v>0.974839020577705</v>
      </c>
      <c r="E17" s="34">
        <f>E13/E15</f>
        <v>0.83590580367913381</v>
      </c>
      <c r="F17" s="34">
        <f>F14/F15</f>
        <v>0.7027885328916792</v>
      </c>
      <c r="G17" s="34"/>
      <c r="H17" s="20"/>
      <c r="N17" s="46"/>
      <c r="O17" s="33"/>
      <c r="P17" s="50"/>
      <c r="Q17" s="50"/>
      <c r="R17" s="50"/>
      <c r="S17" s="50"/>
      <c r="T17" s="41"/>
      <c r="U17" s="46"/>
      <c r="V17" s="46"/>
      <c r="W17" s="46"/>
      <c r="X17" s="46"/>
      <c r="Y17" s="46"/>
    </row>
    <row r="18" spans="2:25">
      <c r="C18" s="19" t="s">
        <v>43</v>
      </c>
      <c r="D18" s="35">
        <f>SUM(D12,E13,F14)</f>
        <v>0.93501414565957519</v>
      </c>
      <c r="N18" s="46"/>
      <c r="O18" s="46"/>
      <c r="P18" s="51"/>
      <c r="Q18" s="46"/>
      <c r="R18" s="46"/>
      <c r="S18" s="46"/>
      <c r="T18" s="46"/>
      <c r="U18" s="46"/>
      <c r="V18" s="46"/>
      <c r="W18" s="46"/>
      <c r="X18" s="46"/>
      <c r="Y18" s="46"/>
    </row>
    <row r="19" spans="2:25">
      <c r="C19" s="36" t="s">
        <v>44</v>
      </c>
      <c r="D19" s="37">
        <f t="shared" ref="D19:F19" si="8">$H$7*D15</f>
        <v>21533470.598701365</v>
      </c>
      <c r="E19" s="37">
        <f t="shared" si="8"/>
        <v>1819370.6121356641</v>
      </c>
      <c r="F19" s="37">
        <f t="shared" si="8"/>
        <v>2916357.7619954469</v>
      </c>
      <c r="G19" s="38"/>
      <c r="N19" s="46"/>
      <c r="O19" s="46"/>
      <c r="P19" s="52"/>
      <c r="Q19" s="52"/>
      <c r="R19" s="52"/>
      <c r="S19" s="52"/>
      <c r="T19" s="46"/>
      <c r="U19" s="46"/>
      <c r="V19" s="46"/>
      <c r="W19" s="46"/>
      <c r="X19" s="46"/>
      <c r="Y19" s="46"/>
    </row>
    <row r="20" spans="2:25"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</row>
    <row r="21" spans="2:25"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</row>
    <row r="23" spans="2:25">
      <c r="B23" s="19" t="s">
        <v>34</v>
      </c>
      <c r="C23" s="19" t="s">
        <v>45</v>
      </c>
      <c r="D23" s="19" t="str">
        <f t="shared" ref="D23:D26" si="9">K3</f>
        <v>User's</v>
      </c>
      <c r="E23" s="19" t="s">
        <v>46</v>
      </c>
      <c r="F23" s="19" t="s">
        <v>47</v>
      </c>
      <c r="G23" s="39" t="s">
        <v>48</v>
      </c>
      <c r="H23" s="19" t="s">
        <v>49</v>
      </c>
      <c r="I23" s="53" t="s">
        <v>50</v>
      </c>
      <c r="J23" s="46" t="s">
        <v>51</v>
      </c>
      <c r="K23" s="19" t="s">
        <v>52</v>
      </c>
      <c r="L23" s="53" t="s">
        <v>53</v>
      </c>
      <c r="M23" s="46" t="s">
        <v>54</v>
      </c>
      <c r="N23" s="54" t="s">
        <v>55</v>
      </c>
      <c r="O23" s="54" t="s">
        <v>56</v>
      </c>
      <c r="P23" s="54" t="s">
        <v>57</v>
      </c>
      <c r="Q23" s="54" t="s">
        <v>58</v>
      </c>
      <c r="R23" s="61" t="s">
        <v>59</v>
      </c>
      <c r="V23" s="19" t="s">
        <v>58</v>
      </c>
      <c r="W23" s="19" t="s">
        <v>60</v>
      </c>
      <c r="X23" s="36" t="s">
        <v>61</v>
      </c>
    </row>
    <row r="24" spans="2:25">
      <c r="B24" s="24" t="s">
        <v>36</v>
      </c>
      <c r="C24" s="35">
        <f t="shared" ref="C24:C26" si="10">I4</f>
        <v>0.8431373002585496</v>
      </c>
      <c r="D24" s="40">
        <f t="shared" si="9"/>
        <v>0.94776748104465036</v>
      </c>
      <c r="E24" s="19">
        <f t="shared" ref="E24:E26" si="11">G4</f>
        <v>1187</v>
      </c>
      <c r="F24" s="19">
        <f t="shared" ref="F24:F26" si="12">C24^2*D24*(1-D24)/(E24-1)</f>
        <v>2.9672537727150069E-5</v>
      </c>
      <c r="G24" s="39">
        <f>SUM(F24:F26)</f>
        <v>3.7519360622309708E-5</v>
      </c>
      <c r="H24" s="19">
        <f>SQRT(G24)</f>
        <v>6.1253049411690279E-3</v>
      </c>
      <c r="I24" s="55">
        <f>H24*1.96</f>
        <v>1.2005597684691295E-2</v>
      </c>
      <c r="J24" s="56">
        <f t="shared" ref="J24:J26" si="13">D24*(1-D24)/(E24-1)</f>
        <v>4.1740542090159088E-5</v>
      </c>
      <c r="K24" s="19">
        <f t="shared" ref="K24:K26" si="14">SQRT(J24)</f>
        <v>6.4606920751695855E-3</v>
      </c>
      <c r="L24" s="55">
        <f t="shared" ref="L24:L26" si="15">1.96*K24</f>
        <v>1.2662956467332388E-2</v>
      </c>
      <c r="M24" s="52">
        <f>(H4*D4/G4+H6*D5/G5+H5*D6/G6)</f>
        <v>21522257.505241297</v>
      </c>
      <c r="N24" s="19">
        <f>H4^2*(1-D17)^2*K4*(1-K4)/(G4-1)</f>
        <v>12962937.761709306</v>
      </c>
      <c r="O24" s="19">
        <f>D17^2*(H6^2*D5/G5*(1-D5/G5)/(G5-1)+H5^2*D6/G6*(1-D6/G6)/(G6-1))</f>
        <v>4723798594.2396088</v>
      </c>
      <c r="P24" s="19">
        <f t="shared" ref="P24:P26" si="16">(1/M24^2)*(N24+O24)</f>
        <v>1.0226002030162449E-5</v>
      </c>
      <c r="Q24" s="19">
        <f t="shared" ref="Q24:Q26" si="17">SQRT(P24)</f>
        <v>3.1978120692377232E-3</v>
      </c>
      <c r="R24" s="62">
        <f t="shared" ref="R24:R26" si="18">1.96*Q24</f>
        <v>6.2677116557059371E-3</v>
      </c>
      <c r="S24" s="19">
        <f>G12^2*(D4/G4*(1-(D4/G4))/(G4-1))</f>
        <v>2.9672537727150066E-5</v>
      </c>
      <c r="T24" s="19">
        <f>G13^2*(D5/G5*(1-(D5/G5))/(G5-1))</f>
        <v>2.283405716805932E-6</v>
      </c>
      <c r="U24" s="19">
        <f>G14^2*(D6/G6*(1-(D6/G6))/(G6-1))</f>
        <v>5.4852010709272083E-6</v>
      </c>
      <c r="V24" s="19">
        <f t="shared" ref="V24:V26" si="19">SQRT(SUM(S24:U24))</f>
        <v>6.1189169396947372E-3</v>
      </c>
      <c r="W24" s="19">
        <f>V24*H7</f>
        <v>160739.04658707621</v>
      </c>
      <c r="X24" s="63">
        <f>2*W24</f>
        <v>321478.09317415243</v>
      </c>
    </row>
    <row r="25" spans="2:25">
      <c r="B25" s="24" t="s">
        <v>37</v>
      </c>
      <c r="C25" s="35">
        <f t="shared" si="10"/>
        <v>6.6256181239282411E-2</v>
      </c>
      <c r="D25" s="40">
        <f t="shared" si="9"/>
        <v>0.87378640776699024</v>
      </c>
      <c r="E25" s="19">
        <f t="shared" si="11"/>
        <v>206</v>
      </c>
      <c r="F25" s="19">
        <f t="shared" si="12"/>
        <v>2.3616218242324343E-6</v>
      </c>
      <c r="G25" s="39"/>
      <c r="I25" s="57"/>
      <c r="J25" s="46">
        <f t="shared" si="13"/>
        <v>5.3796937252999666E-4</v>
      </c>
      <c r="K25" s="19">
        <f t="shared" si="14"/>
        <v>2.3194166778093078E-2</v>
      </c>
      <c r="L25" s="55">
        <f t="shared" si="15"/>
        <v>4.5460566885062434E-2</v>
      </c>
      <c r="M25" s="52">
        <f>(H4*E4/G4+H6*E5/G5+H5*E6/G6)</f>
        <v>2378300.1938374974</v>
      </c>
      <c r="N25" s="19">
        <f>H6^2*(1-E17)^2*K5*(1-K5)/(G5-1)</f>
        <v>82064729.107750878</v>
      </c>
      <c r="O25" s="19">
        <f>E17^2*(H4^2*E4/G4*(1-E4/G4)/(G4-1)+H5^2*E6/G6*(1-E6/G6)/(G6-1))</f>
        <v>3843223998.6072946</v>
      </c>
      <c r="P25" s="19">
        <f t="shared" si="16"/>
        <v>6.9396611399362093E-4</v>
      </c>
      <c r="Q25" s="19">
        <f t="shared" si="17"/>
        <v>2.634323658918207E-2</v>
      </c>
      <c r="R25" s="64">
        <f t="shared" si="18"/>
        <v>5.1632743714796855E-2</v>
      </c>
      <c r="S25" s="19">
        <f>G12^2*(E4/G4*(1-(E4/G4))/(G4-1))</f>
        <v>7.9705328581488658E-6</v>
      </c>
      <c r="T25" s="19">
        <f>G13^2*(E5/G5*(1-(E5/G5))/(G5-1))</f>
        <v>2.3616218242324347E-6</v>
      </c>
      <c r="U25" s="19">
        <f>G14^2*(E6/G6*(1-(E6/G6))/(G6-1))</f>
        <v>0</v>
      </c>
      <c r="V25" s="19">
        <f t="shared" si="19"/>
        <v>3.2143669178208794E-3</v>
      </c>
      <c r="W25" s="19">
        <f>V25*H7</f>
        <v>84438.844135926935</v>
      </c>
      <c r="X25" s="63">
        <f>2*W25</f>
        <v>168877.68827185387</v>
      </c>
    </row>
    <row r="26" spans="2:25">
      <c r="B26" s="24" t="s">
        <v>35</v>
      </c>
      <c r="C26" s="35">
        <f t="shared" si="10"/>
        <v>9.0606518502168068E-2</v>
      </c>
      <c r="D26" s="40">
        <f t="shared" si="9"/>
        <v>0.86111111111111116</v>
      </c>
      <c r="E26" s="19">
        <f t="shared" si="11"/>
        <v>180</v>
      </c>
      <c r="F26" s="19">
        <f t="shared" si="12"/>
        <v>5.4852010709272066E-6</v>
      </c>
      <c r="G26" s="39"/>
      <c r="I26" s="58"/>
      <c r="J26" s="46">
        <f t="shared" si="13"/>
        <v>6.681495275536242E-4</v>
      </c>
      <c r="K26" s="19">
        <f t="shared" si="14"/>
        <v>2.5848588502152766E-2</v>
      </c>
      <c r="L26" s="59">
        <f t="shared" si="15"/>
        <v>5.0663233464219422E-2</v>
      </c>
      <c r="M26" s="52">
        <f>(H4*F4/G4+H6*F5/G5+H5*F6/G6)</f>
        <v>2368641.2737536812</v>
      </c>
      <c r="N26" s="19">
        <f>H5^2*(1-F17)^2*K6*(1-K6)/(G6-1)</f>
        <v>178793304.43136892</v>
      </c>
      <c r="O26" s="19">
        <f>F17^2*(H4^2*F4/G4*(1-F4/G4)/(G4-1)+H6^2*F5/G5*(1-F5/G5)/(G5-1))</f>
        <v>7676152118.3649635</v>
      </c>
      <c r="P26" s="19">
        <f t="shared" si="16"/>
        <v>1.4000533548935244E-3</v>
      </c>
      <c r="Q26" s="19">
        <f t="shared" si="17"/>
        <v>3.7417286845701739E-2</v>
      </c>
      <c r="R26" s="65">
        <f t="shared" si="18"/>
        <v>7.3337882217575409E-2</v>
      </c>
      <c r="S26" s="19">
        <f>G12^2*(F4/G4*(1-(F4/G4))/(G4-1))</f>
        <v>2.2328212403544054E-5</v>
      </c>
      <c r="T26" s="19">
        <f>G13^2*(F5/G5*(1-(F5/G5))/(G5-1))</f>
        <v>1.0344710982214717E-7</v>
      </c>
      <c r="U26" s="19">
        <f>G14^2*(F6/G6*(1-(F6/G6))/(G6-1))</f>
        <v>5.4852010709272058E-6</v>
      </c>
      <c r="V26" s="19">
        <f t="shared" si="19"/>
        <v>5.2836408455054365E-3</v>
      </c>
      <c r="W26" s="19">
        <f>V26*H7</f>
        <v>138797.01267156712</v>
      </c>
      <c r="X26" s="63">
        <f t="shared" ref="X26" si="20">2*W26</f>
        <v>277594.02534313424</v>
      </c>
    </row>
    <row r="27" spans="2:25">
      <c r="M27" s="54"/>
    </row>
    <row r="32" spans="2:25">
      <c r="M32" s="38"/>
    </row>
    <row r="33" spans="13:13">
      <c r="M33" s="38"/>
    </row>
    <row r="34" spans="13:13">
      <c r="M34" s="38"/>
    </row>
    <row r="35" spans="13:13">
      <c r="M35" s="38"/>
    </row>
  </sheetData>
  <mergeCells count="4">
    <mergeCell ref="D2:G2"/>
    <mergeCell ref="D10:G10"/>
    <mergeCell ref="A4:A6"/>
    <mergeCell ref="A12:A14"/>
  </mergeCells>
  <pageMargins left="0.75" right="0.75" top="1" bottom="1" header="0.5" footer="0.5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"/>
  <sheetViews>
    <sheetView tabSelected="1" workbookViewId="0">
      <selection activeCell="C7" sqref="C7"/>
    </sheetView>
  </sheetViews>
  <sheetFormatPr defaultColWidth="9.140625" defaultRowHeight="15"/>
  <cols>
    <col min="1" max="1" width="11.42578125" customWidth="1"/>
    <col min="2" max="2" width="14.42578125" customWidth="1"/>
    <col min="3" max="6" width="16" customWidth="1"/>
  </cols>
  <sheetData>
    <row r="1" spans="1:6">
      <c r="A1" s="13" t="s">
        <v>62</v>
      </c>
    </row>
    <row r="2" spans="1:6">
      <c r="A2" s="14"/>
      <c r="B2" s="15" t="s">
        <v>63</v>
      </c>
      <c r="C2" s="15" t="s">
        <v>44</v>
      </c>
      <c r="D2" s="15" t="s">
        <v>64</v>
      </c>
      <c r="E2" s="15" t="s">
        <v>65</v>
      </c>
      <c r="F2" s="15" t="s">
        <v>66</v>
      </c>
    </row>
    <row r="3" spans="1:6">
      <c r="A3" s="14" t="s">
        <v>67</v>
      </c>
      <c r="B3" s="16">
        <f>BA_GEE!B14</f>
        <v>1549195.8792221099</v>
      </c>
      <c r="C3" s="17">
        <f>'S2-TM_3classes'!E19</f>
        <v>1742965.7614869003</v>
      </c>
      <c r="D3" s="17">
        <f>'S2-TM_3classes'!X24/2</f>
        <v>118009.51548883626</v>
      </c>
      <c r="E3" s="17">
        <f>C3-D3</f>
        <v>1624956.2459980641</v>
      </c>
      <c r="F3" s="17">
        <f>C3+D3</f>
        <v>1860975.2769757365</v>
      </c>
    </row>
    <row r="4" spans="1:6">
      <c r="A4" s="14" t="s">
        <v>68</v>
      </c>
      <c r="B4" s="16">
        <f>BA_GEE!C14</f>
        <v>1519124.6299980599</v>
      </c>
      <c r="C4" s="17">
        <f>'Landsat-TM_3classes'!E19</f>
        <v>1695712.2554292174</v>
      </c>
      <c r="D4" s="17">
        <f>'Landsat-TM_3classes'!X24/2</f>
        <v>132395.40743414653</v>
      </c>
      <c r="E4" s="17">
        <f>C4-D4</f>
        <v>1563316.8479950707</v>
      </c>
      <c r="F4" s="17">
        <f>C4+D4</f>
        <v>1828107.662863364</v>
      </c>
    </row>
    <row r="5" spans="1:6">
      <c r="A5" s="14" t="s">
        <v>31</v>
      </c>
      <c r="B5" s="16">
        <f>BA_GEE!D14</f>
        <v>1148469.2642064299</v>
      </c>
      <c r="C5" s="17">
        <f>MODIS_3classes!E19</f>
        <v>1868049.2384976933</v>
      </c>
      <c r="D5" s="17">
        <f>MODIS_3classes!X24/2</f>
        <v>213704.54983616646</v>
      </c>
      <c r="E5" s="17">
        <f>C5-D5</f>
        <v>1654344.6886615269</v>
      </c>
      <c r="F5" s="17">
        <f>C5+D5</f>
        <v>2081753.7883338598</v>
      </c>
    </row>
    <row r="6" spans="1:6">
      <c r="A6" t="s">
        <v>8</v>
      </c>
      <c r="B6" s="18">
        <f>BA_GEE!E14</f>
        <v>1740496.8081547599</v>
      </c>
      <c r="C6" s="17">
        <f>'C3SBA10_3classes'!E19</f>
        <v>1819370.6121356641</v>
      </c>
      <c r="D6" s="17">
        <f>'C3SBA10_3classes'!X24/2</f>
        <v>160739.04658707621</v>
      </c>
      <c r="E6" s="17">
        <f>C6-D6</f>
        <v>1658631.5655485878</v>
      </c>
      <c r="F6" s="17">
        <f>C6+D6</f>
        <v>1980109.6587227404</v>
      </c>
    </row>
    <row r="7" spans="1:6">
      <c r="A7" t="s">
        <v>87</v>
      </c>
      <c r="B7" s="143">
        <f>AVERAGE(B3:B6)</f>
        <v>1489321.6453953399</v>
      </c>
      <c r="C7" s="17">
        <f>AVERAGE(C3:C6)</f>
        <v>1781524.4668873688</v>
      </c>
    </row>
  </sheetData>
  <pageMargins left="0.75" right="0.75" top="1" bottom="1" header="0.5" footer="0.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"/>
  <sheetViews>
    <sheetView workbookViewId="0">
      <selection activeCell="A7" sqref="A7:C7"/>
    </sheetView>
  </sheetViews>
  <sheetFormatPr defaultColWidth="9.140625" defaultRowHeight="15"/>
  <cols>
    <col min="1" max="1" width="11.42578125" customWidth="1"/>
    <col min="2" max="2" width="14.42578125" customWidth="1"/>
    <col min="3" max="6" width="16" customWidth="1"/>
  </cols>
  <sheetData>
    <row r="1" spans="1:6">
      <c r="A1" s="13" t="s">
        <v>69</v>
      </c>
    </row>
    <row r="2" spans="1:6">
      <c r="A2" s="14"/>
      <c r="B2" s="15" t="s">
        <v>63</v>
      </c>
      <c r="C2" s="15" t="s">
        <v>44</v>
      </c>
      <c r="D2" s="15" t="s">
        <v>64</v>
      </c>
      <c r="E2" s="15" t="s">
        <v>65</v>
      </c>
      <c r="F2" s="15" t="s">
        <v>66</v>
      </c>
    </row>
    <row r="3" spans="1:6">
      <c r="A3" s="14" t="s">
        <v>67</v>
      </c>
      <c r="B3" s="16">
        <f>BA_GEE!B15</f>
        <v>2616375.4659662098</v>
      </c>
      <c r="C3" s="17">
        <f>'S2-TM_3classes'!F19</f>
        <v>2989156.1556675956</v>
      </c>
      <c r="D3" s="17">
        <f>'S2-TM_3classes'!X25/2</f>
        <v>69807.59676028711</v>
      </c>
      <c r="E3" s="17">
        <f t="shared" ref="E3:E6" si="0">C3-D3</f>
        <v>2919348.5589073086</v>
      </c>
      <c r="F3" s="17">
        <f t="shared" ref="F3:F6" si="1">C3+D3</f>
        <v>3058963.7524278825</v>
      </c>
    </row>
    <row r="4" spans="1:6">
      <c r="A4" s="14" t="s">
        <v>68</v>
      </c>
      <c r="B4" s="16">
        <f>BA_GEE!C15</f>
        <v>2585247.0473026298</v>
      </c>
      <c r="C4" s="17">
        <f>'Landsat-TM_3classes'!F19</f>
        <v>2922594.1656144774</v>
      </c>
      <c r="D4" s="17">
        <f>'Landsat-TM_3classes'!X25/2</f>
        <v>77477.489676785481</v>
      </c>
      <c r="E4" s="17">
        <f t="shared" si="0"/>
        <v>2845116.6759376917</v>
      </c>
      <c r="F4" s="17">
        <f t="shared" si="1"/>
        <v>3000071.655291263</v>
      </c>
    </row>
    <row r="5" spans="1:6">
      <c r="A5" s="14" t="s">
        <v>31</v>
      </c>
      <c r="B5" s="16">
        <f>BA_GEE!D15</f>
        <v>1705739.87605249</v>
      </c>
      <c r="C5" s="17">
        <f>MODIS_3classes!F19</f>
        <v>2833631.702157395</v>
      </c>
      <c r="D5" s="17">
        <f>MODIS_3classes!X25/2</f>
        <v>131593.11980081562</v>
      </c>
      <c r="E5" s="17">
        <f t="shared" si="0"/>
        <v>2702038.5823565791</v>
      </c>
      <c r="F5" s="17">
        <f t="shared" si="1"/>
        <v>2965224.8219582108</v>
      </c>
    </row>
    <row r="6" spans="1:6">
      <c r="A6" t="s">
        <v>8</v>
      </c>
      <c r="B6" s="18">
        <f>BA_GEE!E15</f>
        <v>2380160.6627690801</v>
      </c>
      <c r="C6" s="17">
        <f>'C3SBA10_3classes'!F19</f>
        <v>2916357.7619954469</v>
      </c>
      <c r="D6" s="17">
        <f>'C3SBA10_3classes'!X25/2</f>
        <v>84438.844135926935</v>
      </c>
      <c r="E6" s="17">
        <f t="shared" si="0"/>
        <v>2831918.9178595198</v>
      </c>
      <c r="F6" s="17">
        <f t="shared" si="1"/>
        <v>3000796.6061313739</v>
      </c>
    </row>
    <row r="7" spans="1:6">
      <c r="A7" t="s">
        <v>87</v>
      </c>
      <c r="B7" s="143">
        <f>AVERAGE(B3:B6)</f>
        <v>2321880.7630226025</v>
      </c>
      <c r="C7" s="17">
        <f>AVERAGE(C3:C6)</f>
        <v>2915434.9463587282</v>
      </c>
    </row>
  </sheetData>
  <pageMargins left="0.75" right="0.75" top="1" bottom="1" header="0.5" footer="0.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6"/>
  <sheetViews>
    <sheetView topLeftCell="A4" zoomScale="145" zoomScaleNormal="145" workbookViewId="0">
      <selection activeCell="E13" sqref="E13"/>
    </sheetView>
  </sheetViews>
  <sheetFormatPr defaultColWidth="9.140625" defaultRowHeight="12"/>
  <cols>
    <col min="1" max="1" width="9.140625" style="1"/>
    <col min="2" max="2" width="10.42578125" style="1" customWidth="1"/>
    <col min="3" max="3" width="16.7109375" style="1" customWidth="1"/>
    <col min="4" max="7" width="15.85546875" style="1" customWidth="1"/>
    <col min="8" max="16384" width="9.140625" style="1"/>
  </cols>
  <sheetData>
    <row r="1" spans="1:10">
      <c r="A1" s="2"/>
      <c r="B1" s="2"/>
      <c r="C1" s="2"/>
      <c r="D1" s="2"/>
      <c r="E1" s="2"/>
      <c r="F1" s="2"/>
      <c r="G1" s="2"/>
    </row>
    <row r="2" spans="1:10" ht="15.95" customHeight="1">
      <c r="A2" s="2"/>
      <c r="B2" s="2"/>
      <c r="C2" s="3"/>
      <c r="D2" s="137" t="s">
        <v>83</v>
      </c>
      <c r="E2" s="137" t="s">
        <v>84</v>
      </c>
      <c r="F2" s="137" t="s">
        <v>70</v>
      </c>
      <c r="G2" s="137" t="s">
        <v>8</v>
      </c>
      <c r="H2" s="2"/>
    </row>
    <row r="3" spans="1:10" ht="15.95" customHeight="1">
      <c r="A3" s="2"/>
      <c r="B3" s="136" t="s">
        <v>71</v>
      </c>
      <c r="C3" s="4"/>
      <c r="D3" s="5" t="str">
        <f>FIXED(ROUND('S2-TM_3classes'!D18*100,1),1)&amp;D20&amp;FIXED(ROUND(('S2-TM_3classes'!D18-'S2-TM_3classes'!I24/2)*100,1),1)&amp;D22&amp;FIXED(ROUND(('S2-TM_3classes'!D18+'S2-TM_3classes'!I24/2)*100,1),1)&amp;D21</f>
        <v>96.8 (96.4, 97.3)</v>
      </c>
      <c r="E3" s="6" t="str">
        <f>FIXED(ROUND('Landsat-TM_3classes'!D18*100,1),1)&amp;D20&amp;FIXED(ROUND(('Landsat-TM_3classes'!D18-'Landsat-TM_3classes'!I24/2)*100,1),1)&amp;D22&amp;FIXED(ROUND(('Landsat-TM_3classes'!D18+'Landsat-TM_3classes'!I24/2)*100,1),1)&amp;D21</f>
        <v>95.7 (95.2, 96.2)</v>
      </c>
      <c r="F3" s="6" t="str">
        <f>FIXED(ROUND(MODIS_3classes!D18*100,1),1)&amp;D20&amp;FIXED(ROUND((MODIS_3classes!D18-MODIS_3classes!I24/2)*100,1),1)&amp;D22&amp;FIXED(ROUND((MODIS_3classes!D18+MODIS_3classes!I24/2)*100,1),1)&amp;D21</f>
        <v>88.7 (87.9, 89.5)</v>
      </c>
      <c r="G3" s="6" t="str">
        <f>FIXED(ROUND('C3SBA10_3classes'!D18*100,1),1)&amp;D20&amp;FIXED(ROUND(('C3SBA10_3classes'!D18-'C3SBA10_3classes'!I24/2)*100,1),1)&amp;D22&amp;FIXED(ROUND(('C3SBA10_3classes'!D18+'C3SBA10_3classes'!I24/2)*100,1),1)&amp;D21</f>
        <v>93.5 (92.9, 94.1)</v>
      </c>
      <c r="H3" s="2"/>
    </row>
    <row r="4" spans="1:10" ht="15.95" customHeight="1">
      <c r="A4" s="2"/>
      <c r="B4" s="7"/>
      <c r="C4" s="134" t="s">
        <v>72</v>
      </c>
      <c r="D4" s="3" t="str">
        <f>FIXED(ROUND('S2-TM_3classes'!K4*100,1),1)&amp;D20&amp;FIXED(ROUND(('S2-TM_3classes'!K4-'S2-TM_3classes'!L26/2)*100,1),1)&amp;D22&amp;FIXED(ROUND(('S2-TM_3classes'!K4+'S2-TM_3classes'!L26/2)*100,1),1)&amp;D21</f>
        <v>96.9 (95.6, 98.2)</v>
      </c>
      <c r="E4" s="3" t="str">
        <f>FIXED(ROUND('Landsat-TM_3classes'!K4*100,1),1)&amp;D20&amp;FIXED(ROUND(('Landsat-TM_3classes'!K4-'Landsat-TM_3classes'!L26/2)*100,1),1)&amp;D22&amp;FIXED(ROUND(('Landsat-TM_3classes'!K4+'Landsat-TM_3classes'!L26/2)*100,1),1)&amp;D21</f>
        <v>96.4 (94.4, 98.3)</v>
      </c>
      <c r="F4" s="3" t="str">
        <f>FIXED(ROUND(MODIS_3classes!K4*100,1),1)&amp;D20&amp;FIXED(ROUND((MODIS_3classes!K4-MODIS_3classes!L26/2)*100,1),1)&amp;D22&amp;FIXED(ROUND((MODIS_3classes!K4+MODIS_3classes!L26/2)*100,1),1)&amp;D21</f>
        <v>89.7 (86.0, 93.4)</v>
      </c>
      <c r="G4" s="3" t="str">
        <f>FIXED(ROUND('C3SBA10_3classes'!K4*100,1),1)&amp;D20&amp;FIXED(ROUND(('C3SBA10_3classes'!K4-'C3SBA10_3classes'!L26/2)*100,1),1)&amp;D22&amp;FIXED(ROUND(('C3SBA10_3classes'!K4+'C3SBA10_3classes'!L26/2)*100,1),1)&amp;D21</f>
        <v>94.8 (92.2, 97.3)</v>
      </c>
      <c r="H4" s="2"/>
    </row>
    <row r="5" spans="1:10" ht="15.95" customHeight="1">
      <c r="A5" s="2"/>
      <c r="B5" s="7"/>
      <c r="C5" s="134" t="s">
        <v>73</v>
      </c>
      <c r="D5" s="3" t="str">
        <f>FIXED(ROUND('S2-TM_3classes'!K5*100,1),1)&amp;D20&amp;FIXED(ROUND(('S2-TM_3classes'!K5-'S2-TM_3classes'!L24/2)*100,1),1)&amp;D22&amp;FIXED(ROUND(('S2-TM_3classes'!K5+'S2-TM_3classes'!L24/2)*100,1),1)&amp;D21</f>
        <v>96.8 (96.3, 97.3)</v>
      </c>
      <c r="E5" s="3" t="str">
        <f>FIXED(ROUND('Landsat-TM_3classes'!K5*100,1),1)&amp;D20&amp;FIXED(ROUND(('Landsat-TM_3classes'!K5-'Landsat-TM_3classes'!L24/2)*100,1),1)&amp;D22&amp;FIXED(ROUND(('Landsat-TM_3classes'!K5+'Landsat-TM_3classes'!L24/2)*100,1),1)&amp;D21</f>
        <v>92.7 (92.1, 93.2)</v>
      </c>
      <c r="F5" s="3" t="str">
        <f>FIXED(ROUND(MODIS_3classes!K5*100,1),1)&amp;D20&amp;FIXED(ROUND((MODIS_3classes!K5-MODIS_3classes!L24/2)*100,1),1)&amp;D22&amp;FIXED(ROUND((MODIS_3classes!K5+MODIS_3classes!L24/2)*100,1),1)&amp;D21</f>
        <v>84.6 (83.8, 85.5)</v>
      </c>
      <c r="G5" s="3" t="str">
        <f>FIXED(ROUND('C3SBA10_3classes'!K5*100,1),1)&amp;D20&amp;FIXED(ROUND(('C3SBA10_3classes'!K5-'C3SBA10_3classes'!L24/2)*100,1),1)&amp;D22&amp;FIXED(ROUND(('C3SBA10_3classes'!K5+'C3SBA10_3classes'!L24/2)*100,1),1)&amp;D21</f>
        <v>87.4 (86.7, 88.0)</v>
      </c>
      <c r="H5" s="2"/>
    </row>
    <row r="6" spans="1:10" ht="15.95" customHeight="1">
      <c r="A6" s="2"/>
      <c r="B6" s="133" t="s">
        <v>74</v>
      </c>
      <c r="C6" s="133" t="s">
        <v>75</v>
      </c>
      <c r="D6" s="8" t="str">
        <f>FIXED(ROUND('S2-TM_3classes'!K6*100,1),1)&amp;D20&amp;FIXED(ROUND(('S2-TM_3classes'!K6-'S2-TM_3classes'!L25/2)*100,1),1)&amp;D22&amp;FIXED(ROUND(('S2-TM_3classes'!K6+'S2-TM_3classes'!L25/2)*100,1),1)&amp;D21</f>
        <v>96.5 (95.3, 97.7)</v>
      </c>
      <c r="E6" s="8" t="str">
        <f>FIXED(ROUND('Landsat-TM_3classes'!K6*100,1),1)&amp;D20&amp;FIXED(ROUND(('Landsat-TM_3classes'!K6-'Landsat-TM_3classes'!L25/2)*100,1),1)&amp;D22&amp;FIXED(ROUND(('Landsat-TM_3classes'!K6+'Landsat-TM_3classes'!L25/2)*100,1),1)&amp;D21</f>
        <v>91.8 (89.9, 93.6)</v>
      </c>
      <c r="F6" s="8" t="str">
        <f>FIXED(ROUND(MODIS_3classes!K6*100,1),1)&amp;D20&amp;FIXED(ROUND((MODIS_3classes!K6-MODIS_3classes!L25/2)*100,1),1)&amp;D22&amp;FIXED(ROUND((MODIS_3classes!K6+MODIS_3classes!L25/2)*100,1),1)&amp;D21</f>
        <v>77.0 (74.0, 80.0)</v>
      </c>
      <c r="G6" s="8" t="str">
        <f>FIXED(ROUND('C3SBA10_3classes'!K6*100,1),1)&amp;D20&amp;FIXED(ROUND(('C3SBA10_3classes'!K6-'C3SBA10_3classes'!L25/2)*100,1),1)&amp;D22&amp;FIXED(ROUND(('C3SBA10_3classes'!K6+'C3SBA10_3classes'!L25/2)*100,1),1)&amp;D21</f>
        <v>86.1 (83.8, 88.4)</v>
      </c>
      <c r="H6" s="2"/>
    </row>
    <row r="7" spans="1:10" ht="15.95" customHeight="1">
      <c r="A7" s="2"/>
      <c r="B7" s="7"/>
      <c r="C7" s="134" t="s">
        <v>72</v>
      </c>
      <c r="D7" s="3" t="str">
        <f>FIXED(ROUND('S2-TM_3classes'!D17*100,1),1)&amp;D20&amp;FIXED(ROUND(('S2-TM_3classes'!D17-'S2-TM_3classes'!R26/2)*100,1),1)&amp;D22&amp;FIXED(ROUND(('S2-TM_3classes'!D17+'S2-TM_3classes'!R26/2)*100,1),1)&amp;D21</f>
        <v>99.4 (95.5, 103.3)</v>
      </c>
      <c r="E7" s="3" t="str">
        <f>FIXED(ROUND('Landsat-TM_3classes'!D17*100,1),1)&amp;D20&amp;FIXED(ROUND(('Landsat-TM_3classes'!D17-'Landsat-TM_3classes'!R26/2)*100,1),1)&amp;D22&amp;FIXED(ROUND(('Landsat-TM_3classes'!D17+'Landsat-TM_3classes'!R26/2)*100,1),1)&amp;D21</f>
        <v>98.7 (94.6, 102.8)</v>
      </c>
      <c r="F7" s="3" t="str">
        <f>FIXED(ROUND(MODIS_3classes!D17*100,1),1)&amp;D20&amp;FIXED(ROUND((MODIS_3classes!D17-MODIS_3classes!R26/2)*100,1),1)&amp;D22&amp;FIXED(ROUND((MODIS_3classes!D17+MODIS_3classes!R26/2)*100,1),1)&amp;D21</f>
        <v>97.4 (94.2, 100.6)</v>
      </c>
      <c r="G7" s="3" t="str">
        <f>FIXED(ROUND('C3SBA10_3classes'!D17*100,1),1)&amp;D20&amp;FIXED(ROUND(('C3SBA10_3classes'!D17-'C3SBA10_3classes'!R26/2)*100,1),1)&amp;D22&amp;FIXED(ROUND(('C3SBA10_3classes'!D17+'C3SBA10_3classes'!R26/2)*100,1),1)&amp;D21</f>
        <v>97.5 (93.8, 101.2)</v>
      </c>
      <c r="H7" s="2"/>
    </row>
    <row r="8" spans="1:10" ht="15.95" customHeight="1">
      <c r="A8" s="2"/>
      <c r="B8" s="134"/>
      <c r="C8" s="134" t="s">
        <v>73</v>
      </c>
      <c r="D8" s="3" t="str">
        <f>FIXED(ROUND('S2-TM_3classes'!E17*100,1),1)&amp;D20&amp;FIXED(ROUND(('S2-TM_3classes'!E17-'S2-TM_3classes'!R24/2)*100,1),1)&amp;D22&amp;FIXED(ROUND(('S2-TM_3classes'!E17+'S2-TM_3classes'!R24/2)*100,1),1)&amp;D21</f>
        <v>86.1 (85.9, 86.2)</v>
      </c>
      <c r="E8" s="3" t="str">
        <f>FIXED(ROUND('Landsat-TM_3classes'!E17*100,1),1)&amp;D20&amp;FIXED(ROUND(('Landsat-TM_3classes'!E17-'Landsat-TM_3classes'!R24/2)*100,1),1)&amp;D22&amp;FIXED(ROUND(('Landsat-TM_3classes'!E17+'Landsat-TM_3classes'!R24/2)*100,1),1)&amp;D21</f>
        <v>83.0 (82.8, 83.3)</v>
      </c>
      <c r="F8" s="3" t="str">
        <f>FIXED(ROUND(MODIS_3classes!E17*100,1),1)&amp;D20&amp;FIXED(ROUND((MODIS_3classes!E17-MODIS_3classes!R24/2)*100,1),1)&amp;D22&amp;FIXED(ROUND((MODIS_3classes!E17+MODIS_3classes!R24/2)*100,1),1)&amp;D21</f>
        <v>52.0 (51.7, 52.3)</v>
      </c>
      <c r="G8" s="3" t="str">
        <f>FIXED(ROUND('C3SBA10_3classes'!E17*100,1),1)&amp;D20&amp;FIXED(ROUND(('C3SBA10_3classes'!E17-'C3SBA10_3classes'!R24/2)*100,1),1)&amp;D22&amp;FIXED(ROUND(('C3SBA10_3classes'!E17+'C3SBA10_3classes'!R24/2)*100,1),1)&amp;D21</f>
        <v>83.6 (83.3, 83.9)</v>
      </c>
      <c r="H8" s="2"/>
    </row>
    <row r="9" spans="1:10" ht="15.95" customHeight="1">
      <c r="A9" s="2"/>
      <c r="B9" s="133" t="s">
        <v>76</v>
      </c>
      <c r="C9" s="133" t="s">
        <v>75</v>
      </c>
      <c r="D9" s="8" t="str">
        <f>FIXED(ROUND('S2-TM_3classes'!F17*100,1),1)&amp;D20&amp;FIXED(ROUND(('S2-TM_3classes'!F17-'S2-TM_3classes'!R25/2)*100,1),1)&amp;D22&amp;FIXED(ROUND(('S2-TM_3classes'!F17+'S2-TM_3classes'!R25/2)*100,1),1)&amp;D21</f>
        <v>84.5 (82.4, 86.5)</v>
      </c>
      <c r="E9" s="8" t="str">
        <f>FIXED(ROUND('Landsat-TM_3classes'!F17*100,1),1)&amp;D20&amp;FIXED(ROUND(('Landsat-TM_3classes'!F17-'Landsat-TM_3classes'!R25/2)*100,1),1)&amp;D22&amp;FIXED(ROUND(('Landsat-TM_3classes'!F17+'Landsat-TM_3classes'!R25/2)*100,1),1)&amp;D21</f>
        <v>81.2 (79.0, 83.4)</v>
      </c>
      <c r="F9" s="8" t="str">
        <f>FIXED(ROUND(MODIS_3classes!F17*100,1),1)&amp;D20&amp;FIXED(ROUND((MODIS_3classes!F17-MODIS_3classes!R25/2)*100,1),1)&amp;D22&amp;FIXED(ROUND((MODIS_3classes!F17+MODIS_3classes!R25/2)*100,1),1)&amp;D21</f>
        <v>46.3 (43.4, 49.3)</v>
      </c>
      <c r="G9" s="8" t="str">
        <f>FIXED(ROUND('C3SBA10_3classes'!F17*100,1),1)&amp;D20&amp;FIXED(ROUND(('C3SBA10_3classes'!F17-'C3SBA10_3classes'!R25/2)*100,1),1)&amp;D22&amp;FIXED(ROUND(('C3SBA10_3classes'!F17+'C3SBA10_3classes'!R25/2)*100,1),1)&amp;D21</f>
        <v>70.3 (67.7, 72.9)</v>
      </c>
      <c r="H9" s="2"/>
    </row>
    <row r="10" spans="1:10" ht="15.95" customHeight="1">
      <c r="A10" s="2"/>
      <c r="B10" s="135" t="s">
        <v>77</v>
      </c>
      <c r="C10" s="134"/>
      <c r="D10" s="9">
        <f>'S2-TM_3classes'!H5/1000000</f>
        <v>1.5491958792221099</v>
      </c>
      <c r="E10" s="10">
        <f>'Landsat-TM_3classes'!H5/1000000</f>
        <v>1.5191246299980599</v>
      </c>
      <c r="F10" s="10">
        <f>MODIS_3classes!H5/1000000</f>
        <v>1.14846926420643</v>
      </c>
      <c r="G10" s="10">
        <f>'C3SBA10_3classes'!H5/1000000</f>
        <v>1.7404968081547598</v>
      </c>
      <c r="H10" s="2"/>
    </row>
    <row r="11" spans="1:10" ht="15.95" customHeight="1">
      <c r="A11" s="2"/>
      <c r="B11" s="135" t="s">
        <v>78</v>
      </c>
      <c r="C11" s="134"/>
      <c r="D11" s="9">
        <f>'S2-TM_3classes'!H6/1000000</f>
        <v>2.6163754659662097</v>
      </c>
      <c r="E11" s="10">
        <f>'Landsat-TM_3classes'!H6/1000000</f>
        <v>2.5852470473026297</v>
      </c>
      <c r="F11" s="10">
        <f>MODIS_3classes!H6/1000000</f>
        <v>1.70573987605249</v>
      </c>
      <c r="G11" s="10">
        <f>'C3SBA10_3classes'!H6/1000000</f>
        <v>2.3801606627690801</v>
      </c>
      <c r="H11" s="2"/>
    </row>
    <row r="12" spans="1:10" ht="15.95" customHeight="1">
      <c r="A12" s="2"/>
      <c r="B12" s="135" t="s">
        <v>79</v>
      </c>
      <c r="C12" s="134"/>
      <c r="D12" s="11" t="str">
        <f>FIXED(ROUND('S2-TM_3classes'!E19/1000000,2),2)&amp;D20&amp;FIXED(ROUND(('S2-TM_3classes'!E19-'S2-TM_3classes'!X24/2)/1000000,2),2)&amp;D22&amp;FIXED(ROUND(('S2-TM_3classes'!E19+'S2-TM_3classes'!X24/2)/1000000,2),2)&amp;D21</f>
        <v>1.74 (1.62, 1.86)</v>
      </c>
      <c r="E12" s="11" t="str">
        <f>FIXED(ROUND('Landsat-TM_3classes'!E19/1000000,2),2)&amp;D20&amp;FIXED(ROUND(('Landsat-TM_3classes'!E19-'Landsat-TM_3classes'!X24/2)/1000000,2),2)&amp;D22&amp;FIXED(ROUND(('Landsat-TM_3classes'!E19+'Landsat-TM_3classes'!X24/2)/1000000,2),2)&amp;D21</f>
        <v>1.70 (1.56, 1.83)</v>
      </c>
      <c r="F12" s="10" t="str">
        <f>FIXED(ROUND(MODIS_3classes!E19/1000000,2),2)&amp;D20&amp;FIXED(ROUND((MODIS_3classes!E19-MODIS_3classes!X24/2)/1000000,2),2)&amp;D22&amp;FIXED(ROUND((MODIS_3classes!E19+MODIS_3classes!X24/2)/1000000,2),2)&amp;D21</f>
        <v>1.87 (1.65, 2.08)</v>
      </c>
      <c r="G12" s="10" t="str">
        <f>FIXED(ROUND('C3SBA10_3classes'!E19/1000000,2),2)&amp;D20&amp;FIXED(ROUND(('C3SBA10_3classes'!E19-'C3SBA10_3classes'!X24/2)/1000000,2),2)&amp;D22&amp;FIXED(ROUND(('C3SBA10_3classes'!E19+'C3SBA10_3classes'!X24/2)/1000000,2),2)&amp;D21</f>
        <v>1.82 (1.66, 1.98)</v>
      </c>
      <c r="H12" s="2"/>
    </row>
    <row r="13" spans="1:10" ht="15.95" customHeight="1">
      <c r="A13" s="2"/>
      <c r="B13" s="132" t="s">
        <v>80</v>
      </c>
      <c r="C13" s="133"/>
      <c r="D13" s="8" t="str">
        <f>FIXED(ROUND('S2-TM_3classes'!F19/1000000,2),2)&amp;D20&amp;FIXED(ROUND(('S2-TM_3classes'!F19-'S2-TM_3classes'!X25/2)/1000000,2),2)&amp;D22&amp;FIXED(ROUND(('S2-TM_3classes'!F19+'S2-TM_3classes'!X25/2)/1000000,2),2)&amp;D21</f>
        <v>2.99 (2.92, 3.06)</v>
      </c>
      <c r="E13" s="8" t="str">
        <f>FIXED(ROUND('Landsat-TM_3classes'!F19/1000000,2),2)&amp;D20&amp;FIXED(ROUND(('Landsat-TM_3classes'!F19-'Landsat-TM_3classes'!X25/2)/1000000,2),2)&amp;D22&amp;FIXED(ROUND(('Landsat-TM_3classes'!F19+'Landsat-TM_3classes'!X25/2)/1000000,2),2)&amp;D21</f>
        <v>2.92 (2.85, 3.00)</v>
      </c>
      <c r="F13" s="12" t="str">
        <f>FIXED(ROUND(MODIS_3classes!F19/1000000,2),2)&amp;D20&amp;FIXED(ROUND((MODIS_3classes!F19-MODIS_3classes!X25/2)/1000000,2),2)&amp;D22&amp;FIXED(ROUND((MODIS_3classes!F19+MODIS_3classes!X25/2)/1000000,2),2)&amp;D21</f>
        <v>2.83 (2.70, 2.97)</v>
      </c>
      <c r="G13" s="12" t="str">
        <f>FIXED(ROUND('C3SBA10_3classes'!F19/1000000,2),2)&amp;D20&amp;FIXED(ROUND(('C3SBA10_3classes'!F19-'C3SBA10_3classes'!X25/2)/1000000,2),2)&amp;D22&amp;FIXED(ROUND(('C3SBA10_3classes'!F19+'C3SBA10_3classes'!X25/2)/1000000,2),2)&amp;D21</f>
        <v>2.92 (2.83, 3.00)</v>
      </c>
      <c r="H13" s="2"/>
    </row>
    <row r="14" spans="1:10" ht="15.95" customHeight="1">
      <c r="A14" s="2"/>
      <c r="B14" s="2"/>
      <c r="C14" s="2"/>
      <c r="D14" s="2"/>
      <c r="E14" s="2"/>
      <c r="F14" s="2"/>
      <c r="G14" s="2"/>
      <c r="H14" s="2"/>
    </row>
    <row r="15" spans="1:10" ht="15.95" customHeight="1">
      <c r="A15" s="2"/>
      <c r="B15" s="2"/>
      <c r="C15" s="2"/>
      <c r="D15" s="2"/>
      <c r="E15" s="2"/>
      <c r="F15" s="2"/>
      <c r="G15" s="2"/>
      <c r="H15" s="2"/>
      <c r="J15" s="138" t="s">
        <v>86</v>
      </c>
    </row>
    <row r="16" spans="1:10">
      <c r="D16" s="1">
        <f>(1.74-1.55)/1.74</f>
        <v>0.10919540229885054</v>
      </c>
      <c r="E16" s="1">
        <f>(1.7-1.52)/1.7</f>
        <v>0.10588235294117644</v>
      </c>
      <c r="F16" s="1">
        <f>(1.88-1.16)/1.88</f>
        <v>0.38297872340425532</v>
      </c>
      <c r="G16" s="1">
        <f>(1.82-1.74)/1.82</f>
        <v>4.3956043956043994E-2</v>
      </c>
      <c r="I16" s="139"/>
      <c r="J16" s="140">
        <f>AVERAGE('S2-TM_3classes'!W24+'S2-TM_3classes'!W25+'Landsat-TM_3classes'!W24+'Landsat-TM_3classes'!W25+MODIS_3classes!W24+MODIS_3classes!W25+'C3SBA10_3classes'!W24+'C3SBA10_3classes'!W25)</f>
        <v>988165.56972004066</v>
      </c>
    </row>
    <row r="17" spans="4:7">
      <c r="D17" s="1">
        <f>(2.99-2.62)/2.99</f>
        <v>0.12374581939799334</v>
      </c>
      <c r="E17" s="1">
        <f>(2.92-2.59)/2.92</f>
        <v>0.11301369863013701</v>
      </c>
      <c r="F17" s="1">
        <f>(2.83-1.7)/2.83</f>
        <v>0.39929328621908128</v>
      </c>
      <c r="G17" s="1">
        <f>(2.92-2.38)/2.92</f>
        <v>0.18493150684931509</v>
      </c>
    </row>
    <row r="18" spans="4:7">
      <c r="D18" s="1">
        <f>AVERAGE(D16,D17,E16,E17,G16,G17)</f>
        <v>0.11345413734558607</v>
      </c>
      <c r="E18" s="1">
        <f>_xlfn.STDEV.P(D16,D17,E16,E17,G16,G17)</f>
        <v>4.1070226005686848E-2</v>
      </c>
    </row>
    <row r="20" spans="4:7">
      <c r="D20" s="1" t="s">
        <v>81</v>
      </c>
    </row>
    <row r="21" spans="4:7">
      <c r="D21" s="1" t="s">
        <v>82</v>
      </c>
    </row>
    <row r="22" spans="4:7">
      <c r="D22" s="138" t="s">
        <v>85</v>
      </c>
    </row>
    <row r="25" spans="4:7">
      <c r="F25" s="1">
        <f>100-52.3</f>
        <v>47.7</v>
      </c>
    </row>
    <row r="26" spans="4:7">
      <c r="F26" s="1">
        <f>100-46.3</f>
        <v>53.7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BA_GEE</vt:lpstr>
      <vt:lpstr>REFDATASET_correction</vt:lpstr>
      <vt:lpstr>S2-TM_3classes</vt:lpstr>
      <vt:lpstr>Landsat-TM_3classes</vt:lpstr>
      <vt:lpstr>MODIS_3classes</vt:lpstr>
      <vt:lpstr>C3SBA10_3classes</vt:lpstr>
      <vt:lpstr>Summary AE 2019</vt:lpstr>
      <vt:lpstr>Summary AE 2020</vt:lpstr>
      <vt:lpstr>Summary_table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Adrià Descals</cp:lastModifiedBy>
  <dcterms:created xsi:type="dcterms:W3CDTF">2021-08-11T05:17:00Z</dcterms:created>
  <dcterms:modified xsi:type="dcterms:W3CDTF">2022-07-22T10:00:56Z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FE58BBDAE03A409CB70112333F89AD09</vt:lpwstr>
  </property>
  <property fmtid="{D5CDD505-2E9C-101B-9397-08002B2CF9AE}" pid="3" name="KSOProductBuildVer">
    <vt:lpwstr>2057-11.2.0.10323</vt:lpwstr>
  </property>
</Properties>
</file>