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tatystyka\"/>
    </mc:Choice>
  </mc:AlternateContent>
  <xr:revisionPtr revIDLastSave="0" documentId="13_ncr:1_{D5C1FC90-C642-45AD-A83A-97FC5DFE5069}" xr6:coauthVersionLast="47" xr6:coauthVersionMax="47" xr10:uidLastSave="{00000000-0000-0000-0000-000000000000}"/>
  <bookViews>
    <workbookView xWindow="-110" yWindow="-110" windowWidth="19420" windowHeight="10420" activeTab="2" xr2:uid="{40AAE80D-4308-4137-8D6E-89BD44A75BBA}"/>
  </bookViews>
  <sheets>
    <sheet name="database" sheetId="1" r:id="rId1"/>
    <sheet name="quantitative_features" sheetId="3" r:id="rId2"/>
    <sheet name="qualitative_features" sheetId="2" r:id="rId3"/>
  </sheets>
  <definedNames>
    <definedName name="_xlchart.v1.0" hidden="1">qualitative_features!$B$3:$B$5</definedName>
    <definedName name="_xlchart.v1.1" hidden="1">qualitative_features!$C$2</definedName>
    <definedName name="_xlchart.v1.2" hidden="1">qualitative_features!$C$3:$C$5</definedName>
    <definedName name="_xlchart.v1.3" hidden="1">qualitative_features!$I$3:$I$4</definedName>
    <definedName name="_xlchart.v1.4" hidden="1">qualitative_features!$J$2</definedName>
    <definedName name="_xlchart.v1.5" hidden="1">qualitative_features!$J$3:$J$4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L4" i="3"/>
  <c r="L3" i="3"/>
  <c r="L5" i="3"/>
  <c r="I11" i="3"/>
  <c r="I10" i="3"/>
  <c r="I9" i="3"/>
  <c r="I8" i="3"/>
  <c r="I7" i="3"/>
  <c r="I6" i="3"/>
  <c r="I5" i="3"/>
  <c r="I4" i="3"/>
  <c r="I3" i="3"/>
  <c r="F3" i="3"/>
  <c r="F11" i="3"/>
  <c r="F10" i="3"/>
  <c r="F9" i="3"/>
  <c r="F8" i="3"/>
  <c r="F7" i="3"/>
  <c r="F6" i="3"/>
  <c r="F5" i="3"/>
  <c r="F4" i="3"/>
  <c r="C11" i="3"/>
  <c r="C9" i="3"/>
  <c r="C8" i="3"/>
  <c r="C7" i="3"/>
  <c r="C6" i="3"/>
  <c r="C5" i="3"/>
  <c r="C4" i="3"/>
  <c r="C3" i="3"/>
  <c r="D2" i="1"/>
  <c r="S8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2" i="1"/>
  <c r="J4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C3" i="2" l="1"/>
  <c r="J3" i="2"/>
  <c r="R8" i="2"/>
  <c r="C4" i="2"/>
  <c r="S6" i="2"/>
  <c r="S7" i="2"/>
  <c r="R6" i="2"/>
  <c r="C5" i="2"/>
  <c r="R7" i="2"/>
  <c r="R29" i="2" l="1"/>
  <c r="R9" i="2" l="1"/>
  <c r="T7" i="2"/>
  <c r="T8" i="2"/>
  <c r="C6" i="2"/>
  <c r="T6" i="2" l="1"/>
  <c r="T9" i="2" s="1"/>
  <c r="J5" i="2"/>
  <c r="S9" i="2"/>
  <c r="S17" i="2" l="1"/>
  <c r="S25" i="2" s="1"/>
  <c r="S15" i="2"/>
  <c r="S23" i="2" s="1"/>
  <c r="R16" i="2"/>
  <c r="R24" i="2" s="1"/>
  <c r="R17" i="2"/>
  <c r="R25" i="2" s="1"/>
  <c r="R15" i="2"/>
  <c r="R23" i="2" s="1"/>
  <c r="S16" i="2"/>
  <c r="S24" i="2" s="1"/>
  <c r="R28" i="2" l="1"/>
  <c r="R30" i="2" s="1"/>
</calcChain>
</file>

<file path=xl/sharedStrings.xml><?xml version="1.0" encoding="utf-8"?>
<sst xmlns="http://schemas.openxmlformats.org/spreadsheetml/2006/main" count="249" uniqueCount="132">
  <si>
    <t>KRAFT Stefan</t>
  </si>
  <si>
    <t>Austria</t>
  </si>
  <si>
    <t>HOERL Jan</t>
  </si>
  <si>
    <t>PASCHKE Pius</t>
  </si>
  <si>
    <t>GEIGER Karl</t>
  </si>
  <si>
    <t>WELLINGER Andreas</t>
  </si>
  <si>
    <t>DESCHWANDEN Gregor</t>
  </si>
  <si>
    <t>KOS Lovro</t>
  </si>
  <si>
    <t>LINDVIK Marius</t>
  </si>
  <si>
    <t>LANISEK Anze</t>
  </si>
  <si>
    <t>KOBAYASHI Ryoyu</t>
  </si>
  <si>
    <t>GRANERUD Halvor Egner</t>
  </si>
  <si>
    <t>RAIMUND Philipp</t>
  </si>
  <si>
    <t>FORFANG Johann Andre</t>
  </si>
  <si>
    <t>KUBACKI Dawid</t>
  </si>
  <si>
    <t>PREVC Peter</t>
  </si>
  <si>
    <t>SUNDAL Kristoffer Eriksen</t>
  </si>
  <si>
    <t>HAYBOECK Michael</t>
  </si>
  <si>
    <t>NIKAIDO Ren</t>
  </si>
  <si>
    <t>FETTNER Manuel</t>
  </si>
  <si>
    <t>PEIER Killian</t>
  </si>
  <si>
    <t>STOCH Kamil</t>
  </si>
  <si>
    <t>INSAM Alex</t>
  </si>
  <si>
    <t>LEYHE Stephan</t>
  </si>
  <si>
    <t>BRESADOLA Giovanni</t>
  </si>
  <si>
    <t>KOBAYASHI Junshiro</t>
  </si>
  <si>
    <t>AALTO Antti</t>
  </si>
  <si>
    <t>NOUSIAINEN Eetu</t>
  </si>
  <si>
    <t>ZAJC Timi</t>
  </si>
  <si>
    <t>-</t>
  </si>
  <si>
    <t>AIGRO Artti</t>
  </si>
  <si>
    <t>Estonia</t>
  </si>
  <si>
    <t>ŻYŁA Piotr</t>
  </si>
  <si>
    <t>WĄSEK Paweł</t>
  </si>
  <si>
    <t>KOUDELKA Roman</t>
  </si>
  <si>
    <t>WASILJEW Danił</t>
  </si>
  <si>
    <t>VALTO Kasperi</t>
  </si>
  <si>
    <t>URLAUB Andrew</t>
  </si>
  <si>
    <t>USA</t>
  </si>
  <si>
    <t>ZOGRAFSKI Władimir</t>
  </si>
  <si>
    <t>BELSHAW Erik</t>
  </si>
  <si>
    <t>WASSER Yanick</t>
  </si>
  <si>
    <t>FRANTZ Tate</t>
  </si>
  <si>
    <t>IMHOF Remo</t>
  </si>
  <si>
    <t>region</t>
  </si>
  <si>
    <t>20-30</t>
  </si>
  <si>
    <t>&gt;30</t>
  </si>
  <si>
    <t>&lt;20</t>
  </si>
  <si>
    <t>minimum</t>
  </si>
  <si>
    <t>Q1</t>
  </si>
  <si>
    <t>Q2</t>
  </si>
  <si>
    <t>Q3</t>
  </si>
  <si>
    <t>(O-E)^2/E</t>
  </si>
  <si>
    <t>X^2</t>
  </si>
  <si>
    <t>place</t>
  </si>
  <si>
    <t>age_group</t>
  </si>
  <si>
    <t>country</t>
  </si>
  <si>
    <t>1distance</t>
  </si>
  <si>
    <t>2distance</t>
  </si>
  <si>
    <t>total_points</t>
  </si>
  <si>
    <t>Germany</t>
  </si>
  <si>
    <t>Switzerland</t>
  </si>
  <si>
    <t>Slovenia</t>
  </si>
  <si>
    <t>Norway</t>
  </si>
  <si>
    <t>Japan</t>
  </si>
  <si>
    <t>Poland</t>
  </si>
  <si>
    <t>Italy</t>
  </si>
  <si>
    <t>Finland</t>
  </si>
  <si>
    <t>Czech Republic</t>
  </si>
  <si>
    <t>Kazakhstan</t>
  </si>
  <si>
    <t>Bulgaria</t>
  </si>
  <si>
    <t>Europe</t>
  </si>
  <si>
    <t>Other</t>
  </si>
  <si>
    <t>middle_age</t>
  </si>
  <si>
    <t>young</t>
  </si>
  <si>
    <t>legend:</t>
  </si>
  <si>
    <t>years</t>
  </si>
  <si>
    <t>Other: Japan or USA</t>
  </si>
  <si>
    <t>1distance [m]</t>
  </si>
  <si>
    <t>2distance [m]</t>
  </si>
  <si>
    <t>maximum</t>
  </si>
  <si>
    <t>average</t>
  </si>
  <si>
    <t>skewness</t>
  </si>
  <si>
    <t>kurtosis</t>
  </si>
  <si>
    <t>st_deviation</t>
  </si>
  <si>
    <t>Pearson's linear correlation coefficients</t>
  </si>
  <si>
    <t>distance1, distance2</t>
  </si>
  <si>
    <t>frequencies</t>
  </si>
  <si>
    <t>total</t>
  </si>
  <si>
    <t>senior</t>
  </si>
  <si>
    <t>age</t>
  </si>
  <si>
    <t>AIGNER Clemens</t>
  </si>
  <si>
    <t>ZNISZCZOŁ Aleksander</t>
  </si>
  <si>
    <t>SCHMID Constantin</t>
  </si>
  <si>
    <t>EMBACHER Stephan</t>
  </si>
  <si>
    <t>JOERGENSEN Sindre Ulven</t>
  </si>
  <si>
    <t>KALINICZENKO Witalij</t>
  </si>
  <si>
    <t>MURAŃKA Klemens</t>
  </si>
  <si>
    <t>CECON Francesco</t>
  </si>
  <si>
    <t>DSQ</t>
  </si>
  <si>
    <t>MARUSIAK Jewhen</t>
  </si>
  <si>
    <t>DNS</t>
  </si>
  <si>
    <t>WOLNY Jakub</t>
  </si>
  <si>
    <t>Ukraine</t>
  </si>
  <si>
    <t>1distance, total_points</t>
  </si>
  <si>
    <t>2distance, total_points</t>
  </si>
  <si>
    <t>value</t>
  </si>
  <si>
    <t>Analysis of interdependence of qualitative features</t>
  </si>
  <si>
    <t>The analysis was based on: https://www.youtube.com/watch?v=NDhmMH25AC4&amp;t=329s</t>
  </si>
  <si>
    <t>sum</t>
  </si>
  <si>
    <t>number of degrees of freedom (df)</t>
  </si>
  <si>
    <t>p value</t>
  </si>
  <si>
    <t>conclusion</t>
  </si>
  <si>
    <t>Expected values ( E )</t>
  </si>
  <si>
    <t>Observed values ( O )</t>
  </si>
  <si>
    <t>INTERDEPENDENCE (p&gt;0.05)</t>
  </si>
  <si>
    <t>DSQ: disqualified</t>
  </si>
  <si>
    <t>DNS: did not start</t>
  </si>
  <si>
    <t>athlete</t>
  </si>
  <si>
    <t>Interpretation:</t>
  </si>
  <si>
    <t>right-sided obliquity</t>
  </si>
  <si>
    <t>left-sided obliquity</t>
  </si>
  <si>
    <t>skewness &gt; 0</t>
  </si>
  <si>
    <t xml:space="preserve">skewness &lt; 0 </t>
  </si>
  <si>
    <t>skewness = 0</t>
  </si>
  <si>
    <t xml:space="preserve">kurtosis &gt; 0 </t>
  </si>
  <si>
    <t xml:space="preserve">kurtosis &lt; 0 </t>
  </si>
  <si>
    <t>kurtosis = 0</t>
  </si>
  <si>
    <t>mesocurtic distribution</t>
  </si>
  <si>
    <t>leptokurtic distribution</t>
  </si>
  <si>
    <t>platykurtic distribution</t>
  </si>
  <si>
    <t>symmetrical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</si>
</sst>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4" xfId="0" applyFont="1" applyFill="1" applyBorder="1"/>
    <xf numFmtId="0" fontId="0" fillId="2" borderId="4" xfId="0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2" fontId="0" fillId="2" borderId="0" xfId="0" applyNumberFormat="1" applyFill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3" xfId="0" applyBorder="1" applyAlignment="1">
      <alignment wrapText="1"/>
    </xf>
    <xf numFmtId="2" fontId="0" fillId="0" borderId="5" xfId="0" applyNumberFormat="1" applyBorder="1"/>
    <xf numFmtId="2" fontId="0" fillId="0" borderId="8" xfId="0" applyNumberFormat="1" applyBorder="1"/>
    <xf numFmtId="0" fontId="1" fillId="0" borderId="1" xfId="0" applyFont="1" applyBorder="1" applyAlignment="1">
      <alignment wrapText="1"/>
    </xf>
    <xf numFmtId="0" fontId="2" fillId="3" borderId="0" xfId="0" applyFont="1" applyFill="1"/>
    <xf numFmtId="0" fontId="1" fillId="2" borderId="6" xfId="0" applyFont="1" applyFill="1" applyBorder="1"/>
    <xf numFmtId="0" fontId="3" fillId="2" borderId="1" xfId="0" applyFont="1" applyFill="1" applyBorder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4" xfId="0" applyFont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2" borderId="5" xfId="0" applyFont="1" applyFill="1" applyBorder="1" applyAlignment="1">
      <alignment horizontal="right"/>
    </xf>
    <xf numFmtId="49" fontId="0" fillId="0" borderId="4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Age groups - histogram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C5DE52F-8513-47AF-9490-9FC42A119850}">
          <cx:tx>
            <cx:txData>
              <cx:f>_xlchart.v1.1</cx:f>
              <cx:v>frequencies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age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group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athletes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Regions - histogram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33AD9D3-EB94-4B44-B8F9-DB4E7EC41297}">
          <cx:tx>
            <cx:txData>
              <cx:f>_xlchart.v1.4</cx:f>
              <cx:v>frequencies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region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l-P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athletes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82550</xdr:rowOff>
    </xdr:from>
    <xdr:to>
      <xdr:col>12</xdr:col>
      <xdr:colOff>279400</xdr:colOff>
      <xdr:row>5</xdr:row>
      <xdr:rowOff>82550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650C337-C081-181F-6683-54BD79B94401}"/>
            </a:ext>
          </a:extLst>
        </xdr:cNvPr>
        <xdr:cNvSpPr txBox="1"/>
      </xdr:nvSpPr>
      <xdr:spPr>
        <a:xfrm>
          <a:off x="9023350" y="82550"/>
          <a:ext cx="1854200" cy="920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50" b="1"/>
            <a:t>Statistical analysis of the results of the World Cup competition </a:t>
          </a:r>
        </a:p>
        <a:p>
          <a:pPr algn="ctr"/>
          <a:r>
            <a:rPr lang="en-GB" sz="1050" b="1"/>
            <a:t>in ski jumping </a:t>
          </a:r>
        </a:p>
        <a:p>
          <a:pPr algn="ctr"/>
          <a:r>
            <a:rPr lang="en-GB" sz="1050" b="1"/>
            <a:t>in Wisla, 14.01.2024</a:t>
          </a:r>
        </a:p>
      </xdr:txBody>
    </xdr:sp>
    <xdr:clientData/>
  </xdr:twoCellAnchor>
  <xdr:oneCellAnchor>
    <xdr:from>
      <xdr:col>10</xdr:col>
      <xdr:colOff>6350</xdr:colOff>
      <xdr:row>6</xdr:row>
      <xdr:rowOff>57150</xdr:rowOff>
    </xdr:from>
    <xdr:ext cx="2457450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19BD99-B411-BA03-B8CC-C3BBBBF72E65}"/>
            </a:ext>
          </a:extLst>
        </xdr:cNvPr>
        <xdr:cNvSpPr txBox="1"/>
      </xdr:nvSpPr>
      <xdr:spPr>
        <a:xfrm>
          <a:off x="8934450" y="1162050"/>
          <a:ext cx="2457450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l-PL" sz="1100" i="1"/>
            <a:t>Performed by:</a:t>
          </a:r>
        </a:p>
        <a:p>
          <a:pPr algn="ctr"/>
          <a:r>
            <a:rPr lang="pl-PL" sz="1100" i="1"/>
            <a:t>Adrian Skowronski</a:t>
          </a:r>
        </a:p>
        <a:p>
          <a:pPr algn="ctr"/>
          <a:r>
            <a:rPr lang="pl-PL" sz="1100" i="1" baseline="0"/>
            <a:t>https://github.com/adrian-skowronski</a:t>
          </a:r>
        </a:p>
      </xdr:txBody>
    </xdr:sp>
    <xdr:clientData/>
  </xdr:oneCellAnchor>
  <xdr:oneCellAnchor>
    <xdr:from>
      <xdr:col>10</xdr:col>
      <xdr:colOff>6350</xdr:colOff>
      <xdr:row>10</xdr:row>
      <xdr:rowOff>95250</xdr:rowOff>
    </xdr:from>
    <xdr:ext cx="2438400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581B18-5DB3-6CE2-2676-E173AD6C5674}"/>
            </a:ext>
          </a:extLst>
        </xdr:cNvPr>
        <xdr:cNvSpPr txBox="1"/>
      </xdr:nvSpPr>
      <xdr:spPr>
        <a:xfrm>
          <a:off x="8934450" y="1936750"/>
          <a:ext cx="2438400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Microsoft Excel 365 in the English-language version </a:t>
          </a:r>
          <a:endParaRPr lang="pl-PL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was used for the analysis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38100</xdr:rowOff>
    </xdr:from>
    <xdr:to>
      <xdr:col>7</xdr:col>
      <xdr:colOff>288925</xdr:colOff>
      <xdr:row>22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8341B6-AA1B-86E0-E5F1-9ABD7AF2A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141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498475</xdr:colOff>
      <xdr:row>7</xdr:row>
      <xdr:rowOff>12700</xdr:rowOff>
    </xdr:from>
    <xdr:to>
      <xdr:col>14</xdr:col>
      <xdr:colOff>434975</xdr:colOff>
      <xdr:row>21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96279A-F143-F1CC-132B-CE7630674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139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FF823-A140-4BD8-9D18-82024BAF4392}" name="Table1" displayName="Table1" ref="A1:I51" totalsRowShown="0">
  <autoFilter ref="A1:I51" xr:uid="{41CFF823-A140-4BD8-9D18-82024BAF4392}"/>
  <tableColumns count="9">
    <tableColumn id="1" xr3:uid="{3176B6F6-E2AA-4B0E-A0E6-5A94FFA14A41}" name="place"/>
    <tableColumn id="2" xr3:uid="{82886C2A-46B7-47A9-99EF-9657D7BDF807}" name="athlete"/>
    <tableColumn id="3" xr3:uid="{807AAF5F-D5D8-4A6D-B220-0B9123A3EFB9}" name="age"/>
    <tableColumn id="4" xr3:uid="{1907E400-A525-482B-816C-C27F99A2E9CC}" name="age_group" dataDxfId="1">
      <calculatedColumnFormula>IF(C2&lt;20,"young",IF(C2&lt;31,"middle_age","senior"))</calculatedColumnFormula>
    </tableColumn>
    <tableColumn id="5" xr3:uid="{96583B23-28CD-48EB-90FC-5D9B8FA86495}" name="country"/>
    <tableColumn id="6" xr3:uid="{A7A5542B-C952-40C7-9C90-9A28038DE817}" name="region" dataDxfId="0">
      <calculatedColumnFormula>IF(OR(E2="Japan", E2="USA"),"Other","Europe")</calculatedColumnFormula>
    </tableColumn>
    <tableColumn id="7" xr3:uid="{06D3C29E-5F4B-4C9C-B04F-89E560395DC1}" name="1distance [m]"/>
    <tableColumn id="8" xr3:uid="{AA95C99A-1A2B-4577-B782-FAEF060DDC12}" name="2distance [m]"/>
    <tableColumn id="9" xr3:uid="{7FE4F3F6-6953-49CA-9AF6-CE5566416D89}" name="total_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0C327-6CEF-45D1-9416-8D8B38415E99}" name="Table4" displayName="Table4" ref="B2:C11" totalsRowShown="0">
  <autoFilter ref="B2:C11" xr:uid="{6480C327-6CEF-45D1-9416-8D8B38415E99}"/>
  <tableColumns count="2">
    <tableColumn id="1" xr3:uid="{08D8225C-A9E9-4C5A-9A10-92BD1A9761CA}" name="1distance"/>
    <tableColumn id="2" xr3:uid="{45383655-65D3-47F5-9A27-C173A50C9DC5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CF2EE3-9B9E-4500-887F-A501000A9EDB}" name="Table5" displayName="Table5" ref="E2:F11" totalsRowShown="0">
  <autoFilter ref="E2:F11" xr:uid="{75CF2EE3-9B9E-4500-887F-A501000A9EDB}"/>
  <tableColumns count="2">
    <tableColumn id="1" xr3:uid="{6EFEA92C-9B88-4F58-AD09-0DC7EE8650D3}" name="2distance"/>
    <tableColumn id="2" xr3:uid="{99C85DD3-9D1D-41BD-800C-F592430DB33D}" name="valu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457554-EEDE-4406-9CFD-62A519CBD27B}" name="Table6" displayName="Table6" ref="H2:I11" totalsRowShown="0">
  <autoFilter ref="H2:I11" xr:uid="{8B457554-EEDE-4406-9CFD-62A519CBD27B}"/>
  <tableColumns count="2">
    <tableColumn id="1" xr3:uid="{3CD3484C-3060-4935-B7C2-1F28D0D4C063}" name="total_points"/>
    <tableColumn id="2" xr3:uid="{903642C6-BB47-4F5A-B964-A18EC08686B5}" name="valu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4666B-37CC-466D-B917-BE88D6EE9A4C}" name="Table2" displayName="Table2" ref="B2:C5" totalsRowShown="0">
  <autoFilter ref="B2:C5" xr:uid="{F094666B-37CC-466D-B917-BE88D6EE9A4C}"/>
  <tableColumns count="2">
    <tableColumn id="1" xr3:uid="{D4F25CCF-D466-4052-BF37-F455C7CB9701}" name="age_group"/>
    <tableColumn id="2" xr3:uid="{6934C5DA-7341-495B-9A5B-E391C50EB262}" name="frequencies" dataDxfId="2">
      <calculatedColumnFormula>COUNTIF(Table1[age_group],"middle_age")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D87836-D1A9-4661-9D7B-0416F5341740}" name="Table3" displayName="Table3" ref="I2:J4" totalsRowShown="0">
  <autoFilter ref="I2:J4" xr:uid="{C3D87836-D1A9-4661-9D7B-0416F5341740}"/>
  <tableColumns count="2">
    <tableColumn id="1" xr3:uid="{9B6943EC-CB08-4F38-AC66-0EDF3D8E9484}" name="region"/>
    <tableColumn id="2" xr3:uid="{17C0E1DF-B52C-4A08-8E47-BFAFE3980B4D}" name="frequencies">
      <calculatedColumnFormula>COUNTIF(Table1[region],"Europe")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C956-3C11-43B9-9419-DEBC7563CE40}">
  <dimension ref="A1:L51"/>
  <sheetViews>
    <sheetView topLeftCell="F1" workbookViewId="0">
      <selection activeCell="M8" sqref="M8"/>
    </sheetView>
  </sheetViews>
  <sheetFormatPr defaultRowHeight="14.5" x14ac:dyDescent="0.35"/>
  <cols>
    <col min="2" max="2" width="22.81640625" bestFit="1" customWidth="1"/>
    <col min="3" max="3" width="6" bestFit="1" customWidth="1"/>
    <col min="4" max="4" width="11.90625" bestFit="1" customWidth="1"/>
    <col min="5" max="5" width="13.26953125" bestFit="1" customWidth="1"/>
    <col min="6" max="6" width="8.36328125" bestFit="1" customWidth="1"/>
    <col min="7" max="8" width="14.453125" bestFit="1" customWidth="1"/>
    <col min="9" max="9" width="13.36328125" bestFit="1" customWidth="1"/>
    <col min="10" max="10" width="14.453125" bestFit="1" customWidth="1"/>
    <col min="11" max="11" width="17.7265625" bestFit="1" customWidth="1"/>
    <col min="12" max="12" width="13.36328125" bestFit="1" customWidth="1"/>
    <col min="13" max="13" width="17.7265625" bestFit="1" customWidth="1"/>
    <col min="15" max="15" width="14" bestFit="1" customWidth="1"/>
  </cols>
  <sheetData>
    <row r="1" spans="1:9" x14ac:dyDescent="0.35">
      <c r="A1" t="s">
        <v>54</v>
      </c>
      <c r="B1" t="s">
        <v>118</v>
      </c>
      <c r="C1" t="s">
        <v>90</v>
      </c>
      <c r="D1" t="s">
        <v>55</v>
      </c>
      <c r="E1" t="s">
        <v>56</v>
      </c>
      <c r="F1" t="s">
        <v>44</v>
      </c>
      <c r="G1" t="s">
        <v>78</v>
      </c>
      <c r="H1" t="s">
        <v>79</v>
      </c>
      <c r="I1" t="s">
        <v>59</v>
      </c>
    </row>
    <row r="2" spans="1:9" x14ac:dyDescent="0.35">
      <c r="A2">
        <v>1</v>
      </c>
      <c r="B2" t="s">
        <v>10</v>
      </c>
      <c r="C2">
        <v>27</v>
      </c>
      <c r="D2" t="str">
        <f t="shared" ref="D2:D33" si="0">IF(C2&lt;20,"young",IF(C2&lt;31,"middle_age","senior"))</f>
        <v>middle_age</v>
      </c>
      <c r="E2" t="s">
        <v>64</v>
      </c>
      <c r="F2" t="str">
        <f t="shared" ref="F2:F33" si="1">IF(OR(E2="Japan", E2="USA"),"Other","Europe")</f>
        <v>Other</v>
      </c>
      <c r="G2">
        <v>131</v>
      </c>
      <c r="H2">
        <v>139.5</v>
      </c>
      <c r="I2">
        <v>269.39999999999998</v>
      </c>
    </row>
    <row r="3" spans="1:9" x14ac:dyDescent="0.35">
      <c r="A3">
        <v>2</v>
      </c>
      <c r="B3" t="s">
        <v>0</v>
      </c>
      <c r="C3">
        <v>30</v>
      </c>
      <c r="D3" t="str">
        <f t="shared" si="0"/>
        <v>middle_age</v>
      </c>
      <c r="E3" t="s">
        <v>1</v>
      </c>
      <c r="F3" t="str">
        <f t="shared" si="1"/>
        <v>Europe</v>
      </c>
      <c r="G3">
        <v>132</v>
      </c>
      <c r="H3">
        <v>129.5</v>
      </c>
      <c r="I3">
        <v>264.3</v>
      </c>
    </row>
    <row r="4" spans="1:9" x14ac:dyDescent="0.35">
      <c r="A4">
        <v>3</v>
      </c>
      <c r="B4" t="s">
        <v>5</v>
      </c>
      <c r="C4">
        <v>28</v>
      </c>
      <c r="D4" t="str">
        <f t="shared" si="0"/>
        <v>middle_age</v>
      </c>
      <c r="E4" t="s">
        <v>60</v>
      </c>
      <c r="F4" t="str">
        <f t="shared" si="1"/>
        <v>Europe</v>
      </c>
      <c r="G4">
        <v>131</v>
      </c>
      <c r="H4">
        <v>128.5</v>
      </c>
      <c r="I4">
        <v>262.39999999999998</v>
      </c>
    </row>
    <row r="5" spans="1:9" x14ac:dyDescent="0.35">
      <c r="A5">
        <v>4</v>
      </c>
      <c r="B5" t="s">
        <v>7</v>
      </c>
      <c r="C5">
        <v>24</v>
      </c>
      <c r="D5" t="str">
        <f t="shared" si="0"/>
        <v>middle_age</v>
      </c>
      <c r="E5" t="s">
        <v>62</v>
      </c>
      <c r="F5" t="str">
        <f t="shared" si="1"/>
        <v>Europe</v>
      </c>
      <c r="G5">
        <v>127</v>
      </c>
      <c r="H5">
        <v>129.5</v>
      </c>
      <c r="I5">
        <v>260.7</v>
      </c>
    </row>
    <row r="6" spans="1:9" x14ac:dyDescent="0.35">
      <c r="A6">
        <v>5</v>
      </c>
      <c r="B6" t="s">
        <v>15</v>
      </c>
      <c r="C6">
        <v>31</v>
      </c>
      <c r="D6" t="str">
        <f t="shared" si="0"/>
        <v>senior</v>
      </c>
      <c r="E6" t="s">
        <v>62</v>
      </c>
      <c r="F6" t="str">
        <f t="shared" si="1"/>
        <v>Europe</v>
      </c>
      <c r="G6">
        <v>125.5</v>
      </c>
      <c r="H6">
        <v>131.5</v>
      </c>
      <c r="I6">
        <v>258.60000000000002</v>
      </c>
    </row>
    <row r="7" spans="1:9" x14ac:dyDescent="0.35">
      <c r="A7">
        <v>6</v>
      </c>
      <c r="B7" t="s">
        <v>2</v>
      </c>
      <c r="C7">
        <v>25</v>
      </c>
      <c r="D7" t="str">
        <f t="shared" si="0"/>
        <v>middle_age</v>
      </c>
      <c r="E7" t="s">
        <v>1</v>
      </c>
      <c r="F7" t="str">
        <f t="shared" si="1"/>
        <v>Europe</v>
      </c>
      <c r="G7">
        <v>126.5</v>
      </c>
      <c r="H7">
        <v>137</v>
      </c>
      <c r="I7">
        <v>258.39999999999998</v>
      </c>
    </row>
    <row r="8" spans="1:9" x14ac:dyDescent="0.35">
      <c r="A8">
        <v>7</v>
      </c>
      <c r="B8" t="s">
        <v>17</v>
      </c>
      <c r="C8">
        <v>32</v>
      </c>
      <c r="D8" t="str">
        <f t="shared" si="0"/>
        <v>senior</v>
      </c>
      <c r="E8" t="s">
        <v>1</v>
      </c>
      <c r="F8" t="str">
        <f t="shared" si="1"/>
        <v>Europe</v>
      </c>
      <c r="G8">
        <v>121.5</v>
      </c>
      <c r="H8">
        <v>134</v>
      </c>
      <c r="I8">
        <v>253.3</v>
      </c>
    </row>
    <row r="9" spans="1:9" x14ac:dyDescent="0.35">
      <c r="A9">
        <v>8</v>
      </c>
      <c r="B9" t="s">
        <v>19</v>
      </c>
      <c r="C9">
        <v>38</v>
      </c>
      <c r="D9" t="str">
        <f t="shared" si="0"/>
        <v>senior</v>
      </c>
      <c r="E9" t="s">
        <v>1</v>
      </c>
      <c r="F9" t="str">
        <f t="shared" si="1"/>
        <v>Europe</v>
      </c>
      <c r="G9">
        <v>128</v>
      </c>
      <c r="H9">
        <v>128</v>
      </c>
      <c r="I9">
        <v>253</v>
      </c>
    </row>
    <row r="10" spans="1:9" x14ac:dyDescent="0.35">
      <c r="A10">
        <v>9</v>
      </c>
      <c r="B10" t="s">
        <v>9</v>
      </c>
      <c r="C10">
        <v>27</v>
      </c>
      <c r="D10" t="str">
        <f t="shared" si="0"/>
        <v>middle_age</v>
      </c>
      <c r="E10" t="s">
        <v>62</v>
      </c>
      <c r="F10" t="str">
        <f t="shared" si="1"/>
        <v>Europe</v>
      </c>
      <c r="G10">
        <v>135</v>
      </c>
      <c r="H10">
        <v>121</v>
      </c>
      <c r="I10">
        <v>246.2</v>
      </c>
    </row>
    <row r="11" spans="1:9" x14ac:dyDescent="0.35">
      <c r="A11">
        <v>10</v>
      </c>
      <c r="B11" t="s">
        <v>4</v>
      </c>
      <c r="C11">
        <v>30</v>
      </c>
      <c r="D11" t="str">
        <f t="shared" si="0"/>
        <v>middle_age</v>
      </c>
      <c r="E11" t="s">
        <v>60</v>
      </c>
      <c r="F11" t="str">
        <f t="shared" si="1"/>
        <v>Europe</v>
      </c>
      <c r="G11">
        <v>125.5</v>
      </c>
      <c r="H11">
        <v>126</v>
      </c>
      <c r="I11">
        <v>242.4</v>
      </c>
    </row>
    <row r="12" spans="1:9" x14ac:dyDescent="0.35">
      <c r="A12">
        <v>11</v>
      </c>
      <c r="B12" t="s">
        <v>13</v>
      </c>
      <c r="C12">
        <v>28</v>
      </c>
      <c r="D12" t="str">
        <f t="shared" si="0"/>
        <v>middle_age</v>
      </c>
      <c r="E12" t="s">
        <v>63</v>
      </c>
      <c r="F12" t="str">
        <f t="shared" si="1"/>
        <v>Europe</v>
      </c>
      <c r="G12">
        <v>124.5</v>
      </c>
      <c r="H12">
        <v>124</v>
      </c>
      <c r="I12">
        <v>242.3</v>
      </c>
    </row>
    <row r="13" spans="1:9" x14ac:dyDescent="0.35">
      <c r="A13">
        <v>12</v>
      </c>
      <c r="B13" t="s">
        <v>18</v>
      </c>
      <c r="C13">
        <v>22</v>
      </c>
      <c r="D13" t="str">
        <f t="shared" si="0"/>
        <v>middle_age</v>
      </c>
      <c r="E13" t="s">
        <v>64</v>
      </c>
      <c r="F13" t="str">
        <f t="shared" si="1"/>
        <v>Other</v>
      </c>
      <c r="G13">
        <v>123.5</v>
      </c>
      <c r="H13">
        <v>122.5</v>
      </c>
      <c r="I13">
        <v>237.7</v>
      </c>
    </row>
    <row r="14" spans="1:9" x14ac:dyDescent="0.35">
      <c r="A14">
        <v>12</v>
      </c>
      <c r="B14" t="s">
        <v>23</v>
      </c>
      <c r="C14">
        <v>32</v>
      </c>
      <c r="D14" t="str">
        <f t="shared" si="0"/>
        <v>senior</v>
      </c>
      <c r="E14" t="s">
        <v>60</v>
      </c>
      <c r="F14" t="str">
        <f t="shared" si="1"/>
        <v>Europe</v>
      </c>
      <c r="G14">
        <v>124.5</v>
      </c>
      <c r="H14">
        <v>129</v>
      </c>
      <c r="I14">
        <v>237.7</v>
      </c>
    </row>
    <row r="15" spans="1:9" x14ac:dyDescent="0.35">
      <c r="A15">
        <v>14</v>
      </c>
      <c r="B15" t="s">
        <v>8</v>
      </c>
      <c r="C15">
        <v>25</v>
      </c>
      <c r="D15" t="str">
        <f t="shared" si="0"/>
        <v>middle_age</v>
      </c>
      <c r="E15" t="s">
        <v>63</v>
      </c>
      <c r="F15" t="str">
        <f t="shared" si="1"/>
        <v>Europe</v>
      </c>
      <c r="G15">
        <v>119</v>
      </c>
      <c r="H15">
        <v>132.5</v>
      </c>
      <c r="I15">
        <v>236.2</v>
      </c>
    </row>
    <row r="16" spans="1:9" x14ac:dyDescent="0.35">
      <c r="A16">
        <v>14</v>
      </c>
      <c r="B16" t="s">
        <v>32</v>
      </c>
      <c r="C16">
        <v>37</v>
      </c>
      <c r="D16" t="str">
        <f t="shared" si="0"/>
        <v>senior</v>
      </c>
      <c r="E16" t="s">
        <v>65</v>
      </c>
      <c r="F16" t="str">
        <f t="shared" si="1"/>
        <v>Europe</v>
      </c>
      <c r="G16">
        <v>124</v>
      </c>
      <c r="H16">
        <v>127</v>
      </c>
      <c r="I16">
        <v>236.2</v>
      </c>
    </row>
    <row r="17" spans="1:12" x14ac:dyDescent="0.35">
      <c r="A17">
        <v>16</v>
      </c>
      <c r="B17" t="s">
        <v>91</v>
      </c>
      <c r="C17">
        <v>30</v>
      </c>
      <c r="D17" t="str">
        <f t="shared" si="0"/>
        <v>middle_age</v>
      </c>
      <c r="E17" t="s">
        <v>1</v>
      </c>
      <c r="F17" t="str">
        <f t="shared" si="1"/>
        <v>Europe</v>
      </c>
      <c r="G17">
        <v>121</v>
      </c>
      <c r="H17">
        <v>126</v>
      </c>
      <c r="I17">
        <v>234.1</v>
      </c>
    </row>
    <row r="18" spans="1:12" x14ac:dyDescent="0.35">
      <c r="A18">
        <v>17</v>
      </c>
      <c r="B18" t="s">
        <v>3</v>
      </c>
      <c r="C18">
        <v>33</v>
      </c>
      <c r="D18" t="str">
        <f t="shared" si="0"/>
        <v>senior</v>
      </c>
      <c r="E18" t="s">
        <v>60</v>
      </c>
      <c r="F18" t="str">
        <f t="shared" si="1"/>
        <v>Europe</v>
      </c>
      <c r="G18">
        <v>125</v>
      </c>
      <c r="H18">
        <v>127.5</v>
      </c>
      <c r="I18">
        <v>233.4</v>
      </c>
    </row>
    <row r="19" spans="1:12" ht="15" thickBot="1" x14ac:dyDescent="0.4">
      <c r="A19">
        <v>18</v>
      </c>
      <c r="B19" t="s">
        <v>42</v>
      </c>
      <c r="C19">
        <v>18</v>
      </c>
      <c r="D19" t="str">
        <f t="shared" si="0"/>
        <v>young</v>
      </c>
      <c r="E19" t="s">
        <v>38</v>
      </c>
      <c r="F19" t="str">
        <f t="shared" si="1"/>
        <v>Other</v>
      </c>
      <c r="G19">
        <v>126</v>
      </c>
      <c r="H19">
        <v>123.5</v>
      </c>
      <c r="I19">
        <v>230.8</v>
      </c>
    </row>
    <row r="20" spans="1:12" x14ac:dyDescent="0.35">
      <c r="A20">
        <v>19</v>
      </c>
      <c r="B20" t="s">
        <v>24</v>
      </c>
      <c r="C20">
        <v>22</v>
      </c>
      <c r="D20" t="str">
        <f t="shared" si="0"/>
        <v>middle_age</v>
      </c>
      <c r="E20" t="s">
        <v>66</v>
      </c>
      <c r="F20" t="str">
        <f t="shared" si="1"/>
        <v>Europe</v>
      </c>
      <c r="G20">
        <v>119</v>
      </c>
      <c r="H20">
        <v>124.5</v>
      </c>
      <c r="I20">
        <v>230</v>
      </c>
      <c r="K20" s="24" t="s">
        <v>75</v>
      </c>
      <c r="L20" s="25"/>
    </row>
    <row r="21" spans="1:12" x14ac:dyDescent="0.35">
      <c r="A21">
        <v>20</v>
      </c>
      <c r="B21" t="s">
        <v>92</v>
      </c>
      <c r="C21">
        <v>29</v>
      </c>
      <c r="D21" t="str">
        <f t="shared" si="0"/>
        <v>middle_age</v>
      </c>
      <c r="E21" t="s">
        <v>65</v>
      </c>
      <c r="F21" t="str">
        <f t="shared" si="1"/>
        <v>Europe</v>
      </c>
      <c r="G21">
        <v>115</v>
      </c>
      <c r="H21">
        <v>123</v>
      </c>
      <c r="I21">
        <v>227.9</v>
      </c>
      <c r="K21" s="3"/>
      <c r="L21" s="26"/>
    </row>
    <row r="22" spans="1:12" x14ac:dyDescent="0.35">
      <c r="A22">
        <v>21</v>
      </c>
      <c r="B22" t="s">
        <v>33</v>
      </c>
      <c r="C22">
        <v>24</v>
      </c>
      <c r="D22" t="str">
        <f t="shared" si="0"/>
        <v>middle_age</v>
      </c>
      <c r="E22" t="s">
        <v>65</v>
      </c>
      <c r="F22" t="str">
        <f t="shared" si="1"/>
        <v>Europe</v>
      </c>
      <c r="G22">
        <v>117</v>
      </c>
      <c r="H22">
        <v>126.5</v>
      </c>
      <c r="I22">
        <v>227.4</v>
      </c>
      <c r="K22" s="28" t="s">
        <v>55</v>
      </c>
      <c r="L22" s="26" t="s">
        <v>76</v>
      </c>
    </row>
    <row r="23" spans="1:12" x14ac:dyDescent="0.35">
      <c r="A23">
        <v>22</v>
      </c>
      <c r="B23" t="s">
        <v>16</v>
      </c>
      <c r="C23">
        <v>22</v>
      </c>
      <c r="D23" t="str">
        <f t="shared" si="0"/>
        <v>middle_age</v>
      </c>
      <c r="E23" t="s">
        <v>63</v>
      </c>
      <c r="F23" t="str">
        <f t="shared" si="1"/>
        <v>Europe</v>
      </c>
      <c r="G23">
        <v>123</v>
      </c>
      <c r="H23">
        <v>121.5</v>
      </c>
      <c r="I23">
        <v>227.2</v>
      </c>
      <c r="K23" s="3" t="s">
        <v>74</v>
      </c>
      <c r="L23" s="26" t="s">
        <v>47</v>
      </c>
    </row>
    <row r="24" spans="1:12" x14ac:dyDescent="0.35">
      <c r="A24">
        <v>23</v>
      </c>
      <c r="B24" t="s">
        <v>43</v>
      </c>
      <c r="C24">
        <v>20</v>
      </c>
      <c r="D24" t="str">
        <f t="shared" si="0"/>
        <v>middle_age</v>
      </c>
      <c r="E24" t="s">
        <v>61</v>
      </c>
      <c r="F24" t="str">
        <f t="shared" si="1"/>
        <v>Europe</v>
      </c>
      <c r="G24">
        <v>118</v>
      </c>
      <c r="H24">
        <v>127.5</v>
      </c>
      <c r="I24">
        <v>225.9</v>
      </c>
      <c r="K24" s="3" t="s">
        <v>73</v>
      </c>
      <c r="L24" s="26" t="s">
        <v>45</v>
      </c>
    </row>
    <row r="25" spans="1:12" x14ac:dyDescent="0.35">
      <c r="A25">
        <v>24</v>
      </c>
      <c r="B25" t="s">
        <v>27</v>
      </c>
      <c r="C25">
        <v>26</v>
      </c>
      <c r="D25" t="str">
        <f t="shared" si="0"/>
        <v>middle_age</v>
      </c>
      <c r="E25" t="s">
        <v>67</v>
      </c>
      <c r="F25" t="str">
        <f t="shared" si="1"/>
        <v>Europe</v>
      </c>
      <c r="G25">
        <v>125</v>
      </c>
      <c r="H25">
        <v>117.5</v>
      </c>
      <c r="I25">
        <v>225.8</v>
      </c>
      <c r="K25" s="3" t="s">
        <v>89</v>
      </c>
      <c r="L25" s="26" t="s">
        <v>46</v>
      </c>
    </row>
    <row r="26" spans="1:12" x14ac:dyDescent="0.35">
      <c r="A26">
        <v>25</v>
      </c>
      <c r="B26" t="s">
        <v>14</v>
      </c>
      <c r="C26">
        <v>33</v>
      </c>
      <c r="D26" t="str">
        <f t="shared" si="0"/>
        <v>senior</v>
      </c>
      <c r="E26" t="s">
        <v>65</v>
      </c>
      <c r="F26" t="str">
        <f t="shared" si="1"/>
        <v>Europe</v>
      </c>
      <c r="G26">
        <v>118</v>
      </c>
      <c r="H26">
        <v>116</v>
      </c>
      <c r="I26">
        <v>223.4</v>
      </c>
      <c r="K26" s="3"/>
      <c r="L26" s="26"/>
    </row>
    <row r="27" spans="1:12" x14ac:dyDescent="0.35">
      <c r="A27">
        <v>26</v>
      </c>
      <c r="B27" t="s">
        <v>25</v>
      </c>
      <c r="C27">
        <v>32</v>
      </c>
      <c r="D27" t="str">
        <f t="shared" si="0"/>
        <v>senior</v>
      </c>
      <c r="E27" t="s">
        <v>64</v>
      </c>
      <c r="F27" t="str">
        <f t="shared" si="1"/>
        <v>Other</v>
      </c>
      <c r="G27">
        <v>117.5</v>
      </c>
      <c r="H27">
        <v>118.5</v>
      </c>
      <c r="I27">
        <v>220.3</v>
      </c>
      <c r="K27" s="28" t="s">
        <v>44</v>
      </c>
      <c r="L27" s="26"/>
    </row>
    <row r="28" spans="1:12" x14ac:dyDescent="0.35">
      <c r="A28">
        <v>27</v>
      </c>
      <c r="B28" t="s">
        <v>30</v>
      </c>
      <c r="C28">
        <v>24</v>
      </c>
      <c r="D28" t="str">
        <f t="shared" si="0"/>
        <v>middle_age</v>
      </c>
      <c r="E28" t="s">
        <v>31</v>
      </c>
      <c r="F28" t="str">
        <f t="shared" si="1"/>
        <v>Europe</v>
      </c>
      <c r="G28">
        <v>119.5</v>
      </c>
      <c r="H28">
        <v>125.5</v>
      </c>
      <c r="I28">
        <v>218.3</v>
      </c>
      <c r="K28" s="3" t="s">
        <v>77</v>
      </c>
      <c r="L28" s="26"/>
    </row>
    <row r="29" spans="1:12" x14ac:dyDescent="0.35">
      <c r="A29">
        <v>28</v>
      </c>
      <c r="B29" t="s">
        <v>6</v>
      </c>
      <c r="C29">
        <v>32</v>
      </c>
      <c r="D29" t="str">
        <f t="shared" si="0"/>
        <v>senior</v>
      </c>
      <c r="E29" t="s">
        <v>61</v>
      </c>
      <c r="F29" t="str">
        <f t="shared" si="1"/>
        <v>Europe</v>
      </c>
      <c r="G29">
        <v>116</v>
      </c>
      <c r="H29">
        <v>116.5</v>
      </c>
      <c r="I29">
        <v>217.9</v>
      </c>
      <c r="K29" s="3"/>
      <c r="L29" s="26"/>
    </row>
    <row r="30" spans="1:12" x14ac:dyDescent="0.35">
      <c r="A30">
        <v>29</v>
      </c>
      <c r="B30" t="s">
        <v>40</v>
      </c>
      <c r="C30">
        <v>19</v>
      </c>
      <c r="D30" t="str">
        <f t="shared" si="0"/>
        <v>young</v>
      </c>
      <c r="E30" t="s">
        <v>38</v>
      </c>
      <c r="F30" t="str">
        <f t="shared" si="1"/>
        <v>Other</v>
      </c>
      <c r="G30">
        <v>122</v>
      </c>
      <c r="H30">
        <v>114</v>
      </c>
      <c r="I30">
        <v>214</v>
      </c>
      <c r="K30" s="28" t="s">
        <v>54</v>
      </c>
      <c r="L30" s="26"/>
    </row>
    <row r="31" spans="1:12" x14ac:dyDescent="0.35">
      <c r="A31">
        <v>30</v>
      </c>
      <c r="B31" t="s">
        <v>12</v>
      </c>
      <c r="C31">
        <v>23</v>
      </c>
      <c r="D31" t="str">
        <f t="shared" si="0"/>
        <v>middle_age</v>
      </c>
      <c r="E31" t="s">
        <v>60</v>
      </c>
      <c r="F31" t="str">
        <f t="shared" si="1"/>
        <v>Europe</v>
      </c>
      <c r="G31" s="29">
        <v>129</v>
      </c>
      <c r="H31" s="29">
        <v>112.5</v>
      </c>
      <c r="I31" s="29">
        <v>212.4</v>
      </c>
      <c r="K31" s="3" t="s">
        <v>116</v>
      </c>
      <c r="L31" s="26"/>
    </row>
    <row r="32" spans="1:12" ht="15" thickBot="1" x14ac:dyDescent="0.4">
      <c r="A32">
        <v>31</v>
      </c>
      <c r="B32" t="s">
        <v>26</v>
      </c>
      <c r="C32">
        <v>28</v>
      </c>
      <c r="D32" t="str">
        <f t="shared" si="0"/>
        <v>middle_age</v>
      </c>
      <c r="E32" t="s">
        <v>67</v>
      </c>
      <c r="F32" t="str">
        <f t="shared" si="1"/>
        <v>Europe</v>
      </c>
      <c r="G32" s="29">
        <v>117</v>
      </c>
      <c r="H32" s="29" t="s">
        <v>29</v>
      </c>
      <c r="I32" s="29">
        <v>105.6</v>
      </c>
      <c r="K32" s="4" t="s">
        <v>117</v>
      </c>
      <c r="L32" s="27"/>
    </row>
    <row r="33" spans="1:9" x14ac:dyDescent="0.35">
      <c r="A33">
        <v>32</v>
      </c>
      <c r="B33" t="s">
        <v>93</v>
      </c>
      <c r="C33">
        <v>24</v>
      </c>
      <c r="D33" t="str">
        <f t="shared" si="0"/>
        <v>middle_age</v>
      </c>
      <c r="E33" t="s">
        <v>60</v>
      </c>
      <c r="F33" t="str">
        <f t="shared" si="1"/>
        <v>Europe</v>
      </c>
      <c r="G33" s="29">
        <v>112</v>
      </c>
      <c r="H33" s="29" t="s">
        <v>29</v>
      </c>
      <c r="I33" s="29">
        <v>103.2</v>
      </c>
    </row>
    <row r="34" spans="1:9" x14ac:dyDescent="0.35">
      <c r="A34">
        <v>32</v>
      </c>
      <c r="B34" t="s">
        <v>21</v>
      </c>
      <c r="C34">
        <v>36</v>
      </c>
      <c r="D34" t="str">
        <f t="shared" ref="D34:D65" si="2">IF(C34&lt;20,"young",IF(C34&lt;31,"middle_age","senior"))</f>
        <v>senior</v>
      </c>
      <c r="E34" t="s">
        <v>65</v>
      </c>
      <c r="F34" t="str">
        <f t="shared" ref="F34:F65" si="3">IF(OR(E34="Japan", E34="USA"),"Other","Europe")</f>
        <v>Europe</v>
      </c>
      <c r="G34" s="29">
        <v>116</v>
      </c>
      <c r="H34" s="29" t="s">
        <v>29</v>
      </c>
      <c r="I34" s="29">
        <v>103.2</v>
      </c>
    </row>
    <row r="35" spans="1:9" x14ac:dyDescent="0.35">
      <c r="A35">
        <v>34</v>
      </c>
      <c r="B35" t="s">
        <v>94</v>
      </c>
      <c r="C35">
        <v>18</v>
      </c>
      <c r="D35" t="str">
        <f t="shared" si="2"/>
        <v>young</v>
      </c>
      <c r="E35" t="s">
        <v>1</v>
      </c>
      <c r="F35" t="str">
        <f t="shared" si="3"/>
        <v>Europe</v>
      </c>
      <c r="G35" s="29">
        <v>115.5</v>
      </c>
      <c r="H35" s="29" t="s">
        <v>29</v>
      </c>
      <c r="I35" s="29">
        <v>100.9</v>
      </c>
    </row>
    <row r="36" spans="1:9" x14ac:dyDescent="0.35">
      <c r="A36">
        <v>35</v>
      </c>
      <c r="B36" t="s">
        <v>95</v>
      </c>
      <c r="C36">
        <v>22</v>
      </c>
      <c r="D36" t="str">
        <f t="shared" si="2"/>
        <v>middle_age</v>
      </c>
      <c r="E36" t="s">
        <v>63</v>
      </c>
      <c r="F36" t="str">
        <f t="shared" si="3"/>
        <v>Europe</v>
      </c>
      <c r="G36" s="29">
        <v>114</v>
      </c>
      <c r="H36" s="29" t="s">
        <v>29</v>
      </c>
      <c r="I36" s="29">
        <v>98</v>
      </c>
    </row>
    <row r="37" spans="1:9" x14ac:dyDescent="0.35">
      <c r="A37">
        <v>36</v>
      </c>
      <c r="B37" t="s">
        <v>20</v>
      </c>
      <c r="C37">
        <v>28</v>
      </c>
      <c r="D37" t="str">
        <f t="shared" si="2"/>
        <v>middle_age</v>
      </c>
      <c r="E37" t="s">
        <v>61</v>
      </c>
      <c r="F37" t="str">
        <f t="shared" si="3"/>
        <v>Europe</v>
      </c>
      <c r="G37" s="29">
        <v>112.5</v>
      </c>
      <c r="H37" s="29" t="s">
        <v>29</v>
      </c>
      <c r="I37" s="29">
        <v>96</v>
      </c>
    </row>
    <row r="38" spans="1:9" x14ac:dyDescent="0.35">
      <c r="A38">
        <v>37</v>
      </c>
      <c r="B38" t="s">
        <v>34</v>
      </c>
      <c r="C38">
        <v>34</v>
      </c>
      <c r="D38" t="str">
        <f t="shared" si="2"/>
        <v>senior</v>
      </c>
      <c r="E38" t="s">
        <v>68</v>
      </c>
      <c r="F38" t="str">
        <f t="shared" si="3"/>
        <v>Europe</v>
      </c>
      <c r="G38" s="29">
        <v>108</v>
      </c>
      <c r="H38" s="29" t="s">
        <v>29</v>
      </c>
      <c r="I38" s="29">
        <v>94.3</v>
      </c>
    </row>
    <row r="39" spans="1:9" x14ac:dyDescent="0.35">
      <c r="A39">
        <v>38</v>
      </c>
      <c r="B39" t="s">
        <v>96</v>
      </c>
      <c r="C39">
        <v>30</v>
      </c>
      <c r="D39" t="str">
        <f t="shared" si="2"/>
        <v>middle_age</v>
      </c>
      <c r="E39" t="s">
        <v>103</v>
      </c>
      <c r="F39" t="str">
        <f t="shared" si="3"/>
        <v>Europe</v>
      </c>
      <c r="G39" s="29">
        <v>107.5</v>
      </c>
      <c r="H39" s="29" t="s">
        <v>29</v>
      </c>
      <c r="I39" s="29">
        <v>93.5</v>
      </c>
    </row>
    <row r="40" spans="1:9" x14ac:dyDescent="0.35">
      <c r="A40">
        <v>39</v>
      </c>
      <c r="B40" t="s">
        <v>36</v>
      </c>
      <c r="C40">
        <v>20</v>
      </c>
      <c r="D40" t="str">
        <f t="shared" si="2"/>
        <v>middle_age</v>
      </c>
      <c r="E40" t="s">
        <v>67</v>
      </c>
      <c r="F40" t="str">
        <f t="shared" si="3"/>
        <v>Europe</v>
      </c>
      <c r="G40" s="29">
        <v>108</v>
      </c>
      <c r="H40" s="29" t="s">
        <v>29</v>
      </c>
      <c r="I40" s="29">
        <v>91.2</v>
      </c>
    </row>
    <row r="41" spans="1:9" x14ac:dyDescent="0.35">
      <c r="A41">
        <v>40</v>
      </c>
      <c r="B41" t="s">
        <v>97</v>
      </c>
      <c r="C41">
        <v>29</v>
      </c>
      <c r="D41" t="str">
        <f t="shared" si="2"/>
        <v>middle_age</v>
      </c>
      <c r="E41" t="s">
        <v>65</v>
      </c>
      <c r="F41" t="str">
        <f t="shared" si="3"/>
        <v>Europe</v>
      </c>
      <c r="G41" s="29">
        <v>111</v>
      </c>
      <c r="H41" s="29" t="s">
        <v>29</v>
      </c>
      <c r="I41" s="29">
        <v>89.4</v>
      </c>
    </row>
    <row r="42" spans="1:9" x14ac:dyDescent="0.35">
      <c r="A42">
        <v>41</v>
      </c>
      <c r="B42" t="s">
        <v>41</v>
      </c>
      <c r="C42">
        <v>19</v>
      </c>
      <c r="D42" t="str">
        <f t="shared" si="2"/>
        <v>young</v>
      </c>
      <c r="E42" t="s">
        <v>61</v>
      </c>
      <c r="F42" t="str">
        <f t="shared" si="3"/>
        <v>Europe</v>
      </c>
      <c r="G42" s="29">
        <v>104</v>
      </c>
      <c r="H42" s="29" t="s">
        <v>29</v>
      </c>
      <c r="I42" s="29">
        <v>87.8</v>
      </c>
    </row>
    <row r="43" spans="1:9" x14ac:dyDescent="0.35">
      <c r="A43">
        <v>42</v>
      </c>
      <c r="B43" t="s">
        <v>11</v>
      </c>
      <c r="C43">
        <v>27</v>
      </c>
      <c r="D43" t="str">
        <f t="shared" si="2"/>
        <v>middle_age</v>
      </c>
      <c r="E43" t="s">
        <v>63</v>
      </c>
      <c r="F43" t="str">
        <f t="shared" si="3"/>
        <v>Europe</v>
      </c>
      <c r="G43" s="29">
        <v>105.5</v>
      </c>
      <c r="H43" s="29" t="s">
        <v>29</v>
      </c>
      <c r="I43" s="29">
        <v>86.2</v>
      </c>
    </row>
    <row r="44" spans="1:9" x14ac:dyDescent="0.35">
      <c r="A44">
        <v>43</v>
      </c>
      <c r="B44" t="s">
        <v>37</v>
      </c>
      <c r="C44">
        <v>22</v>
      </c>
      <c r="D44" t="str">
        <f t="shared" si="2"/>
        <v>middle_age</v>
      </c>
      <c r="E44" t="s">
        <v>38</v>
      </c>
      <c r="F44" t="str">
        <f t="shared" si="3"/>
        <v>Other</v>
      </c>
      <c r="G44" s="29">
        <v>109.5</v>
      </c>
      <c r="H44" s="29" t="s">
        <v>29</v>
      </c>
      <c r="I44" s="29">
        <v>85.1</v>
      </c>
    </row>
    <row r="45" spans="1:9" x14ac:dyDescent="0.35">
      <c r="A45">
        <v>44</v>
      </c>
      <c r="B45" t="s">
        <v>98</v>
      </c>
      <c r="C45">
        <v>22</v>
      </c>
      <c r="D45" t="str">
        <f t="shared" si="2"/>
        <v>middle_age</v>
      </c>
      <c r="E45" t="s">
        <v>66</v>
      </c>
      <c r="F45" t="str">
        <f t="shared" si="3"/>
        <v>Europe</v>
      </c>
      <c r="G45" s="29">
        <v>103</v>
      </c>
      <c r="H45" s="29" t="s">
        <v>29</v>
      </c>
      <c r="I45" s="29">
        <v>76.7</v>
      </c>
    </row>
    <row r="46" spans="1:9" x14ac:dyDescent="0.35">
      <c r="A46" s="29" t="s">
        <v>99</v>
      </c>
      <c r="B46" t="s">
        <v>100</v>
      </c>
      <c r="C46">
        <v>23</v>
      </c>
      <c r="D46" t="str">
        <f t="shared" si="2"/>
        <v>middle_age</v>
      </c>
      <c r="E46" t="s">
        <v>103</v>
      </c>
      <c r="F46" t="str">
        <f t="shared" si="3"/>
        <v>Europe</v>
      </c>
      <c r="G46" s="29" t="s">
        <v>29</v>
      </c>
      <c r="H46" s="29" t="s">
        <v>29</v>
      </c>
      <c r="I46" s="29" t="s">
        <v>29</v>
      </c>
    </row>
    <row r="47" spans="1:9" x14ac:dyDescent="0.35">
      <c r="A47" s="29" t="s">
        <v>99</v>
      </c>
      <c r="B47" t="s">
        <v>28</v>
      </c>
      <c r="C47">
        <v>23</v>
      </c>
      <c r="D47" t="str">
        <f t="shared" si="2"/>
        <v>middle_age</v>
      </c>
      <c r="E47" t="s">
        <v>62</v>
      </c>
      <c r="F47" t="str">
        <f t="shared" si="3"/>
        <v>Europe</v>
      </c>
      <c r="G47" s="29" t="s">
        <v>29</v>
      </c>
      <c r="H47" s="29" t="s">
        <v>29</v>
      </c>
      <c r="I47" s="29" t="s">
        <v>29</v>
      </c>
    </row>
    <row r="48" spans="1:9" x14ac:dyDescent="0.35">
      <c r="A48" s="29" t="s">
        <v>99</v>
      </c>
      <c r="B48" t="s">
        <v>39</v>
      </c>
      <c r="C48">
        <v>30</v>
      </c>
      <c r="D48" t="str">
        <f t="shared" si="2"/>
        <v>middle_age</v>
      </c>
      <c r="E48" t="s">
        <v>70</v>
      </c>
      <c r="F48" t="str">
        <f t="shared" si="3"/>
        <v>Europe</v>
      </c>
      <c r="G48" s="29" t="s">
        <v>29</v>
      </c>
      <c r="H48" s="29" t="s">
        <v>29</v>
      </c>
      <c r="I48" s="29" t="s">
        <v>29</v>
      </c>
    </row>
    <row r="49" spans="1:9" x14ac:dyDescent="0.35">
      <c r="A49" s="29" t="s">
        <v>99</v>
      </c>
      <c r="B49" t="s">
        <v>22</v>
      </c>
      <c r="C49">
        <v>26</v>
      </c>
      <c r="D49" t="str">
        <f t="shared" si="2"/>
        <v>middle_age</v>
      </c>
      <c r="E49" t="s">
        <v>66</v>
      </c>
      <c r="F49" t="str">
        <f t="shared" si="3"/>
        <v>Europe</v>
      </c>
      <c r="G49" s="29" t="s">
        <v>29</v>
      </c>
      <c r="H49" s="29" t="s">
        <v>29</v>
      </c>
      <c r="I49" s="29" t="s">
        <v>29</v>
      </c>
    </row>
    <row r="50" spans="1:9" x14ac:dyDescent="0.35">
      <c r="A50" s="29" t="s">
        <v>99</v>
      </c>
      <c r="B50" t="s">
        <v>35</v>
      </c>
      <c r="C50">
        <v>19</v>
      </c>
      <c r="D50" t="str">
        <f t="shared" si="2"/>
        <v>young</v>
      </c>
      <c r="E50" t="s">
        <v>69</v>
      </c>
      <c r="F50" t="str">
        <f t="shared" si="3"/>
        <v>Europe</v>
      </c>
      <c r="G50" s="29" t="s">
        <v>29</v>
      </c>
      <c r="H50" s="29" t="s">
        <v>29</v>
      </c>
      <c r="I50" s="29" t="s">
        <v>29</v>
      </c>
    </row>
    <row r="51" spans="1:9" x14ac:dyDescent="0.35">
      <c r="A51" s="29" t="s">
        <v>101</v>
      </c>
      <c r="B51" t="s">
        <v>102</v>
      </c>
      <c r="C51">
        <v>28</v>
      </c>
      <c r="D51" t="str">
        <f t="shared" si="2"/>
        <v>middle_age</v>
      </c>
      <c r="E51" t="s">
        <v>65</v>
      </c>
      <c r="F51" t="str">
        <f t="shared" si="3"/>
        <v>Europe</v>
      </c>
      <c r="G51" s="29" t="s">
        <v>29</v>
      </c>
      <c r="H51" s="29" t="s">
        <v>29</v>
      </c>
      <c r="I51" s="29" t="s">
        <v>29</v>
      </c>
    </row>
  </sheetData>
  <phoneticPr fontId="4" type="noConversion"/>
  <dataValidations count="1">
    <dataValidation type="list" allowBlank="1" showInputMessage="1" showErrorMessage="1" sqref="G52" xr:uid="{4FF190F7-85A6-4204-8369-8E180F4F6927}">
      <formula1>$K$23:$K$25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4D8-B6D9-4AF9-B9E0-E8AC6F135EB1}">
  <dimension ref="B1:O11"/>
  <sheetViews>
    <sheetView workbookViewId="0">
      <selection activeCell="O19" sqref="O19"/>
    </sheetView>
  </sheetViews>
  <sheetFormatPr defaultRowHeight="14.5" x14ac:dyDescent="0.35"/>
  <cols>
    <col min="2" max="2" width="11.6328125" customWidth="1"/>
    <col min="3" max="3" width="10.26953125" customWidth="1"/>
    <col min="5" max="5" width="11.6328125" customWidth="1"/>
    <col min="6" max="6" width="10.26953125" customWidth="1"/>
    <col min="8" max="8" width="13.36328125" bestFit="1" customWidth="1"/>
    <col min="9" max="9" width="10.26953125" customWidth="1"/>
    <col min="11" max="11" width="20.08984375" customWidth="1"/>
    <col min="14" max="14" width="13.1796875" bestFit="1" customWidth="1"/>
    <col min="15" max="15" width="21.26953125" bestFit="1" customWidth="1"/>
  </cols>
  <sheetData>
    <row r="1" spans="2:15" ht="15" thickBot="1" x14ac:dyDescent="0.4"/>
    <row r="2" spans="2:15" ht="43.5" x14ac:dyDescent="0.35">
      <c r="B2" s="2" t="s">
        <v>57</v>
      </c>
      <c r="C2" t="s">
        <v>106</v>
      </c>
      <c r="E2" s="2" t="s">
        <v>58</v>
      </c>
      <c r="F2" t="s">
        <v>106</v>
      </c>
      <c r="H2" s="2" t="s">
        <v>59</v>
      </c>
      <c r="I2" t="s">
        <v>106</v>
      </c>
      <c r="K2" s="20" t="s">
        <v>85</v>
      </c>
      <c r="L2" s="17"/>
      <c r="N2" s="24" t="s">
        <v>119</v>
      </c>
      <c r="O2" s="25"/>
    </row>
    <row r="3" spans="2:15" x14ac:dyDescent="0.35">
      <c r="B3" t="s">
        <v>48</v>
      </c>
      <c r="C3">
        <f>MIN(Table1[1distance '[m']])</f>
        <v>103</v>
      </c>
      <c r="E3" t="s">
        <v>48</v>
      </c>
      <c r="F3">
        <f>MIN(Table1[2distance '[m']])</f>
        <v>112.5</v>
      </c>
      <c r="H3" t="s">
        <v>48</v>
      </c>
      <c r="I3">
        <f>MIN(Table1[total_points])</f>
        <v>76.7</v>
      </c>
      <c r="K3" s="3" t="s">
        <v>104</v>
      </c>
      <c r="L3" s="18">
        <f>PEARSON(Table1[1distance '[m']],Table1[total_points])</f>
        <v>0.85891112235924916</v>
      </c>
      <c r="N3" s="3"/>
      <c r="O3" s="26"/>
    </row>
    <row r="4" spans="2:15" x14ac:dyDescent="0.35">
      <c r="B4" t="s">
        <v>80</v>
      </c>
      <c r="C4">
        <f>MAX(Table1[1distance '[m']])</f>
        <v>135</v>
      </c>
      <c r="E4" t="s">
        <v>80</v>
      </c>
      <c r="F4">
        <f>MAX(Table1[2distance '[m']])</f>
        <v>139.5</v>
      </c>
      <c r="H4" t="s">
        <v>80</v>
      </c>
      <c r="I4">
        <f>MAX(Table1[total_points])</f>
        <v>269.39999999999998</v>
      </c>
      <c r="K4" s="3" t="s">
        <v>105</v>
      </c>
      <c r="L4" s="18">
        <f>PEARSON(Table1[2distance '[m']],Table1[total_points])</f>
        <v>0.78896856232669021</v>
      </c>
      <c r="N4" s="3" t="s">
        <v>122</v>
      </c>
      <c r="O4" s="26" t="s">
        <v>120</v>
      </c>
    </row>
    <row r="5" spans="2:15" ht="15" thickBot="1" x14ac:dyDescent="0.4">
      <c r="B5" t="s">
        <v>49</v>
      </c>
      <c r="C5" s="1">
        <f>_xlfn.QUARTILE.EXC(Table1[1distance '[m']],1)</f>
        <v>114.25</v>
      </c>
      <c r="E5" t="s">
        <v>49</v>
      </c>
      <c r="F5" s="1">
        <f>_xlfn.QUARTILE.EXC(Table1[2distance '[m']],1)</f>
        <v>121.375</v>
      </c>
      <c r="H5" t="s">
        <v>49</v>
      </c>
      <c r="I5" s="1">
        <f>_xlfn.QUARTILE.EXC(Table1[total_points],1)</f>
        <v>101.47500000000001</v>
      </c>
      <c r="K5" s="4" t="s">
        <v>86</v>
      </c>
      <c r="L5" s="19">
        <f>PEARSON(Table1[1distance '[m']],Table1[2distance '[m']])</f>
        <v>0.25371421059806248</v>
      </c>
      <c r="N5" s="3" t="s">
        <v>123</v>
      </c>
      <c r="O5" s="26" t="s">
        <v>121</v>
      </c>
    </row>
    <row r="6" spans="2:15" x14ac:dyDescent="0.35">
      <c r="B6" t="s">
        <v>50</v>
      </c>
      <c r="C6" s="1">
        <f>_xlfn.QUARTILE.EXC(Table1[1distance '[m']],2)</f>
        <v>119.25</v>
      </c>
      <c r="E6" t="s">
        <v>50</v>
      </c>
      <c r="F6" s="1">
        <f>_xlfn.QUARTILE.EXC(Table1[2distance '[m']],2)</f>
        <v>126</v>
      </c>
      <c r="H6" t="s">
        <v>50</v>
      </c>
      <c r="I6" s="1">
        <f>_xlfn.QUARTILE.EXC(Table1[total_points],2)</f>
        <v>226.55</v>
      </c>
      <c r="N6" s="32" t="s">
        <v>124</v>
      </c>
      <c r="O6" s="26" t="s">
        <v>131</v>
      </c>
    </row>
    <row r="7" spans="2:15" x14ac:dyDescent="0.35">
      <c r="B7" t="s">
        <v>51</v>
      </c>
      <c r="C7">
        <f>_xlfn.QUARTILE.EXC(Table1[1distance '[m']],3)</f>
        <v>125.375</v>
      </c>
      <c r="E7" t="s">
        <v>51</v>
      </c>
      <c r="F7">
        <f>_xlfn.QUARTILE.EXC(Table1[2distance '[m']],3)</f>
        <v>129.125</v>
      </c>
      <c r="H7" t="s">
        <v>51</v>
      </c>
      <c r="I7">
        <f>_xlfn.QUARTILE.EXC(Table1[total_points],3)</f>
        <v>241.15</v>
      </c>
      <c r="N7" s="3"/>
      <c r="O7" s="26"/>
    </row>
    <row r="8" spans="2:15" x14ac:dyDescent="0.35">
      <c r="B8" t="s">
        <v>81</v>
      </c>
      <c r="C8" s="1">
        <f>AVERAGE(Table1[1distance '[m']])</f>
        <v>119.38636363636364</v>
      </c>
      <c r="E8" t="s">
        <v>81</v>
      </c>
      <c r="F8" s="1">
        <f>AVERAGE(Table1[2distance '[m']])</f>
        <v>125.33333333333333</v>
      </c>
      <c r="H8" t="s">
        <v>81</v>
      </c>
      <c r="I8" s="1">
        <f>AVERAGE(Table1[total_points])</f>
        <v>191.78863636363633</v>
      </c>
      <c r="N8" s="3" t="s">
        <v>125</v>
      </c>
      <c r="O8" s="26" t="s">
        <v>129</v>
      </c>
    </row>
    <row r="9" spans="2:15" x14ac:dyDescent="0.35">
      <c r="B9" t="s">
        <v>84</v>
      </c>
      <c r="C9" s="1">
        <f>STDEV(Table1[1distance '[m']])</f>
        <v>7.9547145859397874</v>
      </c>
      <c r="E9" t="s">
        <v>84</v>
      </c>
      <c r="F9" s="1">
        <f>STDEV(Table1[2distance '[m']])</f>
        <v>6.4331219070731418</v>
      </c>
      <c r="H9" t="s">
        <v>84</v>
      </c>
      <c r="I9" s="1">
        <f>STDEV(Table1[total_points])</f>
        <v>69.241781364067691</v>
      </c>
      <c r="N9" s="3" t="s">
        <v>126</v>
      </c>
      <c r="O9" s="26" t="s">
        <v>130</v>
      </c>
    </row>
    <row r="10" spans="2:15" ht="15" thickBot="1" x14ac:dyDescent="0.4">
      <c r="B10" t="s">
        <v>82</v>
      </c>
      <c r="C10" s="1">
        <f>SKEW(Table1[1distance '[m']])</f>
        <v>-0.2499996739405517</v>
      </c>
      <c r="E10" t="s">
        <v>82</v>
      </c>
      <c r="F10" s="1">
        <f>SKEW(Table1[2distance '[m']])</f>
        <v>-1.346467782704276E-2</v>
      </c>
      <c r="H10" t="s">
        <v>82</v>
      </c>
      <c r="I10" s="1">
        <f>SKEW(Table1[total_points])</f>
        <v>-0.69948929957346451</v>
      </c>
      <c r="N10" s="4" t="s">
        <v>127</v>
      </c>
      <c r="O10" s="27" t="s">
        <v>128</v>
      </c>
    </row>
    <row r="11" spans="2:15" x14ac:dyDescent="0.35">
      <c r="B11" t="s">
        <v>83</v>
      </c>
      <c r="C11" s="1">
        <f>KURT(Table1[1distance '[m']])</f>
        <v>-0.61296674211331625</v>
      </c>
      <c r="E11" t="s">
        <v>83</v>
      </c>
      <c r="F11" s="1">
        <f>KURT(Table1[2distance '[m']])</f>
        <v>-3.2348014753298848E-2</v>
      </c>
      <c r="H11" t="s">
        <v>83</v>
      </c>
      <c r="I11" s="1">
        <f>KURT(Table1[total_points])</f>
        <v>-1.3722978446361098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E56-9114-4035-8DB7-6D7542C3A941}">
  <dimension ref="B1:T33"/>
  <sheetViews>
    <sheetView tabSelected="1" topLeftCell="J1" workbookViewId="0">
      <selection activeCell="R15" sqref="R15"/>
    </sheetView>
  </sheetViews>
  <sheetFormatPr defaultRowHeight="14.5" x14ac:dyDescent="0.35"/>
  <cols>
    <col min="2" max="2" width="15.54296875" customWidth="1"/>
    <col min="3" max="3" width="12.81640625" bestFit="1" customWidth="1"/>
    <col min="9" max="9" width="12.54296875" bestFit="1" customWidth="1"/>
    <col min="10" max="10" width="12.81640625" bestFit="1" customWidth="1"/>
    <col min="17" max="17" width="36.6328125" bestFit="1" customWidth="1"/>
    <col min="19" max="19" width="12.54296875" bestFit="1" customWidth="1"/>
  </cols>
  <sheetData>
    <row r="1" spans="2:20" ht="15" thickBot="1" x14ac:dyDescent="0.4"/>
    <row r="2" spans="2:20" ht="21" x14ac:dyDescent="0.5">
      <c r="B2" t="s">
        <v>55</v>
      </c>
      <c r="C2" t="s">
        <v>87</v>
      </c>
      <c r="I2" t="s">
        <v>44</v>
      </c>
      <c r="J2" t="s">
        <v>87</v>
      </c>
      <c r="Q2" s="23" t="s">
        <v>107</v>
      </c>
      <c r="R2" s="5"/>
      <c r="S2" s="5"/>
      <c r="T2" s="6"/>
    </row>
    <row r="3" spans="2:20" x14ac:dyDescent="0.35">
      <c r="B3" t="s">
        <v>74</v>
      </c>
      <c r="C3">
        <f>COUNTIF(Table1[age_group],"young")</f>
        <v>5</v>
      </c>
      <c r="I3" t="s">
        <v>71</v>
      </c>
      <c r="J3">
        <f>COUNTIF(Table1[region],"Europe")</f>
        <v>44</v>
      </c>
      <c r="Q3" s="7"/>
      <c r="R3" s="8"/>
      <c r="S3" s="8"/>
      <c r="T3" s="9"/>
    </row>
    <row r="4" spans="2:20" x14ac:dyDescent="0.35">
      <c r="B4" t="s">
        <v>73</v>
      </c>
      <c r="C4">
        <f>COUNTIF(Table1[age_group],"middle_age")</f>
        <v>34</v>
      </c>
      <c r="I4" t="s">
        <v>72</v>
      </c>
      <c r="J4">
        <f>COUNTIF(Table1[region],"Other")</f>
        <v>6</v>
      </c>
      <c r="Q4" s="10" t="s">
        <v>114</v>
      </c>
      <c r="R4" s="8"/>
      <c r="S4" s="8"/>
      <c r="T4" s="9"/>
    </row>
    <row r="5" spans="2:20" x14ac:dyDescent="0.35">
      <c r="B5" t="s">
        <v>89</v>
      </c>
      <c r="C5">
        <f>COUNTIF(Table1[age_group],"senior")</f>
        <v>11</v>
      </c>
      <c r="I5" t="s">
        <v>88</v>
      </c>
      <c r="J5">
        <f>SUM(J3:J4)</f>
        <v>50</v>
      </c>
      <c r="Q5" s="7"/>
      <c r="R5" s="30" t="s">
        <v>71</v>
      </c>
      <c r="S5" s="30" t="s">
        <v>72</v>
      </c>
      <c r="T5" s="31" t="s">
        <v>109</v>
      </c>
    </row>
    <row r="6" spans="2:20" x14ac:dyDescent="0.35">
      <c r="B6" t="s">
        <v>88</v>
      </c>
      <c r="C6">
        <f>SUM(C3:C5)</f>
        <v>50</v>
      </c>
      <c r="Q6" s="11" t="s">
        <v>74</v>
      </c>
      <c r="R6" s="8">
        <f>COUNTIFS(Table1[age_group],"young",Table1[region],"Europe")</f>
        <v>3</v>
      </c>
      <c r="S6" s="8">
        <f>COUNTIFS(Table1[age_group],"young",Table1[region],"Other")</f>
        <v>2</v>
      </c>
      <c r="T6" s="9">
        <f>SUM(R6:S6)</f>
        <v>5</v>
      </c>
    </row>
    <row r="7" spans="2:20" x14ac:dyDescent="0.35">
      <c r="Q7" s="11" t="s">
        <v>73</v>
      </c>
      <c r="R7" s="8">
        <f>COUNTIFS(Table1[age_group],"middle_age",Table1[region],"Europe")</f>
        <v>31</v>
      </c>
      <c r="S7" s="8">
        <f>COUNTIFS(Table1[age_group],"middle_age",Table1[region],"Other")</f>
        <v>3</v>
      </c>
      <c r="T7" s="9">
        <f t="shared" ref="T7:T8" si="0">SUM(R7:S7)</f>
        <v>34</v>
      </c>
    </row>
    <row r="8" spans="2:20" x14ac:dyDescent="0.35">
      <c r="Q8" s="11" t="s">
        <v>89</v>
      </c>
      <c r="R8" s="8">
        <f>COUNTIFS(Table1[age_group],"senior",Table1[region],"Europe")</f>
        <v>10</v>
      </c>
      <c r="S8" s="8">
        <f>COUNTIFS(Table1[age_group],"senior",Table1[region],"Other")</f>
        <v>1</v>
      </c>
      <c r="T8" s="9">
        <f t="shared" si="0"/>
        <v>11</v>
      </c>
    </row>
    <row r="9" spans="2:20" x14ac:dyDescent="0.35">
      <c r="Q9" s="12" t="s">
        <v>109</v>
      </c>
      <c r="R9" s="8">
        <f>SUM(R6:R8)</f>
        <v>44</v>
      </c>
      <c r="S9" s="8">
        <f>SUM(S6:S8)</f>
        <v>6</v>
      </c>
      <c r="T9" s="9">
        <f>SUM(T6:T8)</f>
        <v>50</v>
      </c>
    </row>
    <row r="10" spans="2:20" x14ac:dyDescent="0.35">
      <c r="Q10" s="7"/>
      <c r="R10" s="8"/>
      <c r="S10" s="8"/>
      <c r="T10" s="9"/>
    </row>
    <row r="11" spans="2:20" x14ac:dyDescent="0.35">
      <c r="Q11" s="7"/>
      <c r="R11" s="8"/>
      <c r="S11" s="8"/>
      <c r="T11" s="9"/>
    </row>
    <row r="12" spans="2:20" x14ac:dyDescent="0.35">
      <c r="Q12" s="7"/>
      <c r="R12" s="8"/>
      <c r="S12" s="8"/>
      <c r="T12" s="9"/>
    </row>
    <row r="13" spans="2:20" x14ac:dyDescent="0.35">
      <c r="Q13" s="10" t="s">
        <v>113</v>
      </c>
      <c r="R13" s="8"/>
      <c r="S13" s="8"/>
      <c r="T13" s="9"/>
    </row>
    <row r="14" spans="2:20" x14ac:dyDescent="0.35">
      <c r="Q14" s="7"/>
      <c r="R14" s="30" t="s">
        <v>71</v>
      </c>
      <c r="S14" s="30" t="s">
        <v>72</v>
      </c>
      <c r="T14" s="9"/>
    </row>
    <row r="15" spans="2:20" x14ac:dyDescent="0.35">
      <c r="Q15" s="11" t="s">
        <v>74</v>
      </c>
      <c r="R15" s="13">
        <f>(T6*R9)/T9</f>
        <v>4.4000000000000004</v>
      </c>
      <c r="S15" s="13">
        <f>(T6*S9)/T9</f>
        <v>0.6</v>
      </c>
      <c r="T15" s="9"/>
    </row>
    <row r="16" spans="2:20" x14ac:dyDescent="0.35">
      <c r="Q16" s="11" t="s">
        <v>73</v>
      </c>
      <c r="R16" s="13">
        <f>(T7*R9)/T9</f>
        <v>29.92</v>
      </c>
      <c r="S16" s="13">
        <f>(T7*S9)/T9</f>
        <v>4.08</v>
      </c>
      <c r="T16" s="9"/>
    </row>
    <row r="17" spans="17:20" x14ac:dyDescent="0.35">
      <c r="Q17" s="11" t="s">
        <v>89</v>
      </c>
      <c r="R17" s="13">
        <f>(T8*R9)/T9</f>
        <v>9.68</v>
      </c>
      <c r="S17" s="13">
        <f>(T8*S9)/T9</f>
        <v>1.32</v>
      </c>
      <c r="T17" s="9"/>
    </row>
    <row r="18" spans="17:20" x14ac:dyDescent="0.35">
      <c r="Q18" s="7"/>
      <c r="R18" s="8"/>
      <c r="S18" s="8"/>
      <c r="T18" s="9"/>
    </row>
    <row r="19" spans="17:20" x14ac:dyDescent="0.35">
      <c r="Q19" s="7"/>
      <c r="R19" s="8"/>
      <c r="S19" s="8"/>
      <c r="T19" s="9"/>
    </row>
    <row r="20" spans="17:20" x14ac:dyDescent="0.35">
      <c r="Q20" s="7"/>
      <c r="R20" s="8"/>
      <c r="S20" s="8"/>
      <c r="T20" s="9"/>
    </row>
    <row r="21" spans="17:20" x14ac:dyDescent="0.35">
      <c r="Q21" s="10" t="s">
        <v>52</v>
      </c>
      <c r="R21" s="8"/>
      <c r="S21" s="8"/>
      <c r="T21" s="9"/>
    </row>
    <row r="22" spans="17:20" x14ac:dyDescent="0.35">
      <c r="Q22" s="7"/>
      <c r="R22" s="30" t="s">
        <v>71</v>
      </c>
      <c r="S22" s="30" t="s">
        <v>72</v>
      </c>
      <c r="T22" s="9"/>
    </row>
    <row r="23" spans="17:20" x14ac:dyDescent="0.35">
      <c r="Q23" s="11" t="s">
        <v>74</v>
      </c>
      <c r="R23" s="13">
        <f t="shared" ref="R23:S25" si="1">((R6-R15)^2)/R15</f>
        <v>0.44545454545454566</v>
      </c>
      <c r="S23" s="13">
        <f t="shared" si="1"/>
        <v>3.2666666666666662</v>
      </c>
      <c r="T23" s="9"/>
    </row>
    <row r="24" spans="17:20" x14ac:dyDescent="0.35">
      <c r="Q24" s="11" t="s">
        <v>73</v>
      </c>
      <c r="R24" s="13">
        <f t="shared" si="1"/>
        <v>3.8983957219251214E-2</v>
      </c>
      <c r="S24" s="13">
        <f t="shared" si="1"/>
        <v>0.28588235294117648</v>
      </c>
      <c r="T24" s="9"/>
    </row>
    <row r="25" spans="17:20" x14ac:dyDescent="0.35">
      <c r="Q25" s="11" t="s">
        <v>89</v>
      </c>
      <c r="R25" s="13">
        <f t="shared" si="1"/>
        <v>1.0578512396694235E-2</v>
      </c>
      <c r="S25" s="13">
        <f t="shared" si="1"/>
        <v>7.7575757575757603E-2</v>
      </c>
      <c r="T25" s="9"/>
    </row>
    <row r="26" spans="17:20" x14ac:dyDescent="0.35">
      <c r="Q26" s="7"/>
      <c r="R26" s="8"/>
      <c r="S26" s="8"/>
      <c r="T26" s="9"/>
    </row>
    <row r="27" spans="17:20" x14ac:dyDescent="0.35">
      <c r="Q27" s="7"/>
      <c r="R27" s="8"/>
      <c r="S27" s="8"/>
      <c r="T27" s="9"/>
    </row>
    <row r="28" spans="17:20" x14ac:dyDescent="0.35">
      <c r="Q28" s="7" t="s">
        <v>53</v>
      </c>
      <c r="R28" s="13">
        <f>SUM(R23:S25)</f>
        <v>4.1251417922540918</v>
      </c>
      <c r="S28" s="8"/>
      <c r="T28" s="9"/>
    </row>
    <row r="29" spans="17:20" x14ac:dyDescent="0.35">
      <c r="Q29" s="7" t="s">
        <v>110</v>
      </c>
      <c r="R29" s="8">
        <f>2*1</f>
        <v>2</v>
      </c>
      <c r="S29" s="8"/>
      <c r="T29" s="9"/>
    </row>
    <row r="30" spans="17:20" x14ac:dyDescent="0.35">
      <c r="Q30" s="7" t="s">
        <v>111</v>
      </c>
      <c r="R30" s="8">
        <f>_xlfn.CHISQ.DIST.RT(R28,R29)</f>
        <v>0.12712671982046267</v>
      </c>
      <c r="S30" s="8"/>
      <c r="T30" s="9"/>
    </row>
    <row r="31" spans="17:20" ht="15" thickBot="1" x14ac:dyDescent="0.4">
      <c r="Q31" s="22" t="s">
        <v>112</v>
      </c>
      <c r="R31" s="14" t="s">
        <v>115</v>
      </c>
      <c r="S31" s="15"/>
      <c r="T31" s="16"/>
    </row>
    <row r="33" spans="17:17" x14ac:dyDescent="0.35">
      <c r="Q33" s="21" t="s">
        <v>108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quantitative_features</vt:lpstr>
      <vt:lpstr>qualitative_features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Skowroński</dc:creator>
  <cp:lastModifiedBy>Adrian Skowroński</cp:lastModifiedBy>
  <dcterms:created xsi:type="dcterms:W3CDTF">2023-12-27T13:59:45Z</dcterms:created>
  <dcterms:modified xsi:type="dcterms:W3CDTF">2024-01-18T18:10:44Z</dcterms:modified>
</cp:coreProperties>
</file>