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filterPrivacy="1" codeName="ThisWorkbook" defaultThemeVersion="166925"/>
  <xr:revisionPtr revIDLastSave="0" documentId="13_ncr:1_{DD23D430-56DC-AE44-94E1-D17FBBF4882B}" xr6:coauthVersionLast="45" xr6:coauthVersionMax="45" xr10:uidLastSave="{00000000-0000-0000-0000-000000000000}"/>
  <bookViews>
    <workbookView xWindow="29120" yWindow="8960" windowWidth="40960" windowHeight="22260" activeTab="2" xr2:uid="{02F928FD-F686-4F51-B618-CD20C7DC7B41}"/>
  </bookViews>
  <sheets>
    <sheet name="Instructions and Inputs" sheetId="1" r:id="rId1"/>
    <sheet name="Cap Table" sheetId="8" r:id="rId2"/>
    <sheet name="Summary" sheetId="9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9" l="1"/>
  <c r="H14" i="9"/>
  <c r="E14" i="9"/>
  <c r="D14" i="9"/>
  <c r="C14" i="9"/>
  <c r="L17" i="9" l="1"/>
  <c r="L18" i="9"/>
  <c r="C7" i="9" l="1"/>
  <c r="C8" i="9"/>
  <c r="C9" i="9"/>
  <c r="C10" i="9"/>
  <c r="C11" i="9"/>
  <c r="C12" i="9"/>
  <c r="C13" i="9"/>
  <c r="C15" i="9"/>
  <c r="C16" i="9"/>
  <c r="C6" i="9"/>
  <c r="H7" i="9"/>
  <c r="H8" i="9"/>
  <c r="H9" i="9"/>
  <c r="H10" i="9"/>
  <c r="H11" i="9"/>
  <c r="H12" i="9"/>
  <c r="H13" i="9"/>
  <c r="H6" i="9"/>
  <c r="F7" i="9"/>
  <c r="F8" i="9"/>
  <c r="F9" i="9"/>
  <c r="F15" i="9"/>
  <c r="F16" i="9"/>
  <c r="F6" i="9"/>
  <c r="L6" i="9" s="1"/>
  <c r="M6" i="9" s="1"/>
  <c r="D7" i="9"/>
  <c r="K7" i="9" s="1"/>
  <c r="D8" i="9"/>
  <c r="K8" i="9" s="1"/>
  <c r="D9" i="9"/>
  <c r="K9" i="9" s="1"/>
  <c r="D10" i="9"/>
  <c r="K10" i="9" s="1"/>
  <c r="D11" i="9"/>
  <c r="K11" i="9" s="1"/>
  <c r="D12" i="9"/>
  <c r="K12" i="9" s="1"/>
  <c r="D13" i="9"/>
  <c r="K13" i="9" s="1"/>
  <c r="D15" i="9"/>
  <c r="K15" i="9" s="1"/>
  <c r="D16" i="9"/>
  <c r="K16" i="9" s="1"/>
  <c r="D6" i="9"/>
  <c r="K6" i="9" s="1"/>
  <c r="L8" i="9" l="1"/>
  <c r="M8" i="9" s="1"/>
  <c r="L9" i="9"/>
  <c r="M9" i="9" s="1"/>
  <c r="L7" i="9"/>
  <c r="M7" i="9" s="1"/>
  <c r="D40" i="8" l="1"/>
  <c r="D39" i="8"/>
  <c r="D33" i="8" l="1"/>
  <c r="E33" i="8"/>
  <c r="AA33" i="8"/>
  <c r="H6" i="8" s="1"/>
  <c r="H7" i="8" s="1"/>
  <c r="M25" i="8"/>
  <c r="N25" i="8" s="1"/>
  <c r="M26" i="8"/>
  <c r="N26" i="8" s="1"/>
  <c r="M24" i="8"/>
  <c r="N24" i="8" s="1"/>
  <c r="F18" i="8" l="1"/>
  <c r="AE18" i="8" s="1"/>
  <c r="F19" i="8"/>
  <c r="AE19" i="8" s="1"/>
  <c r="F20" i="8"/>
  <c r="AE20" i="8" s="1"/>
  <c r="F21" i="8"/>
  <c r="F22" i="8"/>
  <c r="AE22" i="8" s="1"/>
  <c r="F23" i="8"/>
  <c r="AE23" i="8" s="1"/>
  <c r="F31" i="8"/>
  <c r="F17" i="8"/>
  <c r="AE17" i="8" s="1"/>
  <c r="H33" i="8"/>
  <c r="O25" i="8"/>
  <c r="O26" i="8"/>
  <c r="O24" i="8"/>
  <c r="AE31" i="8" l="1"/>
  <c r="D18" i="9"/>
  <c r="AE21" i="8"/>
  <c r="D17" i="9"/>
  <c r="F38" i="8"/>
  <c r="D38" i="8"/>
  <c r="F39" i="8"/>
  <c r="F33" i="8"/>
  <c r="H8" i="8" s="1"/>
  <c r="K17" i="9" l="1"/>
  <c r="M17" i="9" s="1"/>
  <c r="D19" i="9"/>
  <c r="E17" i="9" s="1"/>
  <c r="E18" i="9"/>
  <c r="Q26" i="8"/>
  <c r="Q24" i="8"/>
  <c r="Q25" i="8"/>
  <c r="D44" i="8"/>
  <c r="E38" i="8" s="1"/>
  <c r="G17" i="8"/>
  <c r="G21" i="8"/>
  <c r="G22" i="8"/>
  <c r="G23" i="8"/>
  <c r="G18" i="8"/>
  <c r="G31" i="8"/>
  <c r="G19" i="8"/>
  <c r="G20" i="8"/>
  <c r="E7" i="9" l="1"/>
  <c r="E9" i="9"/>
  <c r="E16" i="9"/>
  <c r="E13" i="9"/>
  <c r="E10" i="9"/>
  <c r="E6" i="9"/>
  <c r="E15" i="9"/>
  <c r="E11" i="9"/>
  <c r="E12" i="9"/>
  <c r="E8" i="9"/>
  <c r="E39" i="8"/>
  <c r="E40" i="8"/>
  <c r="G33" i="8"/>
  <c r="E19" i="9" l="1"/>
  <c r="E44" i="8"/>
  <c r="H9" i="8"/>
  <c r="H10" i="8"/>
  <c r="H11" i="8"/>
  <c r="AF17" i="8"/>
  <c r="AF18" i="8"/>
  <c r="AF19" i="8"/>
  <c r="AF20" i="8"/>
  <c r="AF21" i="8"/>
  <c r="AF22" i="8"/>
  <c r="AF23" i="8"/>
  <c r="P24" i="8"/>
  <c r="R24" i="8"/>
  <c r="S24" i="8"/>
  <c r="AE24" i="8"/>
  <c r="AF24" i="8"/>
  <c r="P25" i="8"/>
  <c r="R25" i="8"/>
  <c r="S25" i="8"/>
  <c r="AE25" i="8"/>
  <c r="AF25" i="8"/>
  <c r="P26" i="8"/>
  <c r="R26" i="8"/>
  <c r="S26" i="8"/>
  <c r="AE26" i="8"/>
  <c r="AF26" i="8"/>
  <c r="W27" i="8"/>
  <c r="X27" i="8"/>
  <c r="Y27" i="8"/>
  <c r="AE27" i="8"/>
  <c r="AF27" i="8"/>
  <c r="W28" i="8"/>
  <c r="X28" i="8"/>
  <c r="Y28" i="8"/>
  <c r="AB29" i="8"/>
  <c r="AC29" i="8"/>
  <c r="AD29" i="8"/>
  <c r="AE29" i="8"/>
  <c r="AF29" i="8"/>
  <c r="AB30" i="8"/>
  <c r="AC30" i="8"/>
  <c r="AD30" i="8"/>
  <c r="AE30" i="8"/>
  <c r="AF30" i="8"/>
  <c r="AF31" i="8"/>
  <c r="Z32" i="8"/>
  <c r="AE32" i="8"/>
  <c r="AF32" i="8"/>
  <c r="R33" i="8"/>
  <c r="S33" i="8"/>
  <c r="Y33" i="8"/>
  <c r="Z33" i="8"/>
  <c r="AC33" i="8"/>
  <c r="AE33" i="8"/>
  <c r="AF33" i="8"/>
  <c r="G38" i="8"/>
  <c r="G39" i="8"/>
  <c r="F40" i="8"/>
  <c r="G40" i="8"/>
  <c r="F41" i="8"/>
  <c r="G41" i="8"/>
  <c r="F42" i="8"/>
  <c r="G42" i="8"/>
  <c r="F43" i="8"/>
  <c r="G43" i="8"/>
  <c r="F44" i="8"/>
  <c r="G44" i="8"/>
  <c r="I6" i="9"/>
  <c r="N6" i="9"/>
  <c r="O6" i="9"/>
  <c r="I7" i="9"/>
  <c r="N7" i="9"/>
  <c r="O7" i="9"/>
  <c r="I8" i="9"/>
  <c r="N8" i="9"/>
  <c r="O8" i="9"/>
  <c r="I9" i="9"/>
  <c r="N9" i="9"/>
  <c r="O9" i="9"/>
  <c r="F10" i="9"/>
  <c r="I10" i="9"/>
  <c r="L10" i="9"/>
  <c r="M10" i="9"/>
  <c r="N10" i="9"/>
  <c r="O10" i="9"/>
  <c r="F11" i="9"/>
  <c r="I11" i="9"/>
  <c r="L11" i="9"/>
  <c r="M11" i="9"/>
  <c r="N11" i="9"/>
  <c r="O11" i="9"/>
  <c r="F12" i="9"/>
  <c r="I12" i="9"/>
  <c r="L12" i="9"/>
  <c r="M12" i="9"/>
  <c r="N12" i="9"/>
  <c r="O12" i="9"/>
  <c r="F13" i="9"/>
  <c r="I13" i="9"/>
  <c r="L13" i="9"/>
  <c r="M13" i="9"/>
  <c r="N13" i="9"/>
  <c r="O13" i="9"/>
  <c r="F14" i="9"/>
  <c r="I14" i="9"/>
  <c r="L14" i="9"/>
  <c r="M14" i="9"/>
  <c r="N14" i="9"/>
  <c r="O14" i="9"/>
  <c r="G15" i="9"/>
  <c r="H15" i="9"/>
  <c r="I15" i="9"/>
  <c r="L15" i="9"/>
  <c r="M15" i="9"/>
  <c r="N15" i="9"/>
  <c r="O15" i="9"/>
  <c r="G16" i="9"/>
  <c r="H16" i="9"/>
  <c r="I16" i="9"/>
  <c r="L16" i="9"/>
  <c r="M16" i="9"/>
  <c r="N16" i="9"/>
  <c r="O16" i="9"/>
  <c r="I17" i="9"/>
  <c r="O17" i="9"/>
  <c r="I18" i="9"/>
  <c r="J18" i="9"/>
  <c r="K18" i="9"/>
  <c r="M18" i="9"/>
  <c r="O18" i="9"/>
  <c r="F19" i="9"/>
  <c r="H19" i="9"/>
  <c r="I19" i="9"/>
  <c r="K19" i="9"/>
  <c r="L19" i="9"/>
  <c r="M19" i="9"/>
  <c r="N19" i="9"/>
  <c r="O19" i="9"/>
</calcChain>
</file>

<file path=xl/sharedStrings.xml><?xml version="1.0" encoding="utf-8"?>
<sst xmlns="http://schemas.openxmlformats.org/spreadsheetml/2006/main" count="104" uniqueCount="86">
  <si>
    <t>Common</t>
  </si>
  <si>
    <t>Shareholder</t>
  </si>
  <si>
    <t>Founder 1</t>
  </si>
  <si>
    <t>Founder 2</t>
  </si>
  <si>
    <t>Founder 3</t>
  </si>
  <si>
    <t>Founder 4</t>
  </si>
  <si>
    <t>Total</t>
  </si>
  <si>
    <t>Employee 1</t>
  </si>
  <si>
    <t>Employee 2</t>
  </si>
  <si>
    <t>Advisor 1</t>
  </si>
  <si>
    <t>Disbursement Date</t>
  </si>
  <si>
    <t>Discount</t>
  </si>
  <si>
    <t>Days</t>
  </si>
  <si>
    <t>Seed</t>
  </si>
  <si>
    <t>Convertible Investor 1</t>
  </si>
  <si>
    <t>Convertible Investor 2</t>
  </si>
  <si>
    <t>Convertible Investor 3</t>
  </si>
  <si>
    <t>Seed Funding Closing Date</t>
  </si>
  <si>
    <t>Pre-Money Valuation</t>
  </si>
  <si>
    <t>Post-Money Valuation</t>
  </si>
  <si>
    <t>Seed Price</t>
  </si>
  <si>
    <t>Seed Investment</t>
  </si>
  <si>
    <t>Please turn on "Iterative Calculations" to ensure that the formulas work correctly.</t>
  </si>
  <si>
    <t>Option Pool</t>
  </si>
  <si>
    <t>Investment</t>
  </si>
  <si>
    <t>Total Shares</t>
  </si>
  <si>
    <t>Seed Investor 1</t>
  </si>
  <si>
    <t>Seed Investor 2</t>
  </si>
  <si>
    <t>Required Seed Round Option Pool Expansion</t>
  </si>
  <si>
    <t>Target Option Pool % of Post Seed Round Fully Diluted Share Capital</t>
  </si>
  <si>
    <t>Cap Table</t>
  </si>
  <si>
    <t>Summary</t>
  </si>
  <si>
    <t>Pre-Seed</t>
  </si>
  <si>
    <t>Fully Diluted</t>
  </si>
  <si>
    <t>FD %</t>
  </si>
  <si>
    <t>Post-Seed</t>
  </si>
  <si>
    <t>FD%</t>
  </si>
  <si>
    <t>Founders</t>
  </si>
  <si>
    <t>Employees and Advisors</t>
  </si>
  <si>
    <t>Convertible Investors</t>
  </si>
  <si>
    <t>Seed Investors</t>
  </si>
  <si>
    <t>TOTAL</t>
  </si>
  <si>
    <t xml:space="preserve">On Windows: File -&gt; Options -&gt; Formulas -&gt; Check "Enable Iterative Calculations". </t>
  </si>
  <si>
    <t>SAFE</t>
  </si>
  <si>
    <t>Fully Diluted Share Capital Before Conversion of Loans and SAFE</t>
  </si>
  <si>
    <t>Pre-investment</t>
  </si>
  <si>
    <t>Post-investment</t>
  </si>
  <si>
    <t>Allocated Option Pool</t>
  </si>
  <si>
    <t>Unallocated Option Pool</t>
  </si>
  <si>
    <t>Pre-investment Option Pool</t>
  </si>
  <si>
    <t>Option Pool Expansion</t>
  </si>
  <si>
    <t>% FD</t>
  </si>
  <si>
    <t>Opt. Pool Expansion</t>
  </si>
  <si>
    <t>% UD</t>
  </si>
  <si>
    <t>Common Shares</t>
  </si>
  <si>
    <t>Common Options</t>
  </si>
  <si>
    <t>Total Common</t>
  </si>
  <si>
    <t>% Common</t>
  </si>
  <si>
    <t>Loan Amount</t>
  </si>
  <si>
    <t>Interest Rate</t>
  </si>
  <si>
    <t>Valuation Cap</t>
  </si>
  <si>
    <t>Interest Accrued</t>
  </si>
  <si>
    <t>Loan + Interest</t>
  </si>
  <si>
    <t>Conv. Price at Disount</t>
  </si>
  <si>
    <t>Conv. Price at Cap</t>
  </si>
  <si>
    <t>Conversion Shares</t>
  </si>
  <si>
    <t>% of Seed</t>
  </si>
  <si>
    <t>Conv. Price at Discount</t>
  </si>
  <si>
    <t>Convertible Loans and their conversion</t>
  </si>
  <si>
    <t>SAFE and its conversion</t>
  </si>
  <si>
    <t>Cash Investment</t>
  </si>
  <si>
    <t>Precise Investment</t>
  </si>
  <si>
    <t>Seed Shares</t>
  </si>
  <si>
    <t>FD Share Capital Before Seed Round (after loan conversion and OP expansion)</t>
  </si>
  <si>
    <t>Pre-money SAFE Investor</t>
  </si>
  <si>
    <t>Post-money SAFE Investor</t>
  </si>
  <si>
    <t>Cells that have a BLUE background are inputs - only enter number into these cells.</t>
  </si>
  <si>
    <t>Cells in BLACK are formulas, and should not be altered.</t>
  </si>
  <si>
    <t>On MacOS: Excel Preferences -&gt; Calculation -&gt; Check "Use Iterative Calculation".</t>
  </si>
  <si>
    <t>The Company's Articles of Association may provide that the minimum nominal value is higher, for example 1 EUR. This may be the case in particular If the company has been incorporated before 1.08.2020, considering that 1 EUR was the default minimum value under law before 1.08.2020.</t>
  </si>
  <si>
    <t>In the latter case, please consult your legal advisor before using this captable.</t>
  </si>
  <si>
    <t>This captable assumes that the minimum nominal value of company's shares is 0.01 EUR which is the default minimum value under law as of 1.08.2020.</t>
  </si>
  <si>
    <t>Seed Preferred Shares</t>
  </si>
  <si>
    <t>Conversion Seed Preferred Shares</t>
  </si>
  <si>
    <t>New Seed Preferred Shares</t>
  </si>
  <si>
    <t xml:space="preserve">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</si>
</sst>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\ [$€-425]"/>
    <numFmt numFmtId="166" formatCode="dd/mm/yyyy;@"/>
    <numFmt numFmtId="167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4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wrapText="1"/>
    </xf>
    <xf numFmtId="10" fontId="0" fillId="2" borderId="0" xfId="0" applyNumberFormat="1" applyFill="1"/>
    <xf numFmtId="0" fontId="0" fillId="0" borderId="0" xfId="0" applyFill="1" applyBorder="1" applyAlignment="1"/>
    <xf numFmtId="0" fontId="1" fillId="2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0" fontId="3" fillId="2" borderId="0" xfId="0" applyFont="1" applyFill="1"/>
    <xf numFmtId="0" fontId="3" fillId="5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3" borderId="9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4" fillId="0" borderId="13" xfId="0" applyFont="1" applyFill="1" applyBorder="1"/>
    <xf numFmtId="164" fontId="4" fillId="5" borderId="2" xfId="1" applyNumberFormat="1" applyFont="1" applyFill="1" applyBorder="1" applyAlignment="1">
      <alignment horizontal="right"/>
    </xf>
    <xf numFmtId="10" fontId="4" fillId="0" borderId="14" xfId="2" applyNumberFormat="1" applyFont="1" applyFill="1" applyBorder="1" applyAlignment="1">
      <alignment horizontal="right"/>
    </xf>
    <xf numFmtId="0" fontId="4" fillId="0" borderId="45" xfId="0" applyFont="1" applyBorder="1" applyAlignment="1">
      <alignment horizontal="center"/>
    </xf>
    <xf numFmtId="10" fontId="4" fillId="0" borderId="1" xfId="0" applyNumberFormat="1" applyFont="1" applyBorder="1" applyAlignment="1">
      <alignment horizontal="right"/>
    </xf>
    <xf numFmtId="0" fontId="4" fillId="0" borderId="48" xfId="0" applyFont="1" applyBorder="1" applyAlignment="1">
      <alignment horizontal="right"/>
    </xf>
    <xf numFmtId="164" fontId="4" fillId="0" borderId="15" xfId="1" applyNumberFormat="1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0" fontId="4" fillId="0" borderId="22" xfId="0" applyNumberFormat="1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4" fillId="0" borderId="45" xfId="0" applyFont="1" applyBorder="1" applyAlignment="1">
      <alignment horizontal="right"/>
    </xf>
    <xf numFmtId="0" fontId="4" fillId="0" borderId="51" xfId="0" applyFont="1" applyFill="1" applyBorder="1"/>
    <xf numFmtId="164" fontId="4" fillId="5" borderId="38" xfId="1" applyNumberFormat="1" applyFont="1" applyFill="1" applyBorder="1" applyAlignment="1">
      <alignment horizontal="right"/>
    </xf>
    <xf numFmtId="10" fontId="4" fillId="0" borderId="39" xfId="2" applyNumberFormat="1" applyFont="1" applyFill="1" applyBorder="1" applyAlignment="1">
      <alignment horizontal="right"/>
    </xf>
    <xf numFmtId="0" fontId="4" fillId="0" borderId="49" xfId="0" applyFont="1" applyBorder="1" applyAlignment="1">
      <alignment horizontal="center"/>
    </xf>
    <xf numFmtId="10" fontId="4" fillId="0" borderId="37" xfId="0" applyNumberFormat="1" applyFont="1" applyBorder="1" applyAlignment="1">
      <alignment horizontal="right"/>
    </xf>
    <xf numFmtId="2" fontId="4" fillId="0" borderId="10" xfId="0" applyNumberFormat="1" applyFont="1" applyBorder="1" applyAlignment="1">
      <alignment horizontal="right"/>
    </xf>
    <xf numFmtId="164" fontId="4" fillId="0" borderId="36" xfId="1" applyNumberFormat="1" applyFont="1" applyBorder="1" applyAlignment="1">
      <alignment horizontal="right"/>
    </xf>
    <xf numFmtId="167" fontId="4" fillId="0" borderId="37" xfId="0" applyNumberFormat="1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10" fontId="4" fillId="0" borderId="50" xfId="0" applyNumberFormat="1" applyFont="1" applyBorder="1" applyAlignment="1">
      <alignment horizontal="right"/>
    </xf>
    <xf numFmtId="0" fontId="5" fillId="2" borderId="0" xfId="0" applyFont="1" applyFill="1"/>
    <xf numFmtId="0" fontId="5" fillId="5" borderId="0" xfId="0" applyFont="1" applyFill="1"/>
    <xf numFmtId="0" fontId="5" fillId="3" borderId="40" xfId="0" applyFont="1" applyFill="1" applyBorder="1"/>
    <xf numFmtId="10" fontId="5" fillId="3" borderId="42" xfId="0" applyNumberFormat="1" applyFont="1" applyFill="1" applyBorder="1" applyAlignment="1">
      <alignment horizontal="center"/>
    </xf>
    <xf numFmtId="165" fontId="5" fillId="3" borderId="40" xfId="0" applyNumberFormat="1" applyFont="1" applyFill="1" applyBorder="1" applyAlignment="1">
      <alignment horizontal="right"/>
    </xf>
    <xf numFmtId="165" fontId="5" fillId="3" borderId="52" xfId="0" applyNumberFormat="1" applyFont="1" applyFill="1" applyBorder="1" applyAlignment="1">
      <alignment horizontal="center"/>
    </xf>
    <xf numFmtId="10" fontId="5" fillId="3" borderId="41" xfId="0" applyNumberFormat="1" applyFont="1" applyFill="1" applyBorder="1" applyAlignment="1">
      <alignment horizontal="right"/>
    </xf>
    <xf numFmtId="0" fontId="5" fillId="3" borderId="53" xfId="0" applyFont="1" applyFill="1" applyBorder="1" applyAlignment="1">
      <alignment horizontal="right"/>
    </xf>
    <xf numFmtId="10" fontId="4" fillId="0" borderId="1" xfId="2" applyNumberFormat="1" applyFont="1" applyBorder="1" applyAlignment="1">
      <alignment horizontal="right"/>
    </xf>
    <xf numFmtId="10" fontId="5" fillId="3" borderId="41" xfId="2" applyNumberFormat="1" applyFont="1" applyFill="1" applyBorder="1" applyAlignment="1">
      <alignment horizontal="center"/>
    </xf>
    <xf numFmtId="164" fontId="5" fillId="3" borderId="40" xfId="1" applyFont="1" applyFill="1" applyBorder="1" applyAlignment="1">
      <alignment horizontal="center"/>
    </xf>
    <xf numFmtId="164" fontId="5" fillId="3" borderId="41" xfId="1" applyFont="1" applyFill="1" applyBorder="1" applyAlignment="1">
      <alignment horizontal="center"/>
    </xf>
    <xf numFmtId="164" fontId="5" fillId="3" borderId="52" xfId="1" applyFont="1" applyFill="1" applyBorder="1" applyAlignment="1">
      <alignment horizontal="right"/>
    </xf>
    <xf numFmtId="164" fontId="5" fillId="3" borderId="41" xfId="1" applyFont="1" applyFill="1" applyBorder="1" applyAlignment="1">
      <alignment horizontal="right"/>
    </xf>
    <xf numFmtId="0" fontId="3" fillId="0" borderId="0" xfId="0" applyFont="1" applyFill="1"/>
    <xf numFmtId="10" fontId="3" fillId="0" borderId="0" xfId="0" applyNumberFormat="1" applyFont="1" applyFill="1"/>
    <xf numFmtId="166" fontId="6" fillId="10" borderId="35" xfId="0" applyNumberFormat="1" applyFont="1" applyFill="1" applyBorder="1"/>
    <xf numFmtId="165" fontId="6" fillId="10" borderId="22" xfId="0" applyNumberFormat="1" applyFont="1" applyFill="1" applyBorder="1"/>
    <xf numFmtId="10" fontId="6" fillId="10" borderId="22" xfId="0" applyNumberFormat="1" applyFont="1" applyFill="1" applyBorder="1"/>
    <xf numFmtId="165" fontId="3" fillId="0" borderId="22" xfId="0" applyNumberFormat="1" applyFont="1" applyFill="1" applyBorder="1"/>
    <xf numFmtId="0" fontId="3" fillId="0" borderId="0" xfId="0" applyFont="1" applyFill="1" applyBorder="1" applyAlignment="1"/>
    <xf numFmtId="165" fontId="3" fillId="0" borderId="18" xfId="0" applyNumberFormat="1" applyFont="1" applyFill="1" applyBorder="1" applyAlignment="1"/>
    <xf numFmtId="0" fontId="3" fillId="6" borderId="28" xfId="0" applyFont="1" applyFill="1" applyBorder="1" applyAlignment="1">
      <alignment horizontal="center"/>
    </xf>
    <xf numFmtId="0" fontId="4" fillId="11" borderId="13" xfId="0" applyFont="1" applyFill="1" applyBorder="1"/>
    <xf numFmtId="0" fontId="4" fillId="11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0" fontId="4" fillId="0" borderId="14" xfId="0" applyNumberFormat="1" applyFont="1" applyFill="1" applyBorder="1" applyAlignment="1">
      <alignment horizontal="center"/>
    </xf>
    <xf numFmtId="165" fontId="4" fillId="11" borderId="15" xfId="0" applyNumberFormat="1" applyFont="1" applyFill="1" applyBorder="1" applyAlignment="1">
      <alignment horizontal="center"/>
    </xf>
    <xf numFmtId="166" fontId="4" fillId="11" borderId="1" xfId="0" applyNumberFormat="1" applyFont="1" applyFill="1" applyBorder="1" applyAlignment="1">
      <alignment horizontal="center"/>
    </xf>
    <xf numFmtId="10" fontId="4" fillId="11" borderId="1" xfId="0" applyNumberFormat="1" applyFont="1" applyFill="1" applyBorder="1" applyAlignment="1">
      <alignment horizontal="center"/>
    </xf>
    <xf numFmtId="165" fontId="4" fillId="11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65" fontId="4" fillId="11" borderId="13" xfId="0" applyNumberFormat="1" applyFont="1" applyFill="1" applyBorder="1" applyAlignment="1">
      <alignment horizontal="center"/>
    </xf>
    <xf numFmtId="10" fontId="4" fillId="11" borderId="2" xfId="0" applyNumberFormat="1" applyFont="1" applyFill="1" applyBorder="1" applyAlignment="1">
      <alignment horizontal="center"/>
    </xf>
    <xf numFmtId="165" fontId="4" fillId="11" borderId="2" xfId="0" applyNumberFormat="1" applyFont="1" applyFill="1" applyBorder="1" applyAlignment="1">
      <alignment horizontal="center"/>
    </xf>
    <xf numFmtId="165" fontId="3" fillId="0" borderId="44" xfId="0" applyNumberFormat="1" applyFont="1" applyBorder="1" applyAlignment="1">
      <alignment horizontal="center"/>
    </xf>
    <xf numFmtId="0" fontId="3" fillId="0" borderId="44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0" fontId="4" fillId="11" borderId="15" xfId="0" applyFont="1" applyFill="1" applyBorder="1"/>
    <xf numFmtId="165" fontId="3" fillId="0" borderId="5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5" xfId="0" applyFont="1" applyFill="1" applyBorder="1"/>
    <xf numFmtId="2" fontId="4" fillId="0" borderId="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wrapText="1"/>
    </xf>
    <xf numFmtId="0" fontId="4" fillId="11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10" fontId="4" fillId="0" borderId="39" xfId="0" applyNumberFormat="1" applyFont="1" applyFill="1" applyBorder="1" applyAlignment="1">
      <alignment horizontal="center"/>
    </xf>
    <xf numFmtId="165" fontId="4" fillId="11" borderId="36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10" fontId="3" fillId="0" borderId="43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0" fontId="5" fillId="3" borderId="16" xfId="0" applyFont="1" applyFill="1" applyBorder="1"/>
    <xf numFmtId="0" fontId="5" fillId="3" borderId="17" xfId="0" applyFont="1" applyFill="1" applyBorder="1" applyAlignment="1">
      <alignment horizontal="center"/>
    </xf>
    <xf numFmtId="2" fontId="5" fillId="3" borderId="17" xfId="0" applyNumberFormat="1" applyFont="1" applyFill="1" applyBorder="1" applyAlignment="1">
      <alignment horizontal="center"/>
    </xf>
    <xf numFmtId="10" fontId="5" fillId="3" borderId="18" xfId="0" applyNumberFormat="1" applyFont="1" applyFill="1" applyBorder="1" applyAlignment="1">
      <alignment horizontal="center"/>
    </xf>
    <xf numFmtId="165" fontId="5" fillId="4" borderId="16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2" fontId="5" fillId="4" borderId="17" xfId="0" applyNumberFormat="1" applyFont="1" applyFill="1" applyBorder="1" applyAlignment="1">
      <alignment horizontal="center"/>
    </xf>
    <xf numFmtId="10" fontId="5" fillId="4" borderId="23" xfId="0" applyNumberFormat="1" applyFont="1" applyFill="1" applyBorder="1" applyAlignment="1">
      <alignment horizontal="center"/>
    </xf>
    <xf numFmtId="10" fontId="5" fillId="9" borderId="16" xfId="0" applyNumberFormat="1" applyFont="1" applyFill="1" applyBorder="1" applyAlignment="1">
      <alignment horizontal="center"/>
    </xf>
    <xf numFmtId="10" fontId="5" fillId="9" borderId="17" xfId="0" applyNumberFormat="1" applyFont="1" applyFill="1" applyBorder="1" applyAlignment="1">
      <alignment horizontal="center"/>
    </xf>
    <xf numFmtId="10" fontId="5" fillId="9" borderId="23" xfId="0" applyNumberFormat="1" applyFont="1" applyFill="1" applyBorder="1" applyAlignment="1">
      <alignment horizontal="center"/>
    </xf>
    <xf numFmtId="2" fontId="5" fillId="9" borderId="23" xfId="0" applyNumberFormat="1" applyFont="1" applyFill="1" applyBorder="1" applyAlignment="1">
      <alignment horizontal="center"/>
    </xf>
    <xf numFmtId="2" fontId="5" fillId="6" borderId="32" xfId="0" applyNumberFormat="1" applyFont="1" applyFill="1" applyBorder="1" applyAlignment="1">
      <alignment horizontal="center"/>
    </xf>
    <xf numFmtId="165" fontId="5" fillId="7" borderId="16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2" fontId="5" fillId="7" borderId="17" xfId="0" applyNumberFormat="1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10" fontId="5" fillId="8" borderId="18" xfId="0" applyNumberFormat="1" applyFont="1" applyFill="1" applyBorder="1" applyAlignment="1">
      <alignment horizontal="center"/>
    </xf>
    <xf numFmtId="0" fontId="3" fillId="0" borderId="0" xfId="0" applyFont="1"/>
    <xf numFmtId="10" fontId="3" fillId="0" borderId="0" xfId="0" applyNumberFormat="1" applyFont="1"/>
    <xf numFmtId="0" fontId="3" fillId="8" borderId="33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0" fontId="3" fillId="7" borderId="22" xfId="0" applyNumberFormat="1" applyFont="1" applyFill="1" applyBorder="1" applyAlignment="1">
      <alignment horizontal="center"/>
    </xf>
    <xf numFmtId="0" fontId="3" fillId="0" borderId="15" xfId="0" applyFont="1" applyBorder="1"/>
    <xf numFmtId="0" fontId="3" fillId="0" borderId="1" xfId="0" applyFont="1" applyBorder="1"/>
    <xf numFmtId="10" fontId="3" fillId="0" borderId="1" xfId="0" applyNumberFormat="1" applyFont="1" applyBorder="1"/>
    <xf numFmtId="10" fontId="3" fillId="0" borderId="22" xfId="0" applyNumberFormat="1" applyFont="1" applyBorder="1"/>
    <xf numFmtId="2" fontId="3" fillId="0" borderId="0" xfId="0" applyNumberFormat="1" applyFont="1"/>
    <xf numFmtId="0" fontId="3" fillId="0" borderId="36" xfId="0" applyFont="1" applyBorder="1"/>
    <xf numFmtId="0" fontId="3" fillId="0" borderId="37" xfId="0" applyFont="1" applyBorder="1"/>
    <xf numFmtId="10" fontId="3" fillId="0" borderId="37" xfId="0" applyNumberFormat="1" applyFont="1" applyBorder="1"/>
    <xf numFmtId="164" fontId="3" fillId="0" borderId="1" xfId="1" applyFont="1" applyBorder="1"/>
    <xf numFmtId="164" fontId="3" fillId="0" borderId="0" xfId="1" applyFont="1"/>
    <xf numFmtId="0" fontId="3" fillId="0" borderId="40" xfId="0" applyFont="1" applyBorder="1" applyAlignment="1">
      <alignment horizontal="center"/>
    </xf>
    <xf numFmtId="10" fontId="3" fillId="0" borderId="41" xfId="0" applyNumberFormat="1" applyFont="1" applyBorder="1"/>
    <xf numFmtId="164" fontId="3" fillId="0" borderId="41" xfId="1" applyFont="1" applyBorder="1"/>
    <xf numFmtId="10" fontId="3" fillId="0" borderId="42" xfId="0" applyNumberFormat="1" applyFont="1" applyBorder="1"/>
    <xf numFmtId="164" fontId="3" fillId="0" borderId="15" xfId="1" applyFont="1" applyBorder="1" applyAlignment="1">
      <alignment horizontal="center"/>
    </xf>
    <xf numFmtId="164" fontId="5" fillId="8" borderId="26" xfId="1" applyFont="1" applyFill="1" applyBorder="1" applyAlignment="1">
      <alignment horizontal="center"/>
    </xf>
    <xf numFmtId="164" fontId="3" fillId="0" borderId="22" xfId="1" applyFont="1" applyFill="1" applyBorder="1"/>
    <xf numFmtId="164" fontId="3" fillId="0" borderId="22" xfId="1" applyFont="1" applyFill="1" applyBorder="1" applyAlignment="1"/>
    <xf numFmtId="165" fontId="3" fillId="0" borderId="0" xfId="0" applyNumberFormat="1" applyFont="1"/>
    <xf numFmtId="164" fontId="4" fillId="11" borderId="2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0" fontId="3" fillId="0" borderId="0" xfId="2" applyNumberFormat="1" applyFont="1"/>
    <xf numFmtId="0" fontId="4" fillId="11" borderId="0" xfId="0" applyFont="1" applyFill="1"/>
    <xf numFmtId="0" fontId="7" fillId="5" borderId="0" xfId="0" applyFont="1" applyFill="1"/>
    <xf numFmtId="0" fontId="8" fillId="11" borderId="0" xfId="0" applyFont="1" applyFill="1"/>
    <xf numFmtId="0" fontId="7" fillId="5" borderId="0" xfId="0" applyFont="1" applyFill="1" applyAlignment="1"/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wrapText="1"/>
    </xf>
    <xf numFmtId="0" fontId="3" fillId="6" borderId="54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0" fontId="3" fillId="3" borderId="10" xfId="0" applyNumberFormat="1" applyFont="1" applyFill="1" applyBorder="1" applyAlignment="1">
      <alignment horizontal="center" wrapText="1"/>
    </xf>
    <xf numFmtId="10" fontId="3" fillId="3" borderId="12" xfId="0" applyNumberFormat="1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left"/>
    </xf>
    <xf numFmtId="0" fontId="3" fillId="0" borderId="34" xfId="0" applyFont="1" applyFill="1" applyBorder="1" applyAlignment="1">
      <alignment horizontal="left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0" fontId="3" fillId="3" borderId="10" xfId="0" applyNumberFormat="1" applyFont="1" applyFill="1" applyBorder="1" applyAlignment="1">
      <alignment horizontal="center" vertical="center" wrapText="1"/>
    </xf>
    <xf numFmtId="10" fontId="3" fillId="3" borderId="12" xfId="0" applyNumberFormat="1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7FFFF"/>
      <color rgb="FFF70000"/>
      <color rgb="FFE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6F2-CC40-435A-AF3A-DD0018E82466}">
  <sheetPr codeName="Sheet1"/>
  <dimension ref="A1:S11"/>
  <sheetViews>
    <sheetView zoomScale="140" zoomScaleNormal="140" workbookViewId="0">
      <selection activeCell="C11" sqref="C11"/>
    </sheetView>
  </sheetViews>
  <sheetFormatPr baseColWidth="10" defaultColWidth="8.6640625" defaultRowHeight="15" x14ac:dyDescent="0.2"/>
  <cols>
    <col min="1" max="1" width="0.83203125" style="1" customWidth="1"/>
    <col min="2" max="2" width="0.83203125" style="5" customWidth="1"/>
    <col min="3" max="10" width="8.6640625" style="5"/>
    <col min="11" max="11" width="9.33203125" style="5" customWidth="1"/>
    <col min="12" max="12" width="14.5" style="5" customWidth="1"/>
    <col min="13" max="16384" width="8.6640625" style="5"/>
  </cols>
  <sheetData>
    <row r="1" spans="3:19" s="1" customFormat="1" ht="4.5" customHeight="1" x14ac:dyDescent="0.2"/>
    <row r="2" spans="3:19" x14ac:dyDescent="0.2">
      <c r="C2" s="23"/>
      <c r="D2" s="23"/>
      <c r="E2" s="23"/>
      <c r="F2" s="23"/>
      <c r="G2" s="23"/>
      <c r="H2" s="23"/>
      <c r="I2" s="23"/>
    </row>
    <row r="3" spans="3:19" x14ac:dyDescent="0.2">
      <c r="C3" s="157" t="s">
        <v>76</v>
      </c>
      <c r="D3" s="155"/>
      <c r="E3" s="155"/>
      <c r="F3" s="155"/>
      <c r="G3" s="155"/>
      <c r="H3" s="155"/>
      <c r="I3" s="155"/>
      <c r="J3" s="155"/>
      <c r="K3" s="23"/>
      <c r="L3" s="23"/>
      <c r="M3" s="23"/>
      <c r="N3" s="23"/>
      <c r="O3" s="23"/>
      <c r="P3" s="23"/>
      <c r="Q3" s="23"/>
      <c r="R3" s="23"/>
      <c r="S3" s="23"/>
    </row>
    <row r="4" spans="3:19" x14ac:dyDescent="0.2">
      <c r="C4" s="156" t="s">
        <v>77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3:19" x14ac:dyDescent="0.2">
      <c r="C5" s="158" t="s">
        <v>22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3:19" x14ac:dyDescent="0.2">
      <c r="C6" s="156" t="s">
        <v>42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3:19" x14ac:dyDescent="0.2">
      <c r="C7" s="156" t="s">
        <v>78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3:19" x14ac:dyDescent="0.2">
      <c r="C8" s="156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3:19" x14ac:dyDescent="0.2">
      <c r="C9" s="156" t="s">
        <v>81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3:19" x14ac:dyDescent="0.2">
      <c r="C10" s="156" t="s">
        <v>79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3:19" x14ac:dyDescent="0.2">
      <c r="C11" s="156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B9CB-BDD7-40A1-A6DB-E08BD9CE594A}">
  <sheetPr codeName="Sheet3">
    <pageSetUpPr autoPageBreaks="0"/>
  </sheetPr>
  <dimension ref="A1:AF44"/>
  <sheetViews>
    <sheetView topLeftCell="A22" zoomScale="120" zoomScaleNormal="120" workbookViewId="0">
      <selection activeCell="H10" sqref="H10"/>
    </sheetView>
  </sheetViews>
  <sheetFormatPr baseColWidth="10" defaultColWidth="8.83203125" defaultRowHeight="15" x14ac:dyDescent="0.2"/>
  <cols>
    <col min="1" max="1" width="0.83203125" style="1" customWidth="1"/>
    <col min="2" max="2" width="0.83203125" style="5" customWidth="1"/>
    <col min="3" max="3" width="20.1640625" bestFit="1" customWidth="1"/>
    <col min="4" max="4" width="9.6640625" bestFit="1" customWidth="1"/>
    <col min="5" max="5" width="8.33203125" bestFit="1" customWidth="1"/>
    <col min="6" max="6" width="9.6640625" bestFit="1" customWidth="1"/>
    <col min="7" max="7" width="8.33203125" style="4" bestFit="1" customWidth="1"/>
    <col min="8" max="8" width="12.6640625" bestFit="1" customWidth="1"/>
    <col min="9" max="9" width="11.6640625" customWidth="1"/>
    <col min="10" max="11" width="7.6640625" customWidth="1"/>
    <col min="12" max="12" width="13.33203125" customWidth="1"/>
    <col min="13" max="13" width="7.33203125" customWidth="1"/>
    <col min="14" max="14" width="9.5" customWidth="1"/>
    <col min="15" max="15" width="12.6640625" bestFit="1" customWidth="1"/>
    <col min="16" max="16" width="10.1640625" customWidth="1"/>
    <col min="17" max="17" width="10.33203125" customWidth="1"/>
    <col min="18" max="18" width="9.6640625" customWidth="1"/>
    <col min="19" max="19" width="9" bestFit="1" customWidth="1"/>
    <col min="20" max="20" width="11.33203125" bestFit="1" customWidth="1"/>
    <col min="21" max="21" width="7.1640625" bestFit="1" customWidth="1"/>
    <col min="22" max="22" width="12.6640625" bestFit="1" customWidth="1"/>
    <col min="23" max="23" width="11.83203125" customWidth="1"/>
    <col min="24" max="24" width="10.5" customWidth="1"/>
    <col min="25" max="25" width="9" customWidth="1"/>
    <col min="26" max="26" width="10.33203125" customWidth="1"/>
    <col min="27" max="27" width="14.5" bestFit="1" customWidth="1"/>
    <col min="28" max="28" width="16.1640625" bestFit="1" customWidth="1"/>
    <col min="29" max="29" width="10" bestFit="1" customWidth="1"/>
    <col min="30" max="30" width="7.6640625" customWidth="1"/>
    <col min="31" max="31" width="9.33203125" bestFit="1" customWidth="1"/>
  </cols>
  <sheetData>
    <row r="1" spans="1:32" s="1" customFormat="1" ht="4.5" customHeight="1" x14ac:dyDescent="0.2">
      <c r="G1" s="8"/>
    </row>
    <row r="2" spans="1:32" s="6" customFormat="1" ht="14.5" customHeight="1" thickBot="1" x14ac:dyDescent="0.25">
      <c r="A2" s="1"/>
      <c r="B2" s="5"/>
      <c r="C2" s="65"/>
      <c r="D2" s="65"/>
      <c r="E2" s="65"/>
      <c r="F2" s="65"/>
      <c r="G2" s="66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s="6" customFormat="1" ht="14.5" customHeight="1" x14ac:dyDescent="0.2">
      <c r="A3" s="1"/>
      <c r="B3" s="5"/>
      <c r="C3" s="192" t="s">
        <v>17</v>
      </c>
      <c r="D3" s="193"/>
      <c r="E3" s="193"/>
      <c r="F3" s="193"/>
      <c r="G3" s="193"/>
      <c r="H3" s="67">
        <v>44075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</row>
    <row r="4" spans="1:32" s="6" customFormat="1" ht="14.5" customHeight="1" x14ac:dyDescent="0.2">
      <c r="A4" s="1"/>
      <c r="B4" s="5"/>
      <c r="C4" s="201" t="s">
        <v>18</v>
      </c>
      <c r="D4" s="202"/>
      <c r="E4" s="202"/>
      <c r="F4" s="202"/>
      <c r="G4" s="202"/>
      <c r="H4" s="68">
        <v>4000000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</row>
    <row r="5" spans="1:32" s="6" customFormat="1" ht="14.5" customHeight="1" x14ac:dyDescent="0.2">
      <c r="A5" s="1"/>
      <c r="B5" s="5"/>
      <c r="C5" s="201" t="s">
        <v>29</v>
      </c>
      <c r="D5" s="202"/>
      <c r="E5" s="202"/>
      <c r="F5" s="202"/>
      <c r="G5" s="202"/>
      <c r="H5" s="69">
        <v>0.1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s="6" customFormat="1" ht="14.5" customHeight="1" x14ac:dyDescent="0.2">
      <c r="A6" s="1"/>
      <c r="B6" s="5"/>
      <c r="C6" s="201" t="s">
        <v>21</v>
      </c>
      <c r="D6" s="202"/>
      <c r="E6" s="202"/>
      <c r="F6" s="202"/>
      <c r="G6" s="202"/>
      <c r="H6" s="70">
        <f>AA33</f>
        <v>1000000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 s="6" customFormat="1" ht="14.5" customHeight="1" x14ac:dyDescent="0.2">
      <c r="A7" s="1"/>
      <c r="B7" s="5"/>
      <c r="C7" s="201" t="s">
        <v>19</v>
      </c>
      <c r="D7" s="202"/>
      <c r="E7" s="202"/>
      <c r="F7" s="202"/>
      <c r="G7" s="202"/>
      <c r="H7" s="70">
        <f>H4+H6</f>
        <v>5000000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</row>
    <row r="8" spans="1:32" s="6" customFormat="1" ht="14.5" customHeight="1" x14ac:dyDescent="0.2">
      <c r="A8" s="1"/>
      <c r="B8" s="5"/>
      <c r="C8" s="201" t="s">
        <v>44</v>
      </c>
      <c r="D8" s="202"/>
      <c r="E8" s="202"/>
      <c r="F8" s="202"/>
      <c r="G8" s="202"/>
      <c r="H8" s="149">
        <f>F33</f>
        <v>2777.78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</row>
    <row r="9" spans="1:32" s="6" customFormat="1" ht="14.5" customHeight="1" x14ac:dyDescent="0.2">
      <c r="A9" s="1"/>
      <c r="B9" s="5"/>
      <c r="C9" s="201" t="s">
        <v>28</v>
      </c>
      <c r="D9" s="202"/>
      <c r="E9" s="202"/>
      <c r="F9" s="202"/>
      <c r="G9" s="202"/>
      <c r="H9" s="150">
        <f ca="1">IFERROR(H5*H7/H11-F31,0)</f>
        <v>339.61686953174575</v>
      </c>
      <c r="I9" s="71"/>
      <c r="J9" s="71"/>
      <c r="K9" s="71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 s="6" customFormat="1" ht="14.5" customHeight="1" x14ac:dyDescent="0.2">
      <c r="A10" s="1"/>
      <c r="B10" s="5"/>
      <c r="C10" s="201" t="s">
        <v>73</v>
      </c>
      <c r="D10" s="202"/>
      <c r="E10" s="202"/>
      <c r="F10" s="202"/>
      <c r="G10" s="202"/>
      <c r="H10" s="150">
        <f ca="1">F33+R33+Y33+Z33</f>
        <v>4161.3468695317461</v>
      </c>
      <c r="I10" s="71"/>
      <c r="J10" s="71"/>
      <c r="K10" s="71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</row>
    <row r="11" spans="1:32" s="6" customFormat="1" ht="14.5" customHeight="1" thickBot="1" x14ac:dyDescent="0.25">
      <c r="A11" s="1"/>
      <c r="B11" s="5"/>
      <c r="C11" s="199" t="s">
        <v>20</v>
      </c>
      <c r="D11" s="200"/>
      <c r="E11" s="200"/>
      <c r="F11" s="200"/>
      <c r="G11" s="200"/>
      <c r="H11" s="72">
        <f ca="1">ROUND(H4/H10,2)</f>
        <v>961.23</v>
      </c>
      <c r="I11" s="71"/>
      <c r="J11" s="71"/>
      <c r="K11" s="71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</row>
    <row r="12" spans="1:32" s="6" customFormat="1" ht="14.5" customHeight="1" x14ac:dyDescent="0.2">
      <c r="A12" s="1"/>
      <c r="B12" s="5"/>
      <c r="C12" s="71"/>
      <c r="D12" s="71"/>
      <c r="E12" s="71"/>
      <c r="F12" s="71"/>
      <c r="G12" s="71"/>
      <c r="H12" s="71"/>
      <c r="I12" s="71"/>
      <c r="J12" s="71"/>
      <c r="K12" s="71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 s="6" customFormat="1" ht="14.5" customHeight="1" thickBot="1" x14ac:dyDescent="0.25">
      <c r="A13" s="1"/>
      <c r="B13" s="5"/>
      <c r="C13" s="65"/>
      <c r="D13" s="65"/>
      <c r="E13" s="65"/>
      <c r="F13" s="65"/>
      <c r="G13" s="66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</row>
    <row r="14" spans="1:32" x14ac:dyDescent="0.2">
      <c r="C14" s="203" t="s">
        <v>0</v>
      </c>
      <c r="D14" s="204"/>
      <c r="E14" s="204"/>
      <c r="F14" s="204"/>
      <c r="G14" s="205"/>
      <c r="H14" s="206" t="s">
        <v>68</v>
      </c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8" t="s">
        <v>69</v>
      </c>
      <c r="U14" s="209"/>
      <c r="V14" s="209"/>
      <c r="W14" s="209"/>
      <c r="X14" s="209"/>
      <c r="Y14" s="209"/>
      <c r="Z14" s="73" t="s">
        <v>13</v>
      </c>
      <c r="AA14" s="194" t="s">
        <v>13</v>
      </c>
      <c r="AB14" s="195"/>
      <c r="AC14" s="195"/>
      <c r="AD14" s="196"/>
      <c r="AE14" s="197" t="s">
        <v>25</v>
      </c>
      <c r="AF14" s="198"/>
    </row>
    <row r="15" spans="1:32" s="2" customFormat="1" ht="14.5" customHeight="1" x14ac:dyDescent="0.2">
      <c r="A15" s="3"/>
      <c r="B15" s="7"/>
      <c r="C15" s="26" t="s">
        <v>1</v>
      </c>
      <c r="D15" s="183" t="s">
        <v>54</v>
      </c>
      <c r="E15" s="183" t="s">
        <v>55</v>
      </c>
      <c r="F15" s="183" t="s">
        <v>56</v>
      </c>
      <c r="G15" s="185" t="s">
        <v>57</v>
      </c>
      <c r="H15" s="187" t="s">
        <v>58</v>
      </c>
      <c r="I15" s="181" t="s">
        <v>10</v>
      </c>
      <c r="J15" s="181" t="s">
        <v>59</v>
      </c>
      <c r="K15" s="181" t="s">
        <v>11</v>
      </c>
      <c r="L15" s="181" t="s">
        <v>60</v>
      </c>
      <c r="M15" s="181" t="s">
        <v>12</v>
      </c>
      <c r="N15" s="181" t="s">
        <v>61</v>
      </c>
      <c r="O15" s="181" t="s">
        <v>62</v>
      </c>
      <c r="P15" s="181" t="s">
        <v>63</v>
      </c>
      <c r="Q15" s="181" t="s">
        <v>64</v>
      </c>
      <c r="R15" s="181" t="s">
        <v>65</v>
      </c>
      <c r="S15" s="177" t="s">
        <v>66</v>
      </c>
      <c r="T15" s="179" t="s">
        <v>24</v>
      </c>
      <c r="U15" s="169" t="s">
        <v>11</v>
      </c>
      <c r="V15" s="169" t="s">
        <v>60</v>
      </c>
      <c r="W15" s="169" t="s">
        <v>67</v>
      </c>
      <c r="X15" s="169" t="s">
        <v>64</v>
      </c>
      <c r="Y15" s="171" t="s">
        <v>65</v>
      </c>
      <c r="Z15" s="173" t="s">
        <v>50</v>
      </c>
      <c r="AA15" s="175" t="s">
        <v>70</v>
      </c>
      <c r="AB15" s="161" t="s">
        <v>71</v>
      </c>
      <c r="AC15" s="161" t="s">
        <v>72</v>
      </c>
      <c r="AD15" s="163" t="s">
        <v>66</v>
      </c>
      <c r="AE15" s="167" t="s">
        <v>6</v>
      </c>
      <c r="AF15" s="165" t="s">
        <v>51</v>
      </c>
    </row>
    <row r="16" spans="1:32" s="2" customFormat="1" ht="14.5" customHeight="1" x14ac:dyDescent="0.2">
      <c r="A16" s="3"/>
      <c r="B16" s="7"/>
      <c r="C16" s="27"/>
      <c r="D16" s="184"/>
      <c r="E16" s="184"/>
      <c r="F16" s="184"/>
      <c r="G16" s="186"/>
      <c r="H16" s="188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78"/>
      <c r="T16" s="180"/>
      <c r="U16" s="170"/>
      <c r="V16" s="170"/>
      <c r="W16" s="170"/>
      <c r="X16" s="170"/>
      <c r="Y16" s="172"/>
      <c r="Z16" s="174"/>
      <c r="AA16" s="176"/>
      <c r="AB16" s="162"/>
      <c r="AC16" s="162"/>
      <c r="AD16" s="164"/>
      <c r="AE16" s="168"/>
      <c r="AF16" s="166"/>
    </row>
    <row r="17" spans="3:32" x14ac:dyDescent="0.2">
      <c r="C17" s="74" t="s">
        <v>2</v>
      </c>
      <c r="D17" s="152">
        <v>1000</v>
      </c>
      <c r="E17" s="75"/>
      <c r="F17" s="153">
        <f>SUM(D17:E17)</f>
        <v>1000</v>
      </c>
      <c r="G17" s="77">
        <f t="shared" ref="G17:G23" si="0">IFERROR(F17/$F$33,0)</f>
        <v>0.3599997120002304</v>
      </c>
      <c r="H17" s="78"/>
      <c r="I17" s="79"/>
      <c r="J17" s="80"/>
      <c r="K17" s="80"/>
      <c r="L17" s="81"/>
      <c r="M17" s="82"/>
      <c r="N17" s="39"/>
      <c r="O17" s="39"/>
      <c r="P17" s="82"/>
      <c r="Q17" s="82"/>
      <c r="R17" s="82"/>
      <c r="S17" s="83"/>
      <c r="T17" s="84"/>
      <c r="U17" s="85"/>
      <c r="V17" s="86"/>
      <c r="W17" s="87"/>
      <c r="X17" s="87"/>
      <c r="Y17" s="88"/>
      <c r="Z17" s="89"/>
      <c r="AA17" s="78"/>
      <c r="AB17" s="39"/>
      <c r="AC17" s="82"/>
      <c r="AD17" s="90"/>
      <c r="AE17" s="147">
        <f t="shared" ref="AE17:AE31" si="1">F17+R17++Y17+AC17</f>
        <v>1000</v>
      </c>
      <c r="AF17" s="90">
        <f t="shared" ref="AF17:AF27" ca="1" si="2">AE17/$AE$33</f>
        <v>0.20111065897295535</v>
      </c>
    </row>
    <row r="18" spans="3:32" x14ac:dyDescent="0.2">
      <c r="C18" s="91" t="s">
        <v>3</v>
      </c>
      <c r="D18" s="152">
        <v>650</v>
      </c>
      <c r="E18" s="75"/>
      <c r="F18" s="153">
        <f t="shared" ref="F18:F31" si="3">SUM(D18:E18)</f>
        <v>650</v>
      </c>
      <c r="G18" s="77">
        <f t="shared" si="0"/>
        <v>0.23399981280014975</v>
      </c>
      <c r="H18" s="78"/>
      <c r="I18" s="79"/>
      <c r="J18" s="80"/>
      <c r="K18" s="80"/>
      <c r="L18" s="81"/>
      <c r="M18" s="82"/>
      <c r="N18" s="39"/>
      <c r="O18" s="39"/>
      <c r="P18" s="82"/>
      <c r="Q18" s="82"/>
      <c r="R18" s="82"/>
      <c r="S18" s="83"/>
      <c r="T18" s="78"/>
      <c r="U18" s="80"/>
      <c r="V18" s="81"/>
      <c r="W18" s="92"/>
      <c r="X18" s="92"/>
      <c r="Y18" s="93"/>
      <c r="Z18" s="89"/>
      <c r="AA18" s="78"/>
      <c r="AB18" s="39"/>
      <c r="AC18" s="82"/>
      <c r="AD18" s="90"/>
      <c r="AE18" s="147">
        <f t="shared" si="1"/>
        <v>650</v>
      </c>
      <c r="AF18" s="90">
        <f t="shared" ca="1" si="2"/>
        <v>0.13072192833242097</v>
      </c>
    </row>
    <row r="19" spans="3:32" x14ac:dyDescent="0.2">
      <c r="C19" s="91" t="s">
        <v>4</v>
      </c>
      <c r="D19" s="152">
        <v>650</v>
      </c>
      <c r="E19" s="75"/>
      <c r="F19" s="153">
        <f t="shared" si="3"/>
        <v>650</v>
      </c>
      <c r="G19" s="77">
        <f t="shared" si="0"/>
        <v>0.23399981280014975</v>
      </c>
      <c r="H19" s="78"/>
      <c r="I19" s="79"/>
      <c r="J19" s="80"/>
      <c r="K19" s="80"/>
      <c r="L19" s="81"/>
      <c r="M19" s="82"/>
      <c r="N19" s="39"/>
      <c r="O19" s="39"/>
      <c r="P19" s="82"/>
      <c r="Q19" s="82"/>
      <c r="R19" s="82"/>
      <c r="S19" s="83"/>
      <c r="T19" s="78"/>
      <c r="U19" s="80"/>
      <c r="V19" s="81"/>
      <c r="W19" s="92"/>
      <c r="X19" s="92"/>
      <c r="Y19" s="93"/>
      <c r="Z19" s="89"/>
      <c r="AA19" s="78"/>
      <c r="AB19" s="39"/>
      <c r="AC19" s="82"/>
      <c r="AD19" s="90"/>
      <c r="AE19" s="147">
        <f t="shared" si="1"/>
        <v>650</v>
      </c>
      <c r="AF19" s="90">
        <f t="shared" ca="1" si="2"/>
        <v>0.13072192833242097</v>
      </c>
    </row>
    <row r="20" spans="3:32" x14ac:dyDescent="0.2">
      <c r="C20" s="91" t="s">
        <v>5</v>
      </c>
      <c r="D20" s="152">
        <v>200</v>
      </c>
      <c r="E20" s="75"/>
      <c r="F20" s="153">
        <f t="shared" si="3"/>
        <v>200</v>
      </c>
      <c r="G20" s="77">
        <f t="shared" si="0"/>
        <v>7.1999942400046077E-2</v>
      </c>
      <c r="H20" s="78"/>
      <c r="I20" s="79"/>
      <c r="J20" s="80"/>
      <c r="K20" s="80"/>
      <c r="L20" s="81"/>
      <c r="M20" s="82"/>
      <c r="N20" s="39"/>
      <c r="O20" s="39"/>
      <c r="P20" s="82"/>
      <c r="Q20" s="82"/>
      <c r="R20" s="82"/>
      <c r="S20" s="83"/>
      <c r="T20" s="78"/>
      <c r="U20" s="80"/>
      <c r="V20" s="81"/>
      <c r="W20" s="92"/>
      <c r="X20" s="92"/>
      <c r="Y20" s="93"/>
      <c r="Z20" s="89"/>
      <c r="AA20" s="78"/>
      <c r="AB20" s="39"/>
      <c r="AC20" s="82"/>
      <c r="AD20" s="90"/>
      <c r="AE20" s="147">
        <f t="shared" si="1"/>
        <v>200</v>
      </c>
      <c r="AF20" s="90">
        <f t="shared" ca="1" si="2"/>
        <v>4.0222131794591068E-2</v>
      </c>
    </row>
    <row r="21" spans="3:32" x14ac:dyDescent="0.2">
      <c r="C21" s="91" t="s">
        <v>7</v>
      </c>
      <c r="D21" s="75"/>
      <c r="E21" s="75">
        <v>55.56</v>
      </c>
      <c r="F21" s="76">
        <f t="shared" si="3"/>
        <v>55.56</v>
      </c>
      <c r="G21" s="77">
        <f t="shared" si="0"/>
        <v>2.0001583998732801E-2</v>
      </c>
      <c r="H21" s="78"/>
      <c r="I21" s="79"/>
      <c r="J21" s="80"/>
      <c r="K21" s="80"/>
      <c r="L21" s="81"/>
      <c r="M21" s="82"/>
      <c r="N21" s="39"/>
      <c r="O21" s="39"/>
      <c r="P21" s="82"/>
      <c r="Q21" s="82"/>
      <c r="R21" s="82"/>
      <c r="S21" s="83"/>
      <c r="T21" s="78"/>
      <c r="U21" s="80"/>
      <c r="V21" s="81"/>
      <c r="W21" s="92"/>
      <c r="X21" s="92"/>
      <c r="Y21" s="93"/>
      <c r="Z21" s="89"/>
      <c r="AA21" s="78"/>
      <c r="AB21" s="39"/>
      <c r="AC21" s="82"/>
      <c r="AD21" s="90"/>
      <c r="AE21" s="147">
        <f t="shared" si="1"/>
        <v>55.56</v>
      </c>
      <c r="AF21" s="90">
        <f t="shared" ca="1" si="2"/>
        <v>1.11737082125374E-2</v>
      </c>
    </row>
    <row r="22" spans="3:32" x14ac:dyDescent="0.2">
      <c r="C22" s="91" t="s">
        <v>8</v>
      </c>
      <c r="D22" s="75"/>
      <c r="E22" s="75">
        <v>27.78</v>
      </c>
      <c r="F22" s="76">
        <f t="shared" si="3"/>
        <v>27.78</v>
      </c>
      <c r="G22" s="77">
        <f t="shared" si="0"/>
        <v>1.0000791999366401E-2</v>
      </c>
      <c r="H22" s="78"/>
      <c r="I22" s="79"/>
      <c r="J22" s="80"/>
      <c r="K22" s="80"/>
      <c r="L22" s="81"/>
      <c r="M22" s="82"/>
      <c r="N22" s="39"/>
      <c r="O22" s="39"/>
      <c r="P22" s="82"/>
      <c r="Q22" s="82"/>
      <c r="R22" s="82"/>
      <c r="S22" s="83"/>
      <c r="T22" s="78"/>
      <c r="U22" s="80"/>
      <c r="V22" s="81"/>
      <c r="W22" s="92"/>
      <c r="X22" s="92"/>
      <c r="Y22" s="93"/>
      <c r="Z22" s="89"/>
      <c r="AA22" s="78"/>
      <c r="AB22" s="39"/>
      <c r="AC22" s="82"/>
      <c r="AD22" s="90"/>
      <c r="AE22" s="147">
        <f t="shared" si="1"/>
        <v>27.78</v>
      </c>
      <c r="AF22" s="90">
        <f t="shared" ca="1" si="2"/>
        <v>5.5868541062687E-3</v>
      </c>
    </row>
    <row r="23" spans="3:32" x14ac:dyDescent="0.2">
      <c r="C23" s="91" t="s">
        <v>9</v>
      </c>
      <c r="D23" s="75"/>
      <c r="E23" s="75">
        <v>13.89</v>
      </c>
      <c r="F23" s="76">
        <f t="shared" si="3"/>
        <v>13.89</v>
      </c>
      <c r="G23" s="77">
        <f t="shared" si="0"/>
        <v>5.0003959996832003E-3</v>
      </c>
      <c r="H23" s="78"/>
      <c r="I23" s="79"/>
      <c r="J23" s="80"/>
      <c r="K23" s="80"/>
      <c r="L23" s="81"/>
      <c r="M23" s="82"/>
      <c r="N23" s="39"/>
      <c r="O23" s="39"/>
      <c r="P23" s="82"/>
      <c r="Q23" s="82"/>
      <c r="R23" s="82"/>
      <c r="S23" s="83"/>
      <c r="T23" s="78"/>
      <c r="U23" s="80"/>
      <c r="V23" s="81"/>
      <c r="W23" s="92"/>
      <c r="X23" s="92"/>
      <c r="Y23" s="93"/>
      <c r="Z23" s="89"/>
      <c r="AA23" s="78"/>
      <c r="AB23" s="39"/>
      <c r="AC23" s="82"/>
      <c r="AD23" s="90"/>
      <c r="AE23" s="147">
        <f t="shared" si="1"/>
        <v>13.89</v>
      </c>
      <c r="AF23" s="90">
        <f t="shared" ca="1" si="2"/>
        <v>2.79342705313435E-3</v>
      </c>
    </row>
    <row r="24" spans="3:32" x14ac:dyDescent="0.2">
      <c r="C24" s="91" t="s">
        <v>14</v>
      </c>
      <c r="D24" s="94"/>
      <c r="E24" s="94"/>
      <c r="F24" s="76"/>
      <c r="G24" s="77"/>
      <c r="H24" s="78">
        <v>250000</v>
      </c>
      <c r="I24" s="79">
        <v>43891</v>
      </c>
      <c r="J24" s="80">
        <v>0.05</v>
      </c>
      <c r="K24" s="80">
        <v>0.15</v>
      </c>
      <c r="L24" s="81">
        <v>3000000</v>
      </c>
      <c r="M24" s="82">
        <f>$H$3-I24</f>
        <v>184</v>
      </c>
      <c r="N24" s="39">
        <f>H24*(J24*M24/365)</f>
        <v>6301.3698630136987</v>
      </c>
      <c r="O24" s="39">
        <f t="shared" ref="O24:O26" si="4">H24+N24</f>
        <v>256301.36986301371</v>
      </c>
      <c r="P24" s="39">
        <f ca="1">(1-K24)*$H$11</f>
        <v>817.04549999999995</v>
      </c>
      <c r="Q24" s="39">
        <f>L24/$H$8</f>
        <v>1079.9991360006911</v>
      </c>
      <c r="R24" s="82">
        <f ca="1">ROUND(IFERROR(O24/MIN($H$11,P24,Q24),0),2)</f>
        <v>313.69</v>
      </c>
      <c r="S24" s="83">
        <f ca="1">IFERROR(R24/$R$33,0)</f>
        <v>0.49981676518857249</v>
      </c>
      <c r="T24" s="78"/>
      <c r="U24" s="80"/>
      <c r="V24" s="81"/>
      <c r="W24" s="92"/>
      <c r="X24" s="92"/>
      <c r="Y24" s="93"/>
      <c r="Z24" s="89"/>
      <c r="AA24" s="78"/>
      <c r="AB24" s="39"/>
      <c r="AC24" s="82"/>
      <c r="AD24" s="90"/>
      <c r="AE24" s="147">
        <f t="shared" ca="1" si="1"/>
        <v>313.69</v>
      </c>
      <c r="AF24" s="90">
        <f t="shared" ca="1" si="2"/>
        <v>6.3086402613226358E-2</v>
      </c>
    </row>
    <row r="25" spans="3:32" x14ac:dyDescent="0.2">
      <c r="C25" s="91" t="s">
        <v>15</v>
      </c>
      <c r="D25" s="94"/>
      <c r="E25" s="94"/>
      <c r="F25" s="76"/>
      <c r="G25" s="77"/>
      <c r="H25" s="78">
        <v>150000</v>
      </c>
      <c r="I25" s="79">
        <v>43876</v>
      </c>
      <c r="J25" s="80">
        <v>0.05</v>
      </c>
      <c r="K25" s="80">
        <v>0.15</v>
      </c>
      <c r="L25" s="81">
        <v>3000000</v>
      </c>
      <c r="M25" s="82">
        <f t="shared" ref="M25:M26" si="5">$H$3-I25</f>
        <v>199</v>
      </c>
      <c r="N25" s="39">
        <f t="shared" ref="N25:N26" si="6">H25*(J25*M25/365)</f>
        <v>4089.0410958904113</v>
      </c>
      <c r="O25" s="39">
        <f t="shared" si="4"/>
        <v>154089.04109589042</v>
      </c>
      <c r="P25" s="39">
        <f t="shared" ref="P25:P26" ca="1" si="7">(1-K25)*$H$11</f>
        <v>817.04549999999995</v>
      </c>
      <c r="Q25" s="39">
        <f t="shared" ref="Q25:Q26" si="8">L25/$H$8</f>
        <v>1079.9991360006911</v>
      </c>
      <c r="R25" s="82">
        <f ca="1">ROUND(IFERROR(O25/MIN($H$11,P25,Q25),0),2)</f>
        <v>188.59</v>
      </c>
      <c r="S25" s="83">
        <f ca="1">IFERROR(R25/$R$33,0)</f>
        <v>0.30048915727920206</v>
      </c>
      <c r="T25" s="78"/>
      <c r="U25" s="80"/>
      <c r="V25" s="81"/>
      <c r="W25" s="92"/>
      <c r="X25" s="92"/>
      <c r="Y25" s="93"/>
      <c r="Z25" s="89"/>
      <c r="AA25" s="78"/>
      <c r="AB25" s="39"/>
      <c r="AC25" s="82"/>
      <c r="AD25" s="90"/>
      <c r="AE25" s="147">
        <f t="shared" ca="1" si="1"/>
        <v>188.59</v>
      </c>
      <c r="AF25" s="90">
        <f t="shared" ca="1" si="2"/>
        <v>3.7927459175709652E-2</v>
      </c>
    </row>
    <row r="26" spans="3:32" x14ac:dyDescent="0.2">
      <c r="C26" s="91" t="s">
        <v>16</v>
      </c>
      <c r="D26" s="94"/>
      <c r="E26" s="94"/>
      <c r="F26" s="76"/>
      <c r="G26" s="77"/>
      <c r="H26" s="78">
        <v>100000</v>
      </c>
      <c r="I26" s="79">
        <v>43900</v>
      </c>
      <c r="J26" s="80">
        <v>0.05</v>
      </c>
      <c r="K26" s="80">
        <v>0.15</v>
      </c>
      <c r="L26" s="81">
        <v>3000000</v>
      </c>
      <c r="M26" s="82">
        <f t="shared" si="5"/>
        <v>175</v>
      </c>
      <c r="N26" s="39">
        <f t="shared" si="6"/>
        <v>2397.2602739726026</v>
      </c>
      <c r="O26" s="39">
        <f t="shared" si="4"/>
        <v>102397.2602739726</v>
      </c>
      <c r="P26" s="39">
        <f t="shared" ca="1" si="7"/>
        <v>817.04549999999995</v>
      </c>
      <c r="Q26" s="39">
        <f t="shared" si="8"/>
        <v>1079.9991360006911</v>
      </c>
      <c r="R26" s="82">
        <f ca="1">ROUND(IFERROR(O26/MIN($H$11,P26,Q26),0),2)</f>
        <v>125.33</v>
      </c>
      <c r="S26" s="83">
        <f ca="1">IFERROR(R26/$R$33,0)</f>
        <v>0.19969407753222543</v>
      </c>
      <c r="T26" s="78"/>
      <c r="U26" s="80"/>
      <c r="V26" s="81"/>
      <c r="W26" s="92"/>
      <c r="X26" s="92"/>
      <c r="Y26" s="93"/>
      <c r="Z26" s="89"/>
      <c r="AA26" s="78"/>
      <c r="AB26" s="39"/>
      <c r="AC26" s="82"/>
      <c r="AD26" s="90"/>
      <c r="AE26" s="147">
        <f t="shared" ca="1" si="1"/>
        <v>125.33</v>
      </c>
      <c r="AF26" s="90">
        <f t="shared" ca="1" si="2"/>
        <v>2.5205198889080495E-2</v>
      </c>
    </row>
    <row r="27" spans="3:32" x14ac:dyDescent="0.2">
      <c r="C27" s="91" t="s">
        <v>74</v>
      </c>
      <c r="D27" s="94"/>
      <c r="E27" s="94"/>
      <c r="F27" s="76"/>
      <c r="G27" s="77"/>
      <c r="H27" s="78"/>
      <c r="I27" s="79"/>
      <c r="J27" s="80"/>
      <c r="K27" s="80"/>
      <c r="L27" s="81"/>
      <c r="M27" s="82"/>
      <c r="N27" s="39"/>
      <c r="O27" s="39"/>
      <c r="P27" s="39"/>
      <c r="Q27" s="39"/>
      <c r="R27" s="82"/>
      <c r="S27" s="83"/>
      <c r="T27" s="78">
        <v>150000</v>
      </c>
      <c r="U27" s="80">
        <v>0.1</v>
      </c>
      <c r="V27" s="81">
        <v>2500000</v>
      </c>
      <c r="W27" s="92">
        <f ca="1">(1-U27)*$H$11</f>
        <v>865.10700000000008</v>
      </c>
      <c r="X27" s="92">
        <f ca="1">V27/($H$8+H9)</f>
        <v>801.95114854770384</v>
      </c>
      <c r="Y27" s="93">
        <f ca="1">ROUND(IFERROR(T27/MIN(W27,X27,$H$11),0),2)</f>
        <v>187.04</v>
      </c>
      <c r="Z27" s="89"/>
      <c r="AA27" s="78"/>
      <c r="AB27" s="39"/>
      <c r="AC27" s="82"/>
      <c r="AD27" s="90"/>
      <c r="AE27" s="147">
        <f t="shared" ca="1" si="1"/>
        <v>187.04</v>
      </c>
      <c r="AF27" s="90">
        <f t="shared" ca="1" si="2"/>
        <v>3.7615737654301568E-2</v>
      </c>
    </row>
    <row r="28" spans="3:32" x14ac:dyDescent="0.2">
      <c r="C28" s="91" t="s">
        <v>75</v>
      </c>
      <c r="D28" s="94"/>
      <c r="E28" s="94"/>
      <c r="F28" s="76"/>
      <c r="G28" s="77"/>
      <c r="H28" s="78"/>
      <c r="I28" s="79"/>
      <c r="J28" s="80"/>
      <c r="K28" s="80"/>
      <c r="L28" s="81"/>
      <c r="M28" s="82"/>
      <c r="N28" s="39"/>
      <c r="O28" s="39"/>
      <c r="P28" s="39"/>
      <c r="Q28" s="39"/>
      <c r="R28" s="82"/>
      <c r="S28" s="83"/>
      <c r="T28" s="78">
        <v>150000</v>
      </c>
      <c r="U28" s="80">
        <v>0.1</v>
      </c>
      <c r="V28" s="81">
        <v>2500000</v>
      </c>
      <c r="W28" s="92">
        <f ca="1">(1-U28)*$H$11</f>
        <v>865.10700000000008</v>
      </c>
      <c r="X28" s="92">
        <f ca="1">V28/($H$8+$R$33+Y33)</f>
        <v>654.15400878659659</v>
      </c>
      <c r="Y28" s="93">
        <f ca="1">ROUND(IFERROR(T28/MIN(W28,X28,$H$11),0),2)</f>
        <v>229.3</v>
      </c>
      <c r="Z28" s="89"/>
      <c r="AA28" s="78"/>
      <c r="AB28" s="39"/>
      <c r="AC28" s="82"/>
      <c r="AD28" s="90"/>
      <c r="AE28" s="147"/>
      <c r="AF28" s="90"/>
    </row>
    <row r="29" spans="3:32" x14ac:dyDescent="0.2">
      <c r="C29" s="91" t="s">
        <v>26</v>
      </c>
      <c r="D29" s="94"/>
      <c r="E29" s="94"/>
      <c r="F29" s="76"/>
      <c r="G29" s="77"/>
      <c r="H29" s="78"/>
      <c r="I29" s="79"/>
      <c r="J29" s="80"/>
      <c r="K29" s="80"/>
      <c r="L29" s="81"/>
      <c r="M29" s="82"/>
      <c r="N29" s="39"/>
      <c r="O29" s="39"/>
      <c r="P29" s="82"/>
      <c r="Q29" s="95"/>
      <c r="R29" s="82"/>
      <c r="S29" s="83"/>
      <c r="T29" s="78"/>
      <c r="U29" s="80"/>
      <c r="V29" s="81"/>
      <c r="W29" s="92"/>
      <c r="X29" s="92"/>
      <c r="Y29" s="93"/>
      <c r="Z29" s="89"/>
      <c r="AA29" s="78">
        <v>500000</v>
      </c>
      <c r="AB29" s="39">
        <f ca="1">ROUND(AC29*$H$11,2)</f>
        <v>500003.01</v>
      </c>
      <c r="AC29" s="82">
        <f ca="1">IFERROR(ROUND(AA29/$H$11,2),0)</f>
        <v>520.16999999999996</v>
      </c>
      <c r="AD29" s="90">
        <f ca="1">IFERROR(AC29/$AC$33,0)</f>
        <v>0.5</v>
      </c>
      <c r="AE29" s="147">
        <f t="shared" ca="1" si="1"/>
        <v>520.16999999999996</v>
      </c>
      <c r="AF29" s="90">
        <f ca="1">AE29/$AE$33</f>
        <v>0.10461173147796217</v>
      </c>
    </row>
    <row r="30" spans="3:32" x14ac:dyDescent="0.2">
      <c r="C30" s="91" t="s">
        <v>27</v>
      </c>
      <c r="D30" s="94"/>
      <c r="E30" s="94"/>
      <c r="F30" s="76"/>
      <c r="G30" s="77"/>
      <c r="H30" s="78"/>
      <c r="I30" s="79"/>
      <c r="J30" s="80"/>
      <c r="K30" s="80"/>
      <c r="L30" s="81"/>
      <c r="M30" s="82"/>
      <c r="N30" s="39"/>
      <c r="O30" s="39"/>
      <c r="P30" s="82"/>
      <c r="Q30" s="95"/>
      <c r="R30" s="82"/>
      <c r="S30" s="83"/>
      <c r="T30" s="78"/>
      <c r="U30" s="80"/>
      <c r="V30" s="81"/>
      <c r="W30" s="92"/>
      <c r="X30" s="92"/>
      <c r="Y30" s="93"/>
      <c r="Z30" s="89"/>
      <c r="AA30" s="78">
        <v>500000</v>
      </c>
      <c r="AB30" s="39">
        <f ca="1">ROUND(AC30*$H$11,2)</f>
        <v>500003.01</v>
      </c>
      <c r="AC30" s="82">
        <f ca="1">IFERROR(ROUND(AA30/$H$11,2),0)</f>
        <v>520.16999999999996</v>
      </c>
      <c r="AD30" s="90">
        <f ca="1">IFERROR(AC30/$AC$33,0)</f>
        <v>0.5</v>
      </c>
      <c r="AE30" s="147">
        <f t="shared" ca="1" si="1"/>
        <v>520.16999999999996</v>
      </c>
      <c r="AF30" s="90">
        <f ca="1">AE30/$AE$33</f>
        <v>0.10461173147796217</v>
      </c>
    </row>
    <row r="31" spans="3:32" x14ac:dyDescent="0.2">
      <c r="C31" s="96" t="s">
        <v>49</v>
      </c>
      <c r="D31" s="94"/>
      <c r="E31" s="94">
        <v>180.55</v>
      </c>
      <c r="F31" s="97">
        <f t="shared" si="3"/>
        <v>180.55</v>
      </c>
      <c r="G31" s="77">
        <f>IFERROR(F31/$F$33,0)</f>
        <v>6.4997948001641603E-2</v>
      </c>
      <c r="H31" s="78"/>
      <c r="I31" s="79"/>
      <c r="J31" s="80"/>
      <c r="K31" s="80"/>
      <c r="L31" s="81"/>
      <c r="M31" s="82"/>
      <c r="N31" s="39"/>
      <c r="O31" s="39"/>
      <c r="P31" s="82"/>
      <c r="Q31" s="82"/>
      <c r="R31" s="82"/>
      <c r="S31" s="83"/>
      <c r="T31" s="78"/>
      <c r="U31" s="80"/>
      <c r="V31" s="81"/>
      <c r="W31" s="92"/>
      <c r="X31" s="92"/>
      <c r="Y31" s="93"/>
      <c r="Z31" s="89"/>
      <c r="AA31" s="78"/>
      <c r="AB31" s="39"/>
      <c r="AC31" s="82"/>
      <c r="AD31" s="90"/>
      <c r="AE31" s="147">
        <f t="shared" si="1"/>
        <v>180.55</v>
      </c>
      <c r="AF31" s="90">
        <f ca="1">AE31/$AE$33</f>
        <v>3.6310529477567091E-2</v>
      </c>
    </row>
    <row r="32" spans="3:32" x14ac:dyDescent="0.2">
      <c r="C32" s="98" t="s">
        <v>50</v>
      </c>
      <c r="D32" s="99"/>
      <c r="E32" s="99"/>
      <c r="F32" s="100"/>
      <c r="G32" s="101"/>
      <c r="H32" s="102"/>
      <c r="I32" s="79"/>
      <c r="J32" s="80"/>
      <c r="K32" s="80"/>
      <c r="L32" s="81"/>
      <c r="M32" s="82"/>
      <c r="N32" s="39"/>
      <c r="O32" s="39"/>
      <c r="P32" s="82"/>
      <c r="Q32" s="82"/>
      <c r="R32" s="103"/>
      <c r="S32" s="104"/>
      <c r="T32" s="78"/>
      <c r="U32" s="80"/>
      <c r="V32" s="81"/>
      <c r="W32" s="92"/>
      <c r="X32" s="92"/>
      <c r="Y32" s="93"/>
      <c r="Z32" s="105">
        <f ca="1">H9</f>
        <v>339.61686953174575</v>
      </c>
      <c r="AA32" s="102"/>
      <c r="AB32" s="92"/>
      <c r="AC32" s="82"/>
      <c r="AD32" s="90"/>
      <c r="AE32" s="147">
        <f ca="1">Z32</f>
        <v>339.61686953174575</v>
      </c>
      <c r="AF32" s="90">
        <f ca="1">AE32/$AE$33</f>
        <v>6.8300572429861595E-2</v>
      </c>
    </row>
    <row r="33" spans="1:32" s="12" customFormat="1" ht="16" thickBot="1" x14ac:dyDescent="0.25">
      <c r="A33" s="10"/>
      <c r="B33" s="11"/>
      <c r="C33" s="106" t="s">
        <v>6</v>
      </c>
      <c r="D33" s="107">
        <f>SUM(D17:D32)</f>
        <v>2500</v>
      </c>
      <c r="E33" s="107">
        <f>SUM(E17:E32)</f>
        <v>277.78000000000003</v>
      </c>
      <c r="F33" s="108">
        <f>SUM(F17:F32)</f>
        <v>2777.78</v>
      </c>
      <c r="G33" s="109">
        <f>SUM(G17:G32)</f>
        <v>0.99999999999999989</v>
      </c>
      <c r="H33" s="110">
        <f>H24+H25+H26</f>
        <v>500000</v>
      </c>
      <c r="I33" s="111"/>
      <c r="J33" s="112"/>
      <c r="K33" s="112"/>
      <c r="L33" s="112"/>
      <c r="M33" s="112"/>
      <c r="N33" s="112"/>
      <c r="O33" s="112"/>
      <c r="P33" s="112"/>
      <c r="Q33" s="113"/>
      <c r="R33" s="114">
        <f ca="1">SUM(R17:R31)</f>
        <v>627.61</v>
      </c>
      <c r="S33" s="115">
        <f ca="1">SUM(S17:S32)</f>
        <v>1</v>
      </c>
      <c r="T33" s="116"/>
      <c r="U33" s="117"/>
      <c r="V33" s="117"/>
      <c r="W33" s="118"/>
      <c r="X33" s="118"/>
      <c r="Y33" s="119">
        <f ca="1">SUM(Y17:Y32)</f>
        <v>416.34000000000003</v>
      </c>
      <c r="Z33" s="120">
        <f ca="1">SUM(Z17:Z32)</f>
        <v>339.61686953174575</v>
      </c>
      <c r="AA33" s="121">
        <f>SUM(AA17:AA32)</f>
        <v>1000000</v>
      </c>
      <c r="AB33" s="122"/>
      <c r="AC33" s="123">
        <f ca="1">SUM(AC17:AC32)</f>
        <v>1040.3399999999999</v>
      </c>
      <c r="AD33" s="124"/>
      <c r="AE33" s="148">
        <f ca="1">SUM(AE17:AE32)</f>
        <v>4972.386869531746</v>
      </c>
      <c r="AF33" s="125">
        <f ca="1">SUM(AF17:AF32)</f>
        <v>1</v>
      </c>
    </row>
    <row r="34" spans="1:32" x14ac:dyDescent="0.2">
      <c r="C34" s="126"/>
      <c r="D34" s="126"/>
      <c r="E34" s="126"/>
      <c r="F34" s="126"/>
      <c r="G34" s="127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37"/>
      <c r="Z34" s="126"/>
      <c r="AA34" s="126"/>
      <c r="AB34" s="126"/>
      <c r="AC34" s="126"/>
      <c r="AD34" s="126"/>
      <c r="AE34" s="126"/>
      <c r="AF34" s="126"/>
    </row>
    <row r="35" spans="1:32" ht="16" thickBot="1" x14ac:dyDescent="0.25">
      <c r="C35" s="126"/>
      <c r="D35" s="126"/>
      <c r="E35" s="126"/>
      <c r="F35" s="126"/>
      <c r="G35" s="127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54"/>
      <c r="Y35" s="154"/>
      <c r="Z35" s="126"/>
      <c r="AA35" s="126"/>
      <c r="AB35" s="126"/>
      <c r="AC35" s="126"/>
      <c r="AD35" s="126"/>
      <c r="AE35" s="126"/>
      <c r="AF35" s="126"/>
    </row>
    <row r="36" spans="1:32" x14ac:dyDescent="0.2">
      <c r="C36" s="128" t="s">
        <v>30</v>
      </c>
      <c r="D36" s="191" t="s">
        <v>32</v>
      </c>
      <c r="E36" s="191"/>
      <c r="F36" s="189" t="s">
        <v>35</v>
      </c>
      <c r="G36" s="19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51"/>
      <c r="AD36" s="126"/>
      <c r="AE36" s="126"/>
      <c r="AF36" s="126"/>
    </row>
    <row r="37" spans="1:32" x14ac:dyDescent="0.2">
      <c r="C37" s="129" t="s">
        <v>31</v>
      </c>
      <c r="D37" s="130" t="s">
        <v>33</v>
      </c>
      <c r="E37" s="130" t="s">
        <v>34</v>
      </c>
      <c r="F37" s="131" t="s">
        <v>33</v>
      </c>
      <c r="G37" s="132" t="s">
        <v>36</v>
      </c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2" x14ac:dyDescent="0.2">
      <c r="C38" s="133" t="s">
        <v>37</v>
      </c>
      <c r="D38" s="141">
        <f>SUM(F17:F20)</f>
        <v>2500</v>
      </c>
      <c r="E38" s="135">
        <f>D38/$D$44</f>
        <v>0.89999928000057594</v>
      </c>
      <c r="F38" s="141">
        <f>SUM(AE17:AE20)</f>
        <v>2500</v>
      </c>
      <c r="G38" s="136">
        <f ca="1">F38/$F$44</f>
        <v>0.50277664743238837</v>
      </c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</row>
    <row r="39" spans="1:32" x14ac:dyDescent="0.2">
      <c r="C39" s="133" t="s">
        <v>38</v>
      </c>
      <c r="D39" s="141">
        <f>SUM(E21:E23)</f>
        <v>97.23</v>
      </c>
      <c r="E39" s="135">
        <f t="shared" ref="E39:E40" si="9">D39/$D$44</f>
        <v>3.50027719977824E-2</v>
      </c>
      <c r="F39" s="141">
        <f>SUM(AE21:AE23)</f>
        <v>97.23</v>
      </c>
      <c r="G39" s="136">
        <f t="shared" ref="G39:G43" ca="1" si="10">F39/$F$44</f>
        <v>1.9553989371940448E-2</v>
      </c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</row>
    <row r="40" spans="1:32" x14ac:dyDescent="0.2">
      <c r="C40" s="133" t="s">
        <v>23</v>
      </c>
      <c r="D40" s="141">
        <f>E31</f>
        <v>180.55</v>
      </c>
      <c r="E40" s="135">
        <f t="shared" si="9"/>
        <v>6.4997948001641603E-2</v>
      </c>
      <c r="F40" s="142">
        <f ca="1">SUM(AE31:AE32)</f>
        <v>520.16686953174576</v>
      </c>
      <c r="G40" s="136">
        <f t="shared" ca="1" si="10"/>
        <v>0.10461110190742869</v>
      </c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</row>
    <row r="41" spans="1:32" x14ac:dyDescent="0.2">
      <c r="C41" s="133" t="s">
        <v>39</v>
      </c>
      <c r="D41" s="134"/>
      <c r="E41" s="135"/>
      <c r="F41" s="141">
        <f ca="1">SUM(AE24:AE26)</f>
        <v>627.61</v>
      </c>
      <c r="G41" s="136">
        <f t="shared" ca="1" si="10"/>
        <v>0.1262190606780165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</row>
    <row r="42" spans="1:32" x14ac:dyDescent="0.2">
      <c r="C42" s="138" t="s">
        <v>43</v>
      </c>
      <c r="D42" s="139"/>
      <c r="E42" s="140"/>
      <c r="F42" s="141">
        <f ca="1">AE27</f>
        <v>187.04</v>
      </c>
      <c r="G42" s="136">
        <f t="shared" ca="1" si="10"/>
        <v>3.7615737654301568E-2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</row>
    <row r="43" spans="1:32" ht="16" thickBot="1" x14ac:dyDescent="0.25">
      <c r="C43" s="138" t="s">
        <v>40</v>
      </c>
      <c r="D43" s="139"/>
      <c r="E43" s="140"/>
      <c r="F43" s="141">
        <f ca="1">SUM(AE29:AE30)</f>
        <v>1040.3399999999999</v>
      </c>
      <c r="G43" s="136">
        <f t="shared" ca="1" si="10"/>
        <v>0.20922346295592434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</row>
    <row r="44" spans="1:32" ht="16" thickBot="1" x14ac:dyDescent="0.25">
      <c r="C44" s="143" t="s">
        <v>41</v>
      </c>
      <c r="D44" s="145">
        <f>SUM(D38:D43)</f>
        <v>2777.78</v>
      </c>
      <c r="E44" s="144">
        <f>SUM(E38:E43)</f>
        <v>1</v>
      </c>
      <c r="F44" s="145">
        <f ca="1">SUM(F38:F43)</f>
        <v>4972.386869531746</v>
      </c>
      <c r="G44" s="146">
        <f ca="1">SUM(G38:G43)</f>
        <v>0.99999999999999989</v>
      </c>
    </row>
  </sheetData>
  <mergeCells count="45">
    <mergeCell ref="F36:G36"/>
    <mergeCell ref="D36:E36"/>
    <mergeCell ref="C3:G3"/>
    <mergeCell ref="AA14:AD14"/>
    <mergeCell ref="AE14:AF14"/>
    <mergeCell ref="C11:G11"/>
    <mergeCell ref="C10:G10"/>
    <mergeCell ref="C9:G9"/>
    <mergeCell ref="C14:G14"/>
    <mergeCell ref="H14:S14"/>
    <mergeCell ref="C8:G8"/>
    <mergeCell ref="C7:G7"/>
    <mergeCell ref="C6:G6"/>
    <mergeCell ref="C5:G5"/>
    <mergeCell ref="C4:G4"/>
    <mergeCell ref="T14:Y14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AC15:AC16"/>
    <mergeCell ref="AD15:AD16"/>
    <mergeCell ref="AF15:AF16"/>
    <mergeCell ref="AE15:AE16"/>
    <mergeCell ref="X15:X16"/>
    <mergeCell ref="Y15:Y16"/>
    <mergeCell ref="Z15:Z16"/>
    <mergeCell ref="AA15:AA16"/>
    <mergeCell ref="AB15:A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75D6-AE87-45B2-83C3-ECCF7D3F03CC}">
  <sheetPr>
    <pageSetUpPr autoPageBreaks="0"/>
  </sheetPr>
  <dimension ref="A1:Z33"/>
  <sheetViews>
    <sheetView tabSelected="1" zoomScale="130" zoomScaleNormal="130" workbookViewId="0">
      <selection activeCell="F4" sqref="F4:F5"/>
    </sheetView>
  </sheetViews>
  <sheetFormatPr baseColWidth="10" defaultColWidth="8.83203125" defaultRowHeight="15" x14ac:dyDescent="0.2"/>
  <cols>
    <col min="1" max="1" width="0.83203125" style="1" customWidth="1"/>
    <col min="2" max="2" width="0.83203125" style="5" customWidth="1"/>
    <col min="3" max="3" width="20.1640625" customWidth="1"/>
    <col min="4" max="4" width="9" bestFit="1" customWidth="1"/>
    <col min="5" max="5" width="8.1640625" bestFit="1" customWidth="1"/>
    <col min="6" max="6" width="12" customWidth="1"/>
    <col min="7" max="7" width="11.33203125" bestFit="1" customWidth="1"/>
    <col min="8" max="8" width="9.5" customWidth="1"/>
    <col min="9" max="9" width="8.1640625" bestFit="1" customWidth="1"/>
    <col min="10" max="10" width="9.6640625" customWidth="1"/>
    <col min="11" max="11" width="9" bestFit="1" customWidth="1"/>
    <col min="12" max="12" width="8.83203125" customWidth="1"/>
    <col min="13" max="13" width="11" bestFit="1" customWidth="1"/>
    <col min="14" max="15" width="8.1640625" bestFit="1" customWidth="1"/>
    <col min="16" max="16" width="12" customWidth="1"/>
    <col min="17" max="17" width="11.5" customWidth="1"/>
    <col min="18" max="19" width="10.83203125" customWidth="1"/>
    <col min="20" max="20" width="8.6640625" customWidth="1"/>
    <col min="21" max="21" width="12.1640625" customWidth="1"/>
    <col min="22" max="22" width="10.6640625" customWidth="1"/>
    <col min="23" max="23" width="13.83203125" customWidth="1"/>
    <col min="24" max="24" width="13" customWidth="1"/>
    <col min="25" max="25" width="11.33203125" customWidth="1"/>
    <col min="26" max="26" width="12.33203125" customWidth="1"/>
    <col min="27" max="27" width="15.33203125" customWidth="1"/>
    <col min="28" max="28" width="14.6640625" customWidth="1"/>
    <col min="29" max="29" width="13.5" customWidth="1"/>
    <col min="32" max="32" width="9.33203125" bestFit="1" customWidth="1"/>
  </cols>
  <sheetData>
    <row r="1" spans="1:15" s="1" customFormat="1" ht="4.5" customHeight="1" x14ac:dyDescent="0.2"/>
    <row r="2" spans="1:15" s="6" customFormat="1" ht="14.5" customHeight="1" thickBot="1" x14ac:dyDescent="0.25">
      <c r="A2" s="1"/>
      <c r="B2" s="5"/>
    </row>
    <row r="3" spans="1:15" x14ac:dyDescent="0.2">
      <c r="A3" s="22"/>
      <c r="B3" s="52"/>
      <c r="C3" s="210" t="s">
        <v>45</v>
      </c>
      <c r="D3" s="211"/>
      <c r="E3" s="217"/>
      <c r="F3" s="218" t="s">
        <v>85</v>
      </c>
      <c r="G3" s="219"/>
      <c r="H3" s="219"/>
      <c r="I3" s="219"/>
      <c r="J3" s="220"/>
      <c r="K3" s="210" t="s">
        <v>46</v>
      </c>
      <c r="L3" s="211"/>
      <c r="M3" s="211"/>
      <c r="N3" s="211"/>
      <c r="O3" s="212"/>
    </row>
    <row r="4" spans="1:15" s="2" customFormat="1" ht="14.5" customHeight="1" x14ac:dyDescent="0.2">
      <c r="A4" s="24"/>
      <c r="B4" s="25"/>
      <c r="C4" s="159" t="s">
        <v>1</v>
      </c>
      <c r="D4" s="225" t="s">
        <v>54</v>
      </c>
      <c r="E4" s="227" t="s">
        <v>51</v>
      </c>
      <c r="F4" s="215" t="s">
        <v>83</v>
      </c>
      <c r="G4" s="223" t="s">
        <v>70</v>
      </c>
      <c r="H4" s="213" t="s">
        <v>84</v>
      </c>
      <c r="I4" s="223" t="s">
        <v>66</v>
      </c>
      <c r="J4" s="221" t="s">
        <v>52</v>
      </c>
      <c r="K4" s="215" t="s">
        <v>54</v>
      </c>
      <c r="L4" s="223" t="s">
        <v>82</v>
      </c>
      <c r="M4" s="223" t="s">
        <v>25</v>
      </c>
      <c r="N4" s="223" t="s">
        <v>53</v>
      </c>
      <c r="O4" s="229" t="s">
        <v>51</v>
      </c>
    </row>
    <row r="5" spans="1:15" s="2" customFormat="1" ht="27" customHeight="1" x14ac:dyDescent="0.2">
      <c r="A5" s="24"/>
      <c r="B5" s="25"/>
      <c r="C5" s="160"/>
      <c r="D5" s="226"/>
      <c r="E5" s="228"/>
      <c r="F5" s="216"/>
      <c r="G5" s="224"/>
      <c r="H5" s="214"/>
      <c r="I5" s="224"/>
      <c r="J5" s="222"/>
      <c r="K5" s="216"/>
      <c r="L5" s="224"/>
      <c r="M5" s="224"/>
      <c r="N5" s="224"/>
      <c r="O5" s="230"/>
    </row>
    <row r="6" spans="1:15" x14ac:dyDescent="0.2">
      <c r="A6" s="22"/>
      <c r="B6" s="23"/>
      <c r="C6" s="28" t="str">
        <f>'Cap Table'!C17</f>
        <v>Founder 1</v>
      </c>
      <c r="D6" s="29">
        <f>'Cap Table'!D17</f>
        <v>1000</v>
      </c>
      <c r="E6" s="30">
        <f>IFERROR(D6/$D$19,0)</f>
        <v>0.3599997120002304</v>
      </c>
      <c r="F6" s="29">
        <f>'Cap Table'!R17</f>
        <v>0</v>
      </c>
      <c r="G6" s="31"/>
      <c r="H6" s="29">
        <f>'Cap Table'!AC17</f>
        <v>0</v>
      </c>
      <c r="I6" s="32">
        <f ca="1">H6/$H$19</f>
        <v>0</v>
      </c>
      <c r="J6" s="33"/>
      <c r="K6" s="34">
        <f t="shared" ref="K6:K17" si="0">D6</f>
        <v>1000</v>
      </c>
      <c r="L6" s="29">
        <f>F6+H6</f>
        <v>0</v>
      </c>
      <c r="M6" s="35">
        <f>K6+L6</f>
        <v>1000</v>
      </c>
      <c r="N6" s="59">
        <f ca="1">M6/($M$19-$M$18-$M$17)</f>
        <v>0.21813628718951025</v>
      </c>
      <c r="O6" s="37">
        <f ca="1">M6/$M$19</f>
        <v>0.19224532831020252</v>
      </c>
    </row>
    <row r="7" spans="1:15" x14ac:dyDescent="0.2">
      <c r="A7" s="22"/>
      <c r="B7" s="23"/>
      <c r="C7" s="28" t="str">
        <f>'Cap Table'!C18</f>
        <v>Founder 2</v>
      </c>
      <c r="D7" s="29">
        <f>'Cap Table'!D18</f>
        <v>650</v>
      </c>
      <c r="E7" s="30">
        <f>IFERROR(D7/$D$19,0)</f>
        <v>0.23399981280014975</v>
      </c>
      <c r="F7" s="29">
        <f>'Cap Table'!R18</f>
        <v>0</v>
      </c>
      <c r="G7" s="31"/>
      <c r="H7" s="29">
        <f>'Cap Table'!AC18</f>
        <v>0</v>
      </c>
      <c r="I7" s="32">
        <f ca="1">H7/$H$19</f>
        <v>0</v>
      </c>
      <c r="J7" s="33"/>
      <c r="K7" s="34">
        <f t="shared" si="0"/>
        <v>650</v>
      </c>
      <c r="L7" s="29">
        <f t="shared" ref="L7:L18" si="1">F7+H7</f>
        <v>0</v>
      </c>
      <c r="M7" s="35">
        <f t="shared" ref="M7:M18" si="2">K7+L7</f>
        <v>650</v>
      </c>
      <c r="N7" s="59">
        <f t="shared" ref="N7:N16" ca="1" si="3">M7/($M$19-$M$18-$M$17)</f>
        <v>0.14178858667318167</v>
      </c>
      <c r="O7" s="37">
        <f t="shared" ref="O7:O18" ca="1" si="4">M7/$M$19</f>
        <v>0.12495946340163164</v>
      </c>
    </row>
    <row r="8" spans="1:15" x14ac:dyDescent="0.2">
      <c r="A8" s="22"/>
      <c r="B8" s="23"/>
      <c r="C8" s="28" t="str">
        <f>'Cap Table'!C19</f>
        <v>Founder 3</v>
      </c>
      <c r="D8" s="29">
        <f>'Cap Table'!D19</f>
        <v>650</v>
      </c>
      <c r="E8" s="30">
        <f>IFERROR(D8/$D$19,0)</f>
        <v>0.23399981280014975</v>
      </c>
      <c r="F8" s="29">
        <f>'Cap Table'!R19</f>
        <v>0</v>
      </c>
      <c r="G8" s="31"/>
      <c r="H8" s="29">
        <f>'Cap Table'!AC19</f>
        <v>0</v>
      </c>
      <c r="I8" s="32">
        <f ca="1">H8/$H$19</f>
        <v>0</v>
      </c>
      <c r="J8" s="33"/>
      <c r="K8" s="34">
        <f t="shared" si="0"/>
        <v>650</v>
      </c>
      <c r="L8" s="29">
        <f t="shared" si="1"/>
        <v>0</v>
      </c>
      <c r="M8" s="35">
        <f t="shared" si="2"/>
        <v>650</v>
      </c>
      <c r="N8" s="59">
        <f t="shared" ca="1" si="3"/>
        <v>0.14178858667318167</v>
      </c>
      <c r="O8" s="37">
        <f t="shared" ca="1" si="4"/>
        <v>0.12495946340163164</v>
      </c>
    </row>
    <row r="9" spans="1:15" x14ac:dyDescent="0.2">
      <c r="A9" s="22"/>
      <c r="B9" s="23"/>
      <c r="C9" s="28" t="str">
        <f>'Cap Table'!C20</f>
        <v>Founder 4</v>
      </c>
      <c r="D9" s="29">
        <f>'Cap Table'!D20</f>
        <v>200</v>
      </c>
      <c r="E9" s="30">
        <f t="shared" ref="E9:E18" si="5">IFERROR(D9/$D$19,0)</f>
        <v>7.1999942400046077E-2</v>
      </c>
      <c r="F9" s="29">
        <f>'Cap Table'!R20</f>
        <v>0</v>
      </c>
      <c r="G9" s="31"/>
      <c r="H9" s="29">
        <f>'Cap Table'!AC20</f>
        <v>0</v>
      </c>
      <c r="I9" s="32">
        <f ca="1">H9/$H$19</f>
        <v>0</v>
      </c>
      <c r="J9" s="33"/>
      <c r="K9" s="34">
        <f t="shared" si="0"/>
        <v>200</v>
      </c>
      <c r="L9" s="29">
        <f t="shared" si="1"/>
        <v>0</v>
      </c>
      <c r="M9" s="35">
        <f t="shared" si="2"/>
        <v>200</v>
      </c>
      <c r="N9" s="59">
        <f t="shared" ca="1" si="3"/>
        <v>4.3627257437902051E-2</v>
      </c>
      <c r="O9" s="37">
        <f t="shared" ca="1" si="4"/>
        <v>3.8449065662040503E-2</v>
      </c>
    </row>
    <row r="10" spans="1:15" x14ac:dyDescent="0.2">
      <c r="A10" s="22"/>
      <c r="B10" s="23"/>
      <c r="C10" s="28" t="str">
        <f>'Cap Table'!C24</f>
        <v>Convertible Investor 1</v>
      </c>
      <c r="D10" s="29">
        <f>'Cap Table'!D24</f>
        <v>0</v>
      </c>
      <c r="E10" s="30">
        <f t="shared" si="5"/>
        <v>0</v>
      </c>
      <c r="F10" s="38">
        <f ca="1">'Cap Table'!R24</f>
        <v>313.69</v>
      </c>
      <c r="G10" s="31"/>
      <c r="H10" s="29">
        <f>'Cap Table'!AC24</f>
        <v>0</v>
      </c>
      <c r="I10" s="32">
        <f ca="1">(F10+H10)/($F$19+$H$19)</f>
        <v>0.15050208944052892</v>
      </c>
      <c r="J10" s="33"/>
      <c r="K10" s="34">
        <f t="shared" si="0"/>
        <v>0</v>
      </c>
      <c r="L10" s="36">
        <f t="shared" ca="1" si="1"/>
        <v>313.69</v>
      </c>
      <c r="M10" s="35">
        <f t="shared" ca="1" si="2"/>
        <v>313.69</v>
      </c>
      <c r="N10" s="59">
        <f t="shared" ca="1" si="3"/>
        <v>6.842717192847747E-2</v>
      </c>
      <c r="O10" s="37">
        <f t="shared" ca="1" si="4"/>
        <v>6.0305437037627432E-2</v>
      </c>
    </row>
    <row r="11" spans="1:15" x14ac:dyDescent="0.2">
      <c r="A11" s="22"/>
      <c r="B11" s="23"/>
      <c r="C11" s="28" t="str">
        <f>'Cap Table'!C25</f>
        <v>Convertible Investor 2</v>
      </c>
      <c r="D11" s="29">
        <f>'Cap Table'!D25</f>
        <v>0</v>
      </c>
      <c r="E11" s="30">
        <f t="shared" si="5"/>
        <v>0</v>
      </c>
      <c r="F11" s="38">
        <f ca="1">'Cap Table'!R25</f>
        <v>188.59</v>
      </c>
      <c r="G11" s="31"/>
      <c r="H11" s="29">
        <f>'Cap Table'!AC25</f>
        <v>0</v>
      </c>
      <c r="I11" s="32">
        <f t="shared" ref="I11:I16" ca="1" si="6">(F11+H11)/($F$19+$H$19)</f>
        <v>9.0481650825940729E-2</v>
      </c>
      <c r="J11" s="33"/>
      <c r="K11" s="34">
        <f t="shared" si="0"/>
        <v>0</v>
      </c>
      <c r="L11" s="36">
        <f t="shared" ca="1" si="1"/>
        <v>188.59</v>
      </c>
      <c r="M11" s="35">
        <f t="shared" ca="1" si="2"/>
        <v>188.59</v>
      </c>
      <c r="N11" s="59">
        <f t="shared" ca="1" si="3"/>
        <v>4.1138322401069745E-2</v>
      </c>
      <c r="O11" s="37">
        <f t="shared" ca="1" si="4"/>
        <v>3.6255546466021096E-2</v>
      </c>
    </row>
    <row r="12" spans="1:15" x14ac:dyDescent="0.2">
      <c r="A12" s="22"/>
      <c r="B12" s="23"/>
      <c r="C12" s="28" t="str">
        <f>'Cap Table'!C26</f>
        <v>Convertible Investor 3</v>
      </c>
      <c r="D12" s="29">
        <f>'Cap Table'!D26</f>
        <v>0</v>
      </c>
      <c r="E12" s="30">
        <f t="shared" si="5"/>
        <v>0</v>
      </c>
      <c r="F12" s="38">
        <f ca="1">'Cap Table'!R26</f>
        <v>125.33</v>
      </c>
      <c r="G12" s="31"/>
      <c r="H12" s="29">
        <f>'Cap Table'!AC26</f>
        <v>0</v>
      </c>
      <c r="I12" s="32">
        <f t="shared" ca="1" si="6"/>
        <v>6.0130787942176953E-2</v>
      </c>
      <c r="J12" s="33"/>
      <c r="K12" s="34">
        <f t="shared" si="0"/>
        <v>0</v>
      </c>
      <c r="L12" s="36">
        <f t="shared" ca="1" si="1"/>
        <v>125.33</v>
      </c>
      <c r="M12" s="35">
        <f t="shared" ca="1" si="2"/>
        <v>125.33</v>
      </c>
      <c r="N12" s="59">
        <f t="shared" ca="1" si="3"/>
        <v>2.7339020873461323E-2</v>
      </c>
      <c r="O12" s="37">
        <f t="shared" ca="1" si="4"/>
        <v>2.4094106997117684E-2</v>
      </c>
    </row>
    <row r="13" spans="1:15" x14ac:dyDescent="0.2">
      <c r="A13" s="22"/>
      <c r="B13" s="23"/>
      <c r="C13" s="28" t="str">
        <f>'Cap Table'!C27</f>
        <v>Pre-money SAFE Investor</v>
      </c>
      <c r="D13" s="29">
        <f>'Cap Table'!D27</f>
        <v>0</v>
      </c>
      <c r="E13" s="30">
        <f t="shared" si="5"/>
        <v>0</v>
      </c>
      <c r="F13" s="38">
        <f ca="1">'Cap Table'!Y27</f>
        <v>187.04</v>
      </c>
      <c r="G13" s="31"/>
      <c r="H13" s="29">
        <f>'Cap Table'!AC27</f>
        <v>0</v>
      </c>
      <c r="I13" s="32">
        <f t="shared" ca="1" si="6"/>
        <v>8.9737992313929441E-2</v>
      </c>
      <c r="J13" s="33"/>
      <c r="K13" s="34">
        <f t="shared" si="0"/>
        <v>0</v>
      </c>
      <c r="L13" s="36">
        <f t="shared" ca="1" si="1"/>
        <v>187.04</v>
      </c>
      <c r="M13" s="35">
        <f t="shared" ca="1" si="2"/>
        <v>187.04</v>
      </c>
      <c r="N13" s="59">
        <f t="shared" ca="1" si="3"/>
        <v>4.0800211155925997E-2</v>
      </c>
      <c r="O13" s="37">
        <f t="shared" ca="1" si="4"/>
        <v>3.595756620714028E-2</v>
      </c>
    </row>
    <row r="14" spans="1:15" x14ac:dyDescent="0.2">
      <c r="A14" s="22"/>
      <c r="B14" s="23"/>
      <c r="C14" s="28" t="str">
        <f>'Cap Table'!C28</f>
        <v>Post-money SAFE Investor</v>
      </c>
      <c r="D14" s="29">
        <f>'Cap Table'!D28</f>
        <v>0</v>
      </c>
      <c r="E14" s="30">
        <f t="shared" si="5"/>
        <v>0</v>
      </c>
      <c r="F14" s="38">
        <f ca="1">'Cap Table'!Y28</f>
        <v>229.3</v>
      </c>
      <c r="G14" s="31"/>
      <c r="H14" s="29">
        <f>'Cap Table'!AC28</f>
        <v>0</v>
      </c>
      <c r="I14" s="32">
        <f t="shared" ca="1" si="6"/>
        <v>0.11001348180915324</v>
      </c>
      <c r="J14" s="33"/>
      <c r="K14" s="34">
        <f t="shared" si="0"/>
        <v>0</v>
      </c>
      <c r="L14" s="36">
        <f t="shared" ca="1" si="1"/>
        <v>229.3</v>
      </c>
      <c r="M14" s="35">
        <f t="shared" ca="1" si="2"/>
        <v>229.3</v>
      </c>
      <c r="N14" s="59">
        <f t="shared" ca="1" si="3"/>
        <v>5.0018650652554703E-2</v>
      </c>
      <c r="O14" s="37">
        <f t="shared" ca="1" si="4"/>
        <v>4.4081853781529443E-2</v>
      </c>
    </row>
    <row r="15" spans="1:15" x14ac:dyDescent="0.2">
      <c r="A15" s="22"/>
      <c r="B15" s="23"/>
      <c r="C15" s="28" t="str">
        <f>'Cap Table'!C29</f>
        <v>Seed Investor 1</v>
      </c>
      <c r="D15" s="29">
        <f>'Cap Table'!D29</f>
        <v>0</v>
      </c>
      <c r="E15" s="30">
        <f t="shared" si="5"/>
        <v>0</v>
      </c>
      <c r="F15" s="29">
        <f>'Cap Table'!R29</f>
        <v>0</v>
      </c>
      <c r="G15" s="39">
        <f ca="1">'Cap Table'!AB29</f>
        <v>500003.01</v>
      </c>
      <c r="H15" s="40">
        <f ca="1">'Cap Table'!AC29</f>
        <v>520.16999999999996</v>
      </c>
      <c r="I15" s="32">
        <f ca="1">(F15+H15)/($F$19+$H$19)</f>
        <v>0.24956699883413536</v>
      </c>
      <c r="J15" s="33"/>
      <c r="K15" s="34">
        <f t="shared" si="0"/>
        <v>0</v>
      </c>
      <c r="L15" s="36">
        <f t="shared" ca="1" si="1"/>
        <v>520.16999999999996</v>
      </c>
      <c r="M15" s="35">
        <f t="shared" ca="1" si="2"/>
        <v>520.16999999999996</v>
      </c>
      <c r="N15" s="59">
        <f t="shared" ca="1" si="3"/>
        <v>0.11346795250736755</v>
      </c>
      <c r="O15" s="37">
        <f t="shared" ca="1" si="4"/>
        <v>0.10000025242711805</v>
      </c>
    </row>
    <row r="16" spans="1:15" x14ac:dyDescent="0.2">
      <c r="A16" s="22"/>
      <c r="B16" s="23"/>
      <c r="C16" s="28" t="str">
        <f>'Cap Table'!C30</f>
        <v>Seed Investor 2</v>
      </c>
      <c r="D16" s="29">
        <f>'Cap Table'!D30</f>
        <v>0</v>
      </c>
      <c r="E16" s="30">
        <f t="shared" si="5"/>
        <v>0</v>
      </c>
      <c r="F16" s="29">
        <f>'Cap Table'!R30</f>
        <v>0</v>
      </c>
      <c r="G16" s="39">
        <f ca="1">'Cap Table'!AB30</f>
        <v>500003.01</v>
      </c>
      <c r="H16" s="40">
        <f ca="1">'Cap Table'!AC30</f>
        <v>520.16999999999996</v>
      </c>
      <c r="I16" s="32">
        <f t="shared" ca="1" si="6"/>
        <v>0.24956699883413536</v>
      </c>
      <c r="J16" s="33"/>
      <c r="K16" s="34">
        <f t="shared" si="0"/>
        <v>0</v>
      </c>
      <c r="L16" s="36">
        <f t="shared" ca="1" si="1"/>
        <v>520.16999999999996</v>
      </c>
      <c r="M16" s="35">
        <f t="shared" ca="1" si="2"/>
        <v>520.16999999999996</v>
      </c>
      <c r="N16" s="59">
        <f t="shared" ca="1" si="3"/>
        <v>0.11346795250736755</v>
      </c>
      <c r="O16" s="37">
        <f t="shared" ca="1" si="4"/>
        <v>0.10000025242711805</v>
      </c>
    </row>
    <row r="17" spans="1:26" x14ac:dyDescent="0.2">
      <c r="A17" s="22"/>
      <c r="B17" s="23"/>
      <c r="C17" s="28" t="s">
        <v>47</v>
      </c>
      <c r="D17" s="29">
        <f>'Cap Table'!F21+'Cap Table'!F22+'Cap Table'!F23</f>
        <v>97.23</v>
      </c>
      <c r="E17" s="30">
        <f t="shared" si="5"/>
        <v>3.50027719977824E-2</v>
      </c>
      <c r="F17" s="29">
        <v>0</v>
      </c>
      <c r="G17" s="31"/>
      <c r="H17" s="29">
        <v>0</v>
      </c>
      <c r="I17" s="32">
        <f ca="1">H17/$H$19</f>
        <v>0</v>
      </c>
      <c r="J17" s="33"/>
      <c r="K17" s="34">
        <f t="shared" si="0"/>
        <v>97.23</v>
      </c>
      <c r="L17" s="29">
        <f t="shared" si="1"/>
        <v>0</v>
      </c>
      <c r="M17" s="35">
        <f t="shared" si="2"/>
        <v>97.23</v>
      </c>
      <c r="N17" s="36"/>
      <c r="O17" s="37">
        <f t="shared" ca="1" si="4"/>
        <v>1.8692013271600992E-2</v>
      </c>
    </row>
    <row r="18" spans="1:26" ht="16" thickBot="1" x14ac:dyDescent="0.25">
      <c r="A18" s="22"/>
      <c r="B18" s="23"/>
      <c r="C18" s="41" t="s">
        <v>48</v>
      </c>
      <c r="D18" s="42">
        <f>'Cap Table'!F31</f>
        <v>180.55</v>
      </c>
      <c r="E18" s="43">
        <f t="shared" si="5"/>
        <v>6.4997948001641603E-2</v>
      </c>
      <c r="F18" s="42">
        <v>0</v>
      </c>
      <c r="G18" s="44"/>
      <c r="H18" s="42">
        <v>0</v>
      </c>
      <c r="I18" s="45">
        <f ca="1">H18/$H$19</f>
        <v>0</v>
      </c>
      <c r="J18" s="46">
        <f ca="1">'Cap Table'!Z32</f>
        <v>339.61686953174575</v>
      </c>
      <c r="K18" s="47">
        <f ca="1">D18+J18</f>
        <v>520.16686953174576</v>
      </c>
      <c r="L18" s="42">
        <f t="shared" si="1"/>
        <v>0</v>
      </c>
      <c r="M18" s="48">
        <f t="shared" ca="1" si="2"/>
        <v>520.16686953174576</v>
      </c>
      <c r="N18" s="49"/>
      <c r="O18" s="50">
        <f t="shared" ca="1" si="4"/>
        <v>9.9999650609220753E-2</v>
      </c>
    </row>
    <row r="19" spans="1:26" s="12" customFormat="1" ht="16" thickBot="1" x14ac:dyDescent="0.25">
      <c r="A19" s="51"/>
      <c r="B19" s="52"/>
      <c r="C19" s="53" t="s">
        <v>6</v>
      </c>
      <c r="D19" s="64">
        <f>SUM(D6:D18)</f>
        <v>2777.78</v>
      </c>
      <c r="E19" s="54">
        <f>SUM(E6:E18)</f>
        <v>1</v>
      </c>
      <c r="F19" s="55">
        <f ca="1">SUM(F6:F18)</f>
        <v>1043.95</v>
      </c>
      <c r="G19" s="56"/>
      <c r="H19" s="63">
        <f ca="1">SUM(H6:H18)</f>
        <v>1040.3399999999999</v>
      </c>
      <c r="I19" s="57">
        <f ca="1">SUM(I6:I18)</f>
        <v>1</v>
      </c>
      <c r="J19" s="58"/>
      <c r="K19" s="61">
        <f ca="1">SUM(K6:K18)</f>
        <v>3117.3968695317458</v>
      </c>
      <c r="L19" s="62">
        <f ca="1">SUM(L6:L18)</f>
        <v>2084.29</v>
      </c>
      <c r="M19" s="62">
        <f ca="1">SUM(M6:M18)</f>
        <v>5201.6868695317453</v>
      </c>
      <c r="N19" s="60">
        <f ca="1">SUM(N6:N16)</f>
        <v>0.99999999999999989</v>
      </c>
      <c r="O19" s="54">
        <f ca="1">SUM(O6:O18)</f>
        <v>1</v>
      </c>
      <c r="P19" s="16"/>
      <c r="Q19" s="16"/>
      <c r="R19" s="17"/>
      <c r="S19" s="18"/>
      <c r="T19" s="16"/>
      <c r="U19" s="18"/>
      <c r="V19" s="16"/>
      <c r="W19" s="15"/>
      <c r="X19" s="19"/>
    </row>
    <row r="20" spans="1:26" x14ac:dyDescent="0.2"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C21" s="6"/>
      <c r="D21" s="6"/>
      <c r="E21" s="6"/>
      <c r="F21" s="6"/>
      <c r="G21" s="6"/>
      <c r="H21" s="6"/>
      <c r="I21" s="6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C22" s="20"/>
      <c r="D22" s="9"/>
      <c r="E22" s="9"/>
      <c r="F22" s="9"/>
      <c r="G22" s="9"/>
      <c r="H22" s="13"/>
      <c r="I22" s="6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C23" s="20"/>
      <c r="D23" s="20"/>
      <c r="E23" s="20"/>
      <c r="F23" s="20"/>
      <c r="G23" s="20"/>
      <c r="H23" s="13"/>
      <c r="I23" s="6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C24" s="13"/>
      <c r="D24" s="13"/>
      <c r="E24" s="21"/>
      <c r="F24" s="13"/>
      <c r="G24" s="13"/>
      <c r="H24" s="13"/>
      <c r="I24" s="6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C25" s="13"/>
      <c r="D25" s="13"/>
      <c r="E25" s="21"/>
      <c r="F25" s="13"/>
      <c r="G25" s="13"/>
      <c r="H25" s="13"/>
      <c r="I25" s="6"/>
    </row>
    <row r="26" spans="1:26" x14ac:dyDescent="0.2">
      <c r="C26" s="13"/>
      <c r="D26" s="13"/>
      <c r="E26" s="21"/>
      <c r="F26" s="14"/>
      <c r="G26" s="14"/>
      <c r="H26" s="13"/>
      <c r="I26" s="6"/>
    </row>
    <row r="27" spans="1:26" x14ac:dyDescent="0.2">
      <c r="C27" s="13"/>
      <c r="D27" s="13"/>
      <c r="E27" s="21"/>
      <c r="F27" s="13"/>
      <c r="G27" s="13"/>
      <c r="H27" s="13"/>
      <c r="I27" s="6"/>
    </row>
    <row r="28" spans="1:26" x14ac:dyDescent="0.2">
      <c r="C28" s="13"/>
      <c r="D28" s="13"/>
      <c r="E28" s="21"/>
      <c r="F28" s="13"/>
      <c r="G28" s="13"/>
      <c r="H28" s="13"/>
      <c r="I28" s="6"/>
    </row>
    <row r="29" spans="1:26" x14ac:dyDescent="0.2">
      <c r="C29" s="13"/>
      <c r="D29" s="13"/>
      <c r="E29" s="21"/>
      <c r="F29" s="13"/>
      <c r="G29" s="13"/>
      <c r="H29" s="13"/>
      <c r="I29" s="6"/>
    </row>
    <row r="30" spans="1:26" x14ac:dyDescent="0.2">
      <c r="C30" s="20"/>
      <c r="D30" s="13"/>
      <c r="E30" s="21"/>
      <c r="F30" s="14"/>
      <c r="G30" s="14"/>
      <c r="H30" s="13"/>
      <c r="I30" s="6"/>
    </row>
    <row r="31" spans="1:26" x14ac:dyDescent="0.2">
      <c r="C31" s="13"/>
      <c r="D31" s="13"/>
      <c r="E31" s="13"/>
      <c r="F31" s="13"/>
      <c r="G31" s="13"/>
      <c r="H31" s="13"/>
      <c r="I31" s="6"/>
    </row>
    <row r="32" spans="1:26" x14ac:dyDescent="0.2">
      <c r="C32" s="13"/>
      <c r="D32" s="13"/>
      <c r="E32" s="13"/>
      <c r="F32" s="13"/>
      <c r="G32" s="13"/>
      <c r="H32" s="13"/>
      <c r="I32" s="6"/>
    </row>
    <row r="33" spans="3:9" x14ac:dyDescent="0.2">
      <c r="C33" s="6"/>
      <c r="D33" s="6"/>
      <c r="E33" s="6"/>
      <c r="F33" s="6"/>
      <c r="G33" s="6"/>
      <c r="H33" s="6"/>
      <c r="I33" s="6"/>
    </row>
  </sheetData>
  <mergeCells count="15">
    <mergeCell ref="K3:O3"/>
    <mergeCell ref="H4:H5"/>
    <mergeCell ref="F4:F5"/>
    <mergeCell ref="C3:E3"/>
    <mergeCell ref="F3:J3"/>
    <mergeCell ref="J4:J5"/>
    <mergeCell ref="M4:M5"/>
    <mergeCell ref="D4:D5"/>
    <mergeCell ref="E4:E5"/>
    <mergeCell ref="G4:G5"/>
    <mergeCell ref="K4:K5"/>
    <mergeCell ref="L4:L5"/>
    <mergeCell ref="N4:N5"/>
    <mergeCell ref="O4:O5"/>
    <mergeCell ref="I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and Inputs</vt:lpstr>
      <vt:lpstr>Cap Table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2020-05-28T13:15:36Z</dcterms:created>
  <dcterms:modified xsi:type="dcterms:W3CDTF">2020-08-13T19:09:56Z</dcterms:modified>
</cp:coreProperties>
</file>