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7"/>
  <workbookPr autoCompressPictures="0"/>
  <mc:AlternateContent xmlns:mc="http://schemas.openxmlformats.org/markup-compatibility/2006">
    <mc:Choice Requires="x15">
      <x15ac:absPath xmlns:x15ac="http://schemas.microsoft.com/office/spreadsheetml/2010/11/ac" url="/Users/danielfaloppa/Downloads/pt/"/>
    </mc:Choice>
  </mc:AlternateContent>
  <xr:revisionPtr revIDLastSave="0" documentId="13_ncr:1_{7A467549-6B9B-9C4A-80F1-BF1A4E263405}" xr6:coauthVersionLast="47" xr6:coauthVersionMax="47" xr10:uidLastSave="{00000000-0000-0000-0000-000000000000}"/>
  <bookViews>
    <workbookView xWindow="2060" yWindow="540" windowWidth="30100" windowHeight="21300" activeTab="8" xr2:uid="{00000000-000D-0000-FFFF-FFFF00000000}"/>
  </bookViews>
  <sheets>
    <sheet name="Introduction" sheetId="1" r:id="rId1"/>
    <sheet name="Summary Financials" sheetId="2" r:id="rId2"/>
    <sheet name="Year 1" sheetId="3" r:id="rId3"/>
    <sheet name="Year 2" sheetId="4" r:id="rId4"/>
    <sheet name="Year 3" sheetId="5" r:id="rId5"/>
    <sheet name="Year 4" sheetId="6" r:id="rId6"/>
    <sheet name="Year 5" sheetId="7" r:id="rId7"/>
    <sheet name="Financing Schedule" sheetId="8" r:id="rId8"/>
    <sheet name="Equidam Financials Input" sheetId="10" r:id="rId9"/>
    <sheet name="Overview of Inputs" sheetId="9" r:id="rId10"/>
  </sheets>
  <externalReferences>
    <externalReference r:id="rId11"/>
  </externalReferences>
  <definedNames>
    <definedName name="_xlnm._FilterDatabase" localSheetId="1" hidden="1">'Overview of Inputs'!#REF!</definedName>
    <definedName name="accrued_employee_and_crew_salary">'Equidam Financials Input'!$N$90:$S$90</definedName>
    <definedName name="accrued_IT_expenses">'Equidam Financials Input'!$N$91:$S$91</definedName>
    <definedName name="accrued_manag_salary">'Equidam Financials Input'!$N$88:$S$88</definedName>
    <definedName name="accrued_postholder_salary">'Equidam Financials Input'!$N$89:$S$89</definedName>
    <definedName name="aircraft_lease">'Equidam Financials Input'!$N$41:$S$41</definedName>
    <definedName name="aircraft_lease_deposit">'Equidam Financials Input'!$N$53:$S$53</definedName>
    <definedName name="aircraft_subscriptions">'Equidam Financials Input'!$N$44:$S$44</definedName>
    <definedName name="av_receivable_days">'[1]BWI Assumption Workings'!$D$80</definedName>
    <definedName name="cash_and_cash_equiv">'Equidam Financials Input'!$E$36:$J$36</definedName>
    <definedName name="change_in_NWC">'Equidam Financials Input'!$N$97:$S$97</definedName>
    <definedName name="contingency">'Equidam Financials Input'!$N$62:$S$62</definedName>
    <definedName name="Cost_of_Goods_Sold">'Equidam Financials Input'!$N$45:$S$45</definedName>
    <definedName name="crew_salary">'Equidam Financials Input'!$N$50:$S$50</definedName>
    <definedName name="current_assets">'Equidam Financials Input'!$N$86:$S$86</definedName>
    <definedName name="current_liabilities">'Equidam Financials Input'!$N$92:$S$92</definedName>
    <definedName name="days_in_year">'[1]BWI Assumption Workings'!$D$23</definedName>
    <definedName name="debt">'Equidam Financials Input'!$E$60:$J$60</definedName>
    <definedName name="EBIT">'Equidam Financials Input'!$N$75:$S$75</definedName>
    <definedName name="EBITDA">'Equidam Financials Input'!$N$68:$S$68</definedName>
    <definedName name="employee_salary">'Equidam Financials Input'!$N$49:$S$49</definedName>
    <definedName name="furn_soft_equip">'Equidam Financials Input'!$N$58:$S$58</definedName>
    <definedName name="furn_soft_equip_depreciation">'Equidam Financials Input'!$N$71:$S$71</definedName>
    <definedName name="initial_training">'Equidam Financials Input'!$N$56:$S$56</definedName>
    <definedName name="insurance">'Equidam Financials Input'!$N$42:$S$42</definedName>
    <definedName name="interest_on_debt">'Equidam Financials Input'!$N$77:$S$77</definedName>
    <definedName name="interest_on_debts">'Equidam Financials Input'!$E$27:$J$27</definedName>
    <definedName name="interest_rate">'[1]BWI Assumption Workings'!$D$58</definedName>
    <definedName name="IT">'Equidam Financials Input'!$N$59:$S$59</definedName>
    <definedName name="maintenance">'Equidam Financials Input'!$N$43:$S$43</definedName>
    <definedName name="management_salary">'Equidam Financials Input'!$N$47:$S$47</definedName>
    <definedName name="misc">'Equidam Financials Input'!$N$63:$S$63</definedName>
    <definedName name="net_income">'Equidam Financials Input'!$N$80:$S$80</definedName>
    <definedName name="net_working_capital">'Equidam Financials Input'!$N$94:$S$94</definedName>
    <definedName name="net_working_capital_t_minus_1">'Equidam Financials Input'!$M$94:$R$94</definedName>
    <definedName name="offices">'Equidam Financials Input'!$N$54:$S$54</definedName>
    <definedName name="operating_cash_flow">'Equidam Financials Input'!#REF!</definedName>
    <definedName name="other_operating_cost">'Equidam Financials Input'!$N$64:$S$64</definedName>
    <definedName name="Postholder_salary">'Equidam Financials Input'!$N$48:$S$48</definedName>
    <definedName name="recurrent_training">'Equidam Financials Input'!$N$57:$S$57</definedName>
    <definedName name="required_capital">'Equidam Financials Input'!$M$10</definedName>
    <definedName name="revenues">'Equidam Financials Input'!$N$39:$S$39</definedName>
    <definedName name="revised_ACMI">'[1]CASH FLOW with Yearly results'!$BO$8:$BT$8</definedName>
    <definedName name="Salary">'Equidam Financials Input'!$N$51:$S$51</definedName>
    <definedName name="spain_corp_tax_rate">'[1]BWI Assumption Workings'!$D$74</definedName>
    <definedName name="start_up_cost_amortization">'Equidam Financials Input'!$N$72:$S$72</definedName>
    <definedName name="subscriptions">'Equidam Financials Input'!$N$60:$S$60</definedName>
    <definedName name="tax">'Equidam Financials Input'!$N$78:$S$78</definedName>
    <definedName name="total_dep_and_amort">'Equidam Financials Input'!$N$73:$S$73</definedName>
    <definedName name="total_operating_expenses">'Equidam Financials Input'!$N$66:$S$66</definedName>
    <definedName name="total_revised_startup_costs">'Equidam Financials Input'!$M$34</definedName>
    <definedName name="total_shareholders_equity">'Equidam Financials Input'!$E$62:$J$62</definedName>
    <definedName name="total_startup_asset_funds">'Equidam Financials Input'!$M$17</definedName>
    <definedName name="travel">'Equidam Financials Input'!$N$61:$S$61</definedName>
    <definedName name="uniform_writeoff_expense">'Equidam Financials Input'!$N$70:$S$70</definedName>
    <definedName name="uniforms">'Equidam Financials Input'!$N$55:$S$55</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I24" i="10" l="1"/>
  <c r="H24" i="10"/>
  <c r="G24" i="10"/>
  <c r="F24" i="10"/>
  <c r="E24" i="10"/>
  <c r="I23" i="10"/>
  <c r="H23" i="10"/>
  <c r="G23" i="10"/>
  <c r="F23" i="10"/>
  <c r="E23" i="10"/>
  <c r="I25" i="10" l="1"/>
  <c r="H25" i="10"/>
  <c r="G25" i="10"/>
  <c r="F25" i="10"/>
  <c r="E25" i="10"/>
  <c r="D191" i="4"/>
  <c r="D191" i="5" s="1"/>
  <c r="D191" i="6" s="1"/>
  <c r="D191" i="7" s="1"/>
  <c r="D190" i="4"/>
  <c r="D190" i="5" s="1"/>
  <c r="D190" i="6" s="1"/>
  <c r="D189" i="4"/>
  <c r="D189" i="5" s="1"/>
  <c r="D189" i="6" s="1"/>
  <c r="D188" i="4"/>
  <c r="D188" i="5" s="1"/>
  <c r="D188" i="6" s="1"/>
  <c r="D188" i="7" s="1"/>
  <c r="I4" i="7"/>
  <c r="I118" i="7" s="1"/>
  <c r="G13" i="8"/>
  <c r="G14" i="8"/>
  <c r="H278" i="7" s="1"/>
  <c r="G15" i="8"/>
  <c r="G16" i="8"/>
  <c r="G17" i="8"/>
  <c r="E245" i="4"/>
  <c r="E245" i="5" s="1"/>
  <c r="I13" i="8"/>
  <c r="H118" i="7"/>
  <c r="F105" i="4"/>
  <c r="F105" i="5" s="1"/>
  <c r="E105" i="4"/>
  <c r="M105" i="4"/>
  <c r="F106" i="4"/>
  <c r="F106" i="5" s="1"/>
  <c r="E106" i="4"/>
  <c r="E106" i="5"/>
  <c r="G87" i="4"/>
  <c r="G87" i="5"/>
  <c r="G87" i="6" s="1"/>
  <c r="E87" i="4"/>
  <c r="F87" i="4"/>
  <c r="L87" i="4" s="1"/>
  <c r="G88" i="4"/>
  <c r="E88" i="4"/>
  <c r="F88" i="4"/>
  <c r="G89" i="4"/>
  <c r="G89" i="5" s="1"/>
  <c r="E89" i="4"/>
  <c r="E89" i="5" s="1"/>
  <c r="F89" i="4"/>
  <c r="F89" i="5"/>
  <c r="G90" i="4"/>
  <c r="G90" i="5" s="1"/>
  <c r="G90" i="6" s="1"/>
  <c r="E90" i="4"/>
  <c r="Q90" i="4" s="1"/>
  <c r="F90" i="4"/>
  <c r="F90" i="5" s="1"/>
  <c r="G91" i="4"/>
  <c r="G91" i="5"/>
  <c r="M68" i="9" s="1"/>
  <c r="G91" i="6"/>
  <c r="E91" i="4"/>
  <c r="I91" i="4" s="1"/>
  <c r="F91" i="4"/>
  <c r="F91" i="5" s="1"/>
  <c r="F91" i="6" s="1"/>
  <c r="G92" i="4"/>
  <c r="G92" i="5" s="1"/>
  <c r="G92" i="6" s="1"/>
  <c r="E92" i="4"/>
  <c r="F92" i="4"/>
  <c r="F92" i="5"/>
  <c r="G93" i="4"/>
  <c r="E93" i="4"/>
  <c r="F93" i="4"/>
  <c r="G94" i="4"/>
  <c r="G94" i="5"/>
  <c r="G94" i="6" s="1"/>
  <c r="G94" i="7" s="1"/>
  <c r="S71" i="9" s="1"/>
  <c r="E94" i="4"/>
  <c r="F94" i="4"/>
  <c r="F94" i="5"/>
  <c r="F94" i="6" s="1"/>
  <c r="G95" i="4"/>
  <c r="G95" i="5" s="1"/>
  <c r="E95" i="4"/>
  <c r="E95" i="5"/>
  <c r="F95" i="4"/>
  <c r="E98" i="4"/>
  <c r="E98" i="5" s="1"/>
  <c r="E98" i="6" s="1"/>
  <c r="F98" i="4"/>
  <c r="F98" i="5"/>
  <c r="D98" i="4"/>
  <c r="D98" i="5" s="1"/>
  <c r="E99" i="4"/>
  <c r="E99" i="5" s="1"/>
  <c r="F99" i="4"/>
  <c r="D99" i="4"/>
  <c r="D99" i="5" s="1"/>
  <c r="D99" i="6" s="1"/>
  <c r="D99" i="7" s="1"/>
  <c r="E100" i="4"/>
  <c r="O100" i="4" s="1"/>
  <c r="E100" i="5"/>
  <c r="F100" i="4"/>
  <c r="F100" i="5" s="1"/>
  <c r="D100" i="4"/>
  <c r="D100" i="5"/>
  <c r="D100" i="6" s="1"/>
  <c r="D100" i="7" s="1"/>
  <c r="F107" i="4"/>
  <c r="F107" i="5" s="1"/>
  <c r="E107" i="4"/>
  <c r="F108" i="4"/>
  <c r="F108" i="5" s="1"/>
  <c r="E108" i="4"/>
  <c r="F109" i="4"/>
  <c r="F109" i="5" s="1"/>
  <c r="F109" i="6" s="1"/>
  <c r="F109" i="7" s="1"/>
  <c r="R86" i="9" s="1"/>
  <c r="E109" i="4"/>
  <c r="E109" i="5"/>
  <c r="E109" i="6" s="1"/>
  <c r="F110" i="4"/>
  <c r="F110" i="5" s="1"/>
  <c r="E110" i="4"/>
  <c r="E110" i="5" s="1"/>
  <c r="F111" i="4"/>
  <c r="F111" i="5" s="1"/>
  <c r="E111" i="4"/>
  <c r="E111" i="5"/>
  <c r="E111" i="6"/>
  <c r="F112" i="4"/>
  <c r="F112" i="5" s="1"/>
  <c r="E112" i="4"/>
  <c r="E112" i="5"/>
  <c r="E244" i="4"/>
  <c r="E244" i="5" s="1"/>
  <c r="E244" i="6" s="1"/>
  <c r="E244" i="7" s="1"/>
  <c r="Q184" i="9" s="1"/>
  <c r="E243" i="4"/>
  <c r="E139" i="4"/>
  <c r="E139" i="5"/>
  <c r="E139" i="6"/>
  <c r="F139" i="4"/>
  <c r="E242" i="4"/>
  <c r="E242" i="5"/>
  <c r="E242" i="6" s="1"/>
  <c r="E138" i="4"/>
  <c r="E138" i="5" s="1"/>
  <c r="F138" i="4"/>
  <c r="F138" i="5"/>
  <c r="E241" i="4"/>
  <c r="E241" i="5"/>
  <c r="E137" i="4"/>
  <c r="F137" i="4"/>
  <c r="F137" i="5"/>
  <c r="E240" i="4"/>
  <c r="E240" i="5" s="1"/>
  <c r="K180" i="9" s="1"/>
  <c r="E136" i="4"/>
  <c r="R136" i="4" s="1"/>
  <c r="R239" i="4" s="1"/>
  <c r="F136" i="4"/>
  <c r="F136" i="5" s="1"/>
  <c r="F136" i="6" s="1"/>
  <c r="E239" i="4"/>
  <c r="E239" i="5"/>
  <c r="E135" i="4"/>
  <c r="E135" i="5"/>
  <c r="E135" i="6"/>
  <c r="N110" i="9" s="1"/>
  <c r="F135" i="4"/>
  <c r="P135" i="4" s="1"/>
  <c r="P238" i="4" s="1"/>
  <c r="E238" i="4"/>
  <c r="E238" i="5"/>
  <c r="E238" i="6" s="1"/>
  <c r="E238" i="7" s="1"/>
  <c r="Q178" i="9" s="1"/>
  <c r="E134" i="4"/>
  <c r="E134" i="5"/>
  <c r="E134" i="6" s="1"/>
  <c r="E134" i="7" s="1"/>
  <c r="F134" i="4"/>
  <c r="J134" i="4" s="1"/>
  <c r="J237" i="4" s="1"/>
  <c r="E237" i="4"/>
  <c r="E237" i="5" s="1"/>
  <c r="E133" i="4"/>
  <c r="M133" i="4" s="1"/>
  <c r="M236" i="4" s="1"/>
  <c r="F133" i="4"/>
  <c r="F133" i="5" s="1"/>
  <c r="F133" i="6" s="1"/>
  <c r="E236" i="4"/>
  <c r="E236" i="5" s="1"/>
  <c r="K176" i="9" s="1"/>
  <c r="E132" i="4"/>
  <c r="Q132" i="4" s="1"/>
  <c r="Q235" i="4" s="1"/>
  <c r="F132" i="4"/>
  <c r="F132" i="5"/>
  <c r="E235" i="4"/>
  <c r="E131" i="4"/>
  <c r="R131" i="4" s="1"/>
  <c r="R234" i="4" s="1"/>
  <c r="F131" i="4"/>
  <c r="F131" i="5" s="1"/>
  <c r="E234" i="4"/>
  <c r="E234" i="5" s="1"/>
  <c r="K174" i="9" s="1"/>
  <c r="E130" i="4"/>
  <c r="P130" i="4" s="1"/>
  <c r="P233" i="4" s="1"/>
  <c r="F130" i="4"/>
  <c r="R130" i="4" s="1"/>
  <c r="R233" i="4" s="1"/>
  <c r="F130" i="5"/>
  <c r="F130" i="6" s="1"/>
  <c r="E233" i="4"/>
  <c r="E233" i="5" s="1"/>
  <c r="E129" i="4"/>
  <c r="E129" i="5" s="1"/>
  <c r="E129" i="6" s="1"/>
  <c r="E129" i="7" s="1"/>
  <c r="Q104" i="9" s="1"/>
  <c r="F129" i="4"/>
  <c r="E232" i="4"/>
  <c r="E232" i="5" s="1"/>
  <c r="E232" i="6" s="1"/>
  <c r="E232" i="7"/>
  <c r="Q172" i="9" s="1"/>
  <c r="E128" i="4"/>
  <c r="E128" i="5" s="1"/>
  <c r="F128" i="4"/>
  <c r="F128" i="5" s="1"/>
  <c r="F128" i="6" s="1"/>
  <c r="O103" i="9" s="1"/>
  <c r="E231" i="4"/>
  <c r="E231" i="5"/>
  <c r="E231" i="6" s="1"/>
  <c r="E231" i="7" s="1"/>
  <c r="Q171" i="9" s="1"/>
  <c r="E127" i="4"/>
  <c r="H127" i="4" s="1"/>
  <c r="F127" i="4"/>
  <c r="P127" i="4" s="1"/>
  <c r="E230" i="4"/>
  <c r="E126" i="4"/>
  <c r="J126" i="4" s="1"/>
  <c r="E126" i="5"/>
  <c r="E126" i="6" s="1"/>
  <c r="F126" i="4"/>
  <c r="F126" i="5" s="1"/>
  <c r="E229" i="4"/>
  <c r="E229" i="5" s="1"/>
  <c r="K169" i="9" s="1"/>
  <c r="E125" i="4"/>
  <c r="E125" i="5"/>
  <c r="Q125" i="5" s="1"/>
  <c r="F125" i="4"/>
  <c r="P125" i="4" s="1"/>
  <c r="P228" i="4" s="1"/>
  <c r="F125" i="5"/>
  <c r="E228" i="4"/>
  <c r="E228" i="5" s="1"/>
  <c r="K168" i="9" s="1"/>
  <c r="E124" i="4"/>
  <c r="E124" i="5" s="1"/>
  <c r="E124" i="6" s="1"/>
  <c r="E124" i="7"/>
  <c r="F124" i="4"/>
  <c r="E227" i="4"/>
  <c r="E227" i="5"/>
  <c r="E227" i="6" s="1"/>
  <c r="E227" i="7" s="1"/>
  <c r="Q167" i="9" s="1"/>
  <c r="E123" i="4"/>
  <c r="F123" i="4"/>
  <c r="F123" i="5" s="1"/>
  <c r="F123" i="6" s="1"/>
  <c r="E226" i="4"/>
  <c r="E226" i="5" s="1"/>
  <c r="E122" i="4"/>
  <c r="E122" i="5"/>
  <c r="E122" i="6" s="1"/>
  <c r="N97" i="9" s="1"/>
  <c r="F122" i="4"/>
  <c r="F122" i="5" s="1"/>
  <c r="E225" i="4"/>
  <c r="E225" i="5" s="1"/>
  <c r="E121" i="4"/>
  <c r="E121" i="5"/>
  <c r="F121" i="4"/>
  <c r="E224" i="4"/>
  <c r="E224" i="5" s="1"/>
  <c r="E224" i="6" s="1"/>
  <c r="I4" i="3"/>
  <c r="J4" i="3"/>
  <c r="K4" i="3" s="1"/>
  <c r="L4" i="3" s="1"/>
  <c r="L44" i="3" s="1"/>
  <c r="I4" i="4"/>
  <c r="J4" i="4" s="1"/>
  <c r="I4" i="5"/>
  <c r="J4" i="5"/>
  <c r="J44" i="5"/>
  <c r="I4" i="6"/>
  <c r="E223" i="4"/>
  <c r="E223" i="5"/>
  <c r="E223" i="6" s="1"/>
  <c r="E223" i="7" s="1"/>
  <c r="Q163" i="9" s="1"/>
  <c r="H53" i="7"/>
  <c r="E222" i="4"/>
  <c r="E222" i="5" s="1"/>
  <c r="E222" i="6" s="1"/>
  <c r="E221" i="4"/>
  <c r="E221" i="5" s="1"/>
  <c r="K161" i="9" s="1"/>
  <c r="E220" i="4"/>
  <c r="E220" i="5" s="1"/>
  <c r="E220" i="6" s="1"/>
  <c r="N160" i="9" s="1"/>
  <c r="E220" i="7"/>
  <c r="Q160" i="9" s="1"/>
  <c r="S37" i="7"/>
  <c r="R37" i="7"/>
  <c r="Q37" i="7"/>
  <c r="P37" i="7"/>
  <c r="O37" i="7"/>
  <c r="N37" i="7"/>
  <c r="M37" i="7"/>
  <c r="L37" i="7"/>
  <c r="K37" i="7"/>
  <c r="J37" i="7"/>
  <c r="I37" i="7"/>
  <c r="H37" i="7"/>
  <c r="S37" i="6"/>
  <c r="R37" i="6"/>
  <c r="Q37" i="6"/>
  <c r="P37" i="6"/>
  <c r="O37" i="6"/>
  <c r="N37" i="6"/>
  <c r="M37" i="6"/>
  <c r="L37" i="6"/>
  <c r="K37" i="6"/>
  <c r="J37" i="6"/>
  <c r="I37" i="6"/>
  <c r="H37" i="6"/>
  <c r="S37" i="5"/>
  <c r="R37" i="5"/>
  <c r="Q37" i="5"/>
  <c r="P37" i="5"/>
  <c r="O37" i="5"/>
  <c r="N37" i="5"/>
  <c r="M37" i="5"/>
  <c r="L37" i="5"/>
  <c r="K37" i="5"/>
  <c r="J37" i="5"/>
  <c r="I37" i="5"/>
  <c r="H37" i="5"/>
  <c r="S37" i="4"/>
  <c r="R37" i="4"/>
  <c r="Q37" i="4"/>
  <c r="P37" i="4"/>
  <c r="O37" i="4"/>
  <c r="N37" i="4"/>
  <c r="M37" i="4"/>
  <c r="L37" i="4"/>
  <c r="K37" i="4"/>
  <c r="J37" i="4"/>
  <c r="I37" i="4"/>
  <c r="H37" i="4"/>
  <c r="S37" i="3"/>
  <c r="R37" i="3"/>
  <c r="R66" i="3"/>
  <c r="Q37" i="3"/>
  <c r="P37" i="3"/>
  <c r="O37" i="3"/>
  <c r="O66" i="3" s="1"/>
  <c r="N37" i="3"/>
  <c r="N66" i="3" s="1"/>
  <c r="M37" i="3"/>
  <c r="L37" i="3"/>
  <c r="K37" i="3"/>
  <c r="J37" i="3"/>
  <c r="I37" i="3"/>
  <c r="I66" i="3" s="1"/>
  <c r="H37" i="3"/>
  <c r="E32" i="4"/>
  <c r="E32" i="5"/>
  <c r="E32" i="6" s="1"/>
  <c r="N22" i="9" s="1"/>
  <c r="E31" i="4"/>
  <c r="E31" i="5"/>
  <c r="E59" i="4"/>
  <c r="E59" i="5" s="1"/>
  <c r="E219" i="4"/>
  <c r="E219" i="5"/>
  <c r="E219" i="6" s="1"/>
  <c r="E219" i="7" s="1"/>
  <c r="Q159" i="9" s="1"/>
  <c r="S27" i="3"/>
  <c r="E23" i="4"/>
  <c r="E58" i="4"/>
  <c r="E58" i="5" s="1"/>
  <c r="E58" i="6" s="1"/>
  <c r="E58" i="7" s="1"/>
  <c r="Q37" i="9" s="1"/>
  <c r="E218" i="4"/>
  <c r="E218" i="5" s="1"/>
  <c r="S19" i="3"/>
  <c r="E15" i="4"/>
  <c r="E15" i="5"/>
  <c r="E57" i="4"/>
  <c r="E57" i="5" s="1"/>
  <c r="E217" i="4"/>
  <c r="E217" i="5" s="1"/>
  <c r="E217" i="6" s="1"/>
  <c r="N157" i="9" s="1"/>
  <c r="E217" i="7"/>
  <c r="Q157" i="9" s="1"/>
  <c r="S11" i="3"/>
  <c r="E8" i="4" s="1"/>
  <c r="S11" i="4" s="1"/>
  <c r="E8" i="5" s="1"/>
  <c r="K7" i="9" s="1"/>
  <c r="E7" i="4"/>
  <c r="E7" i="5" s="1"/>
  <c r="E7" i="6" s="1"/>
  <c r="E7" i="7" s="1"/>
  <c r="E56" i="4"/>
  <c r="E56" i="5" s="1"/>
  <c r="E216" i="4"/>
  <c r="E216" i="5" s="1"/>
  <c r="E216" i="6" s="1"/>
  <c r="E216" i="7" s="1"/>
  <c r="Q156" i="9" s="1"/>
  <c r="E208" i="4"/>
  <c r="E208" i="5"/>
  <c r="E208" i="6"/>
  <c r="E207" i="4"/>
  <c r="E207" i="5" s="1"/>
  <c r="E207" i="6" s="1"/>
  <c r="E206" i="4"/>
  <c r="E206" i="5" s="1"/>
  <c r="E206" i="6" s="1"/>
  <c r="E205" i="4"/>
  <c r="E205" i="5" s="1"/>
  <c r="E205" i="6" s="1"/>
  <c r="H118" i="6"/>
  <c r="H53" i="6"/>
  <c r="I118" i="5"/>
  <c r="H118" i="5"/>
  <c r="H162" i="5"/>
  <c r="K126" i="5"/>
  <c r="I125" i="5"/>
  <c r="S122" i="5"/>
  <c r="J122" i="5"/>
  <c r="J225" i="5" s="1"/>
  <c r="H53" i="5"/>
  <c r="I53" i="5"/>
  <c r="I118" i="4"/>
  <c r="I162" i="4" s="1"/>
  <c r="H118" i="4"/>
  <c r="H162" i="4"/>
  <c r="S87" i="4"/>
  <c r="S90" i="4"/>
  <c r="S99" i="4"/>
  <c r="R87" i="4"/>
  <c r="R90" i="4"/>
  <c r="R91" i="4"/>
  <c r="R98" i="4"/>
  <c r="Q87" i="4"/>
  <c r="Q89" i="4"/>
  <c r="Q94" i="4"/>
  <c r="P87" i="4"/>
  <c r="P88" i="4"/>
  <c r="P89" i="4"/>
  <c r="P90" i="4"/>
  <c r="P91" i="4"/>
  <c r="P92" i="4"/>
  <c r="P99" i="4"/>
  <c r="O87" i="4"/>
  <c r="O90" i="4"/>
  <c r="O91" i="4"/>
  <c r="O98" i="4"/>
  <c r="N87" i="4"/>
  <c r="N90" i="4"/>
  <c r="M89" i="4"/>
  <c r="M90" i="4"/>
  <c r="M91" i="4"/>
  <c r="M98" i="4"/>
  <c r="M108" i="4"/>
  <c r="L90" i="4"/>
  <c r="L98" i="4"/>
  <c r="K87" i="4"/>
  <c r="K88" i="4"/>
  <c r="K89" i="4"/>
  <c r="K90" i="4"/>
  <c r="K91" i="4"/>
  <c r="K92" i="4"/>
  <c r="K108" i="4"/>
  <c r="J89" i="4"/>
  <c r="J91" i="4"/>
  <c r="J98" i="4"/>
  <c r="I87" i="4"/>
  <c r="I89" i="4"/>
  <c r="I90" i="4"/>
  <c r="I94" i="4"/>
  <c r="H105" i="4"/>
  <c r="H89" i="4"/>
  <c r="H90" i="4"/>
  <c r="H91" i="4"/>
  <c r="H98" i="4"/>
  <c r="K139" i="4"/>
  <c r="K242" i="4" s="1"/>
  <c r="S138" i="4"/>
  <c r="S241" i="4" s="1"/>
  <c r="Q138" i="4"/>
  <c r="Q241" i="4" s="1"/>
  <c r="O138" i="4"/>
  <c r="O241" i="4" s="1"/>
  <c r="N138" i="4"/>
  <c r="N241" i="4" s="1"/>
  <c r="M138" i="4"/>
  <c r="M241" i="4" s="1"/>
  <c r="L138" i="4"/>
  <c r="L241" i="4" s="1"/>
  <c r="K138" i="4"/>
  <c r="K241" i="4" s="1"/>
  <c r="I138" i="4"/>
  <c r="I241" i="4" s="1"/>
  <c r="S137" i="4"/>
  <c r="P136" i="4"/>
  <c r="P239" i="4" s="1"/>
  <c r="L136" i="4"/>
  <c r="L239" i="4" s="1"/>
  <c r="J136" i="4"/>
  <c r="J239" i="4" s="1"/>
  <c r="H136" i="4"/>
  <c r="H239" i="4" s="1"/>
  <c r="R135" i="4"/>
  <c r="R238" i="4" s="1"/>
  <c r="N135" i="4"/>
  <c r="N238" i="4" s="1"/>
  <c r="J135" i="4"/>
  <c r="J238" i="4" s="1"/>
  <c r="R134" i="4"/>
  <c r="R237" i="4"/>
  <c r="P134" i="4"/>
  <c r="P237" i="4" s="1"/>
  <c r="N134" i="4"/>
  <c r="N237" i="4"/>
  <c r="L134" i="4"/>
  <c r="L237" i="4" s="1"/>
  <c r="H134" i="4"/>
  <c r="Q133" i="4"/>
  <c r="Q236" i="4"/>
  <c r="I133" i="4"/>
  <c r="I236" i="4"/>
  <c r="S132" i="4"/>
  <c r="R132" i="4"/>
  <c r="M132" i="4"/>
  <c r="M235" i="4"/>
  <c r="L132" i="4"/>
  <c r="K132" i="4"/>
  <c r="J132" i="4"/>
  <c r="P131" i="4"/>
  <c r="P234" i="4" s="1"/>
  <c r="L131" i="4"/>
  <c r="L234" i="4" s="1"/>
  <c r="H131" i="4"/>
  <c r="H234" i="4" s="1"/>
  <c r="H130" i="4"/>
  <c r="H233" i="4" s="1"/>
  <c r="N129" i="4"/>
  <c r="N232" i="4" s="1"/>
  <c r="N128" i="4"/>
  <c r="N231" i="4" s="1"/>
  <c r="H128" i="4"/>
  <c r="R127" i="4"/>
  <c r="Q127" i="4"/>
  <c r="L127" i="4"/>
  <c r="K127" i="4"/>
  <c r="I127" i="4"/>
  <c r="S126" i="4"/>
  <c r="P126" i="4"/>
  <c r="N126" i="4"/>
  <c r="N229" i="4"/>
  <c r="M126" i="4"/>
  <c r="L126" i="4"/>
  <c r="K126" i="4"/>
  <c r="K229" i="4" s="1"/>
  <c r="I126" i="4"/>
  <c r="R125" i="4"/>
  <c r="R228" i="4"/>
  <c r="L125" i="4"/>
  <c r="L228" i="4"/>
  <c r="O124" i="4"/>
  <c r="O227" i="4" s="1"/>
  <c r="R123" i="4"/>
  <c r="R226" i="4" s="1"/>
  <c r="L123" i="4"/>
  <c r="L226" i="4" s="1"/>
  <c r="S122" i="4"/>
  <c r="S225" i="4"/>
  <c r="R122" i="4"/>
  <c r="R225" i="4" s="1"/>
  <c r="Q122" i="4"/>
  <c r="Q225" i="4"/>
  <c r="P122" i="4"/>
  <c r="P225" i="4" s="1"/>
  <c r="O122" i="4"/>
  <c r="O225" i="4" s="1"/>
  <c r="N122" i="4"/>
  <c r="N225" i="4"/>
  <c r="M122" i="4"/>
  <c r="M225" i="4"/>
  <c r="L122" i="4"/>
  <c r="L225" i="4" s="1"/>
  <c r="K122" i="4"/>
  <c r="K225" i="4"/>
  <c r="J122" i="4"/>
  <c r="J225" i="4" s="1"/>
  <c r="I122" i="4"/>
  <c r="I225" i="4" s="1"/>
  <c r="H122" i="4"/>
  <c r="H225" i="4"/>
  <c r="L121" i="4"/>
  <c r="L224" i="4" s="1"/>
  <c r="H53" i="4"/>
  <c r="I53" i="4"/>
  <c r="K118" i="3"/>
  <c r="J118" i="3"/>
  <c r="I118" i="3"/>
  <c r="I162" i="3" s="1"/>
  <c r="H118" i="3"/>
  <c r="H163" i="3"/>
  <c r="S105" i="3"/>
  <c r="S87" i="3"/>
  <c r="S88" i="3"/>
  <c r="S89" i="3"/>
  <c r="S90" i="3"/>
  <c r="S91" i="3"/>
  <c r="S92" i="3"/>
  <c r="S93" i="3"/>
  <c r="S94" i="3"/>
  <c r="S95" i="3"/>
  <c r="S98" i="3"/>
  <c r="S99" i="3"/>
  <c r="S100" i="3"/>
  <c r="S107" i="3"/>
  <c r="S108" i="3"/>
  <c r="R105" i="3"/>
  <c r="R87" i="3"/>
  <c r="R88" i="3"/>
  <c r="R89" i="3"/>
  <c r="R90" i="3"/>
  <c r="R91" i="3"/>
  <c r="R92" i="3"/>
  <c r="R93" i="3"/>
  <c r="R94" i="3"/>
  <c r="R95" i="3"/>
  <c r="R98" i="3"/>
  <c r="R99" i="3"/>
  <c r="R100" i="3"/>
  <c r="R107" i="3"/>
  <c r="R108" i="3"/>
  <c r="Q105" i="3"/>
  <c r="Q87" i="3"/>
  <c r="Q88" i="3"/>
  <c r="Q89" i="3"/>
  <c r="Q90" i="3"/>
  <c r="Q91" i="3"/>
  <c r="Q92" i="3"/>
  <c r="Q93" i="3"/>
  <c r="Q94" i="3"/>
  <c r="Q95" i="3"/>
  <c r="Q98" i="3"/>
  <c r="Q99" i="3"/>
  <c r="Q100" i="3"/>
  <c r="Q107" i="3"/>
  <c r="Q108" i="3"/>
  <c r="P105" i="3"/>
  <c r="P87" i="3"/>
  <c r="P88" i="3"/>
  <c r="P89" i="3"/>
  <c r="P90" i="3"/>
  <c r="P91" i="3"/>
  <c r="P92" i="3"/>
  <c r="P93" i="3"/>
  <c r="P94" i="3"/>
  <c r="P95" i="3"/>
  <c r="P98" i="3"/>
  <c r="P99" i="3"/>
  <c r="P100" i="3"/>
  <c r="P107" i="3"/>
  <c r="P108" i="3"/>
  <c r="O105" i="3"/>
  <c r="O87" i="3"/>
  <c r="O88" i="3"/>
  <c r="O89" i="3"/>
  <c r="O90" i="3"/>
  <c r="O91" i="3"/>
  <c r="O92" i="3"/>
  <c r="O93" i="3"/>
  <c r="O94" i="3"/>
  <c r="O95" i="3"/>
  <c r="O98" i="3"/>
  <c r="O99" i="3"/>
  <c r="O100" i="3"/>
  <c r="O107" i="3"/>
  <c r="O108" i="3"/>
  <c r="N105" i="3"/>
  <c r="N87" i="3"/>
  <c r="N88" i="3"/>
  <c r="N89" i="3"/>
  <c r="N90" i="3"/>
  <c r="N91" i="3"/>
  <c r="N92" i="3"/>
  <c r="N93" i="3"/>
  <c r="N94" i="3"/>
  <c r="N95" i="3"/>
  <c r="N98" i="3"/>
  <c r="N99" i="3"/>
  <c r="N100" i="3"/>
  <c r="N107" i="3"/>
  <c r="N108" i="3"/>
  <c r="M105" i="3"/>
  <c r="M87" i="3"/>
  <c r="M88" i="3"/>
  <c r="M89" i="3"/>
  <c r="M90" i="3"/>
  <c r="M91" i="3"/>
  <c r="M92" i="3"/>
  <c r="M93" i="3"/>
  <c r="M94" i="3"/>
  <c r="M95" i="3"/>
  <c r="M98" i="3"/>
  <c r="M99" i="3"/>
  <c r="M100" i="3"/>
  <c r="M107" i="3"/>
  <c r="M108" i="3"/>
  <c r="L105" i="3"/>
  <c r="L87" i="3"/>
  <c r="L88" i="3"/>
  <c r="L89" i="3"/>
  <c r="L90" i="3"/>
  <c r="L91" i="3"/>
  <c r="L92" i="3"/>
  <c r="L93" i="3"/>
  <c r="L94" i="3"/>
  <c r="L95" i="3"/>
  <c r="L98" i="3"/>
  <c r="L99" i="3"/>
  <c r="L100" i="3"/>
  <c r="L107" i="3"/>
  <c r="L108" i="3"/>
  <c r="K105" i="3"/>
  <c r="K87" i="3"/>
  <c r="K88" i="3"/>
  <c r="K89" i="3"/>
  <c r="K90" i="3"/>
  <c r="K91" i="3"/>
  <c r="K92" i="3"/>
  <c r="K93" i="3"/>
  <c r="K94" i="3"/>
  <c r="K95" i="3"/>
  <c r="K98" i="3"/>
  <c r="K99" i="3"/>
  <c r="K100" i="3"/>
  <c r="K107" i="3"/>
  <c r="K108" i="3"/>
  <c r="J105" i="3"/>
  <c r="J87" i="3"/>
  <c r="J88" i="3"/>
  <c r="J102" i="3" s="1"/>
  <c r="J89" i="3"/>
  <c r="J90" i="3"/>
  <c r="J91" i="3"/>
  <c r="J92" i="3"/>
  <c r="J93" i="3"/>
  <c r="J94" i="3"/>
  <c r="J95" i="3"/>
  <c r="J98" i="3"/>
  <c r="J99" i="3"/>
  <c r="J100" i="3"/>
  <c r="J107" i="3"/>
  <c r="J108" i="3"/>
  <c r="I105" i="3"/>
  <c r="I87" i="3"/>
  <c r="I88" i="3"/>
  <c r="I89" i="3"/>
  <c r="I90" i="3"/>
  <c r="I91" i="3"/>
  <c r="I92" i="3"/>
  <c r="I93" i="3"/>
  <c r="I94" i="3"/>
  <c r="I95" i="3"/>
  <c r="I98" i="3"/>
  <c r="I99" i="3"/>
  <c r="I100" i="3"/>
  <c r="I107" i="3"/>
  <c r="I108" i="3"/>
  <c r="H105" i="3"/>
  <c r="H87" i="3"/>
  <c r="H88" i="3"/>
  <c r="H89" i="3"/>
  <c r="H90" i="3"/>
  <c r="H91" i="3"/>
  <c r="H92" i="3"/>
  <c r="H93" i="3"/>
  <c r="H94" i="3"/>
  <c r="H95" i="3"/>
  <c r="H98" i="3"/>
  <c r="H99" i="3"/>
  <c r="H100" i="3"/>
  <c r="H107" i="3"/>
  <c r="H108" i="3"/>
  <c r="S139" i="3"/>
  <c r="S242" i="3" s="1"/>
  <c r="R139" i="3"/>
  <c r="R242" i="3" s="1"/>
  <c r="Q139" i="3"/>
  <c r="Q242" i="3" s="1"/>
  <c r="P139" i="3"/>
  <c r="P242" i="3" s="1"/>
  <c r="O139" i="3"/>
  <c r="O242" i="3" s="1"/>
  <c r="N139" i="3"/>
  <c r="N242" i="3" s="1"/>
  <c r="M139" i="3"/>
  <c r="M242" i="3" s="1"/>
  <c r="L139" i="3"/>
  <c r="L242" i="3" s="1"/>
  <c r="K139" i="3"/>
  <c r="K242" i="3" s="1"/>
  <c r="J139" i="3"/>
  <c r="J242" i="3" s="1"/>
  <c r="I139" i="3"/>
  <c r="I242" i="3" s="1"/>
  <c r="H139" i="3"/>
  <c r="S138" i="3"/>
  <c r="S241" i="3"/>
  <c r="R138" i="3"/>
  <c r="R241" i="3" s="1"/>
  <c r="Q138" i="3"/>
  <c r="Q241" i="3" s="1"/>
  <c r="P138" i="3"/>
  <c r="P241" i="3" s="1"/>
  <c r="O138" i="3"/>
  <c r="O241" i="3" s="1"/>
  <c r="N138" i="3"/>
  <c r="N241" i="3" s="1"/>
  <c r="M138" i="3"/>
  <c r="M241" i="3" s="1"/>
  <c r="L138" i="3"/>
  <c r="L241" i="3" s="1"/>
  <c r="K138" i="3"/>
  <c r="K241" i="3"/>
  <c r="J138" i="3"/>
  <c r="J241" i="3" s="1"/>
  <c r="I138" i="3"/>
  <c r="I241" i="3" s="1"/>
  <c r="H138" i="3"/>
  <c r="S137" i="3"/>
  <c r="S240" i="3" s="1"/>
  <c r="R137" i="3"/>
  <c r="R240" i="3"/>
  <c r="Q137" i="3"/>
  <c r="Q240" i="3" s="1"/>
  <c r="P137" i="3"/>
  <c r="P240" i="3" s="1"/>
  <c r="O137" i="3"/>
  <c r="O240" i="3" s="1"/>
  <c r="N137" i="3"/>
  <c r="N240" i="3"/>
  <c r="M137" i="3"/>
  <c r="M240" i="3" s="1"/>
  <c r="L137" i="3"/>
  <c r="L240" i="3" s="1"/>
  <c r="K137" i="3"/>
  <c r="K240" i="3" s="1"/>
  <c r="J137" i="3"/>
  <c r="J240" i="3" s="1"/>
  <c r="I137" i="3"/>
  <c r="I240" i="3" s="1"/>
  <c r="H137" i="3"/>
  <c r="S136" i="3"/>
  <c r="S239" i="3"/>
  <c r="R136" i="3"/>
  <c r="R239" i="3"/>
  <c r="Q136" i="3"/>
  <c r="Q239" i="3" s="1"/>
  <c r="P136" i="3"/>
  <c r="P239" i="3"/>
  <c r="O136" i="3"/>
  <c r="O239" i="3" s="1"/>
  <c r="N136" i="3"/>
  <c r="N239" i="3" s="1"/>
  <c r="M136" i="3"/>
  <c r="M239" i="3"/>
  <c r="L136" i="3"/>
  <c r="L239" i="3"/>
  <c r="K136" i="3"/>
  <c r="K239" i="3" s="1"/>
  <c r="J136" i="3"/>
  <c r="J239" i="3"/>
  <c r="I136" i="3"/>
  <c r="I239" i="3" s="1"/>
  <c r="H136" i="3"/>
  <c r="S135" i="3"/>
  <c r="S238" i="3" s="1"/>
  <c r="R135" i="3"/>
  <c r="R238" i="3" s="1"/>
  <c r="Q135" i="3"/>
  <c r="Q238" i="3" s="1"/>
  <c r="P135" i="3"/>
  <c r="P238" i="3" s="1"/>
  <c r="O135" i="3"/>
  <c r="O238" i="3" s="1"/>
  <c r="N135" i="3"/>
  <c r="N238" i="3" s="1"/>
  <c r="M135" i="3"/>
  <c r="M238" i="3" s="1"/>
  <c r="L135" i="3"/>
  <c r="L238" i="3" s="1"/>
  <c r="K135" i="3"/>
  <c r="K238" i="3" s="1"/>
  <c r="J135" i="3"/>
  <c r="J238" i="3" s="1"/>
  <c r="I135" i="3"/>
  <c r="I238" i="3"/>
  <c r="H135" i="3"/>
  <c r="S134" i="3"/>
  <c r="S237" i="3"/>
  <c r="R134" i="3"/>
  <c r="R237" i="3" s="1"/>
  <c r="Q134" i="3"/>
  <c r="Q237" i="3"/>
  <c r="P134" i="3"/>
  <c r="P237" i="3" s="1"/>
  <c r="O134" i="3"/>
  <c r="O237" i="3"/>
  <c r="N134" i="3"/>
  <c r="N237" i="3" s="1"/>
  <c r="M134" i="3"/>
  <c r="M237" i="3"/>
  <c r="L134" i="3"/>
  <c r="L237" i="3" s="1"/>
  <c r="K134" i="3"/>
  <c r="K237" i="3"/>
  <c r="J134" i="3"/>
  <c r="J237" i="3" s="1"/>
  <c r="I134" i="3"/>
  <c r="I237" i="3"/>
  <c r="H134" i="3"/>
  <c r="S133" i="3"/>
  <c r="S236" i="3" s="1"/>
  <c r="R133" i="3"/>
  <c r="R236" i="3" s="1"/>
  <c r="Q133" i="3"/>
  <c r="Q236" i="3" s="1"/>
  <c r="P133" i="3"/>
  <c r="P236" i="3" s="1"/>
  <c r="O133" i="3"/>
  <c r="N133" i="3"/>
  <c r="N236" i="3" s="1"/>
  <c r="M133" i="3"/>
  <c r="M236" i="3" s="1"/>
  <c r="L133" i="3"/>
  <c r="L236" i="3"/>
  <c r="K133" i="3"/>
  <c r="K236" i="3" s="1"/>
  <c r="J133" i="3"/>
  <c r="J236" i="3"/>
  <c r="I133" i="3"/>
  <c r="I236" i="3" s="1"/>
  <c r="H133" i="3"/>
  <c r="S132" i="3"/>
  <c r="S235" i="3" s="1"/>
  <c r="R132" i="3"/>
  <c r="R235" i="3"/>
  <c r="Q132" i="3"/>
  <c r="Q235" i="3" s="1"/>
  <c r="P132" i="3"/>
  <c r="P235" i="3" s="1"/>
  <c r="O132" i="3"/>
  <c r="O235" i="3"/>
  <c r="N132" i="3"/>
  <c r="N235" i="3" s="1"/>
  <c r="M132" i="3"/>
  <c r="M235" i="3" s="1"/>
  <c r="L132" i="3"/>
  <c r="L235" i="3"/>
  <c r="K132" i="3"/>
  <c r="K235" i="3" s="1"/>
  <c r="J132" i="3"/>
  <c r="J235" i="3" s="1"/>
  <c r="I132" i="3"/>
  <c r="I235" i="3"/>
  <c r="H132" i="3"/>
  <c r="H235" i="3" s="1"/>
  <c r="S131" i="3"/>
  <c r="S234" i="3" s="1"/>
  <c r="R131" i="3"/>
  <c r="R234" i="3"/>
  <c r="Q131" i="3"/>
  <c r="Q234" i="3" s="1"/>
  <c r="P131" i="3"/>
  <c r="P234" i="3" s="1"/>
  <c r="O131" i="3"/>
  <c r="O234" i="3"/>
  <c r="N131" i="3"/>
  <c r="N234" i="3" s="1"/>
  <c r="M131" i="3"/>
  <c r="M234" i="3" s="1"/>
  <c r="L131" i="3"/>
  <c r="L234" i="3"/>
  <c r="K131" i="3"/>
  <c r="K234" i="3" s="1"/>
  <c r="J131" i="3"/>
  <c r="J234" i="3" s="1"/>
  <c r="I131" i="3"/>
  <c r="I234" i="3"/>
  <c r="H131" i="3"/>
  <c r="H234" i="3" s="1"/>
  <c r="S130" i="3"/>
  <c r="S233" i="3" s="1"/>
  <c r="R130" i="3"/>
  <c r="R233" i="3"/>
  <c r="Q130" i="3"/>
  <c r="Q233" i="3" s="1"/>
  <c r="P130" i="3"/>
  <c r="P233" i="3" s="1"/>
  <c r="O130" i="3"/>
  <c r="O233" i="3"/>
  <c r="N130" i="3"/>
  <c r="N233" i="3" s="1"/>
  <c r="M130" i="3"/>
  <c r="M233" i="3" s="1"/>
  <c r="L130" i="3"/>
  <c r="L233" i="3"/>
  <c r="K130" i="3"/>
  <c r="K233" i="3" s="1"/>
  <c r="J130" i="3"/>
  <c r="J233" i="3" s="1"/>
  <c r="I130" i="3"/>
  <c r="I233" i="3"/>
  <c r="H130" i="3"/>
  <c r="S129" i="3"/>
  <c r="S232" i="3"/>
  <c r="R129" i="3"/>
  <c r="R232" i="3" s="1"/>
  <c r="Q129" i="3"/>
  <c r="Q232" i="3" s="1"/>
  <c r="P129" i="3"/>
  <c r="P232" i="3" s="1"/>
  <c r="O129" i="3"/>
  <c r="O232" i="3" s="1"/>
  <c r="N129" i="3"/>
  <c r="N232" i="3" s="1"/>
  <c r="M129" i="3"/>
  <c r="M232" i="3" s="1"/>
  <c r="L129" i="3"/>
  <c r="L232" i="3" s="1"/>
  <c r="K129" i="3"/>
  <c r="K232" i="3" s="1"/>
  <c r="J129" i="3"/>
  <c r="J232" i="3" s="1"/>
  <c r="I129" i="3"/>
  <c r="I232" i="3" s="1"/>
  <c r="H129" i="3"/>
  <c r="S128" i="3"/>
  <c r="S231" i="3" s="1"/>
  <c r="R128" i="3"/>
  <c r="R231" i="3" s="1"/>
  <c r="Q128" i="3"/>
  <c r="Q231" i="3" s="1"/>
  <c r="P128" i="3"/>
  <c r="P231" i="3" s="1"/>
  <c r="O128" i="3"/>
  <c r="O231" i="3"/>
  <c r="N128" i="3"/>
  <c r="N231" i="3" s="1"/>
  <c r="M128" i="3"/>
  <c r="M231" i="3" s="1"/>
  <c r="L128" i="3"/>
  <c r="L231" i="3" s="1"/>
  <c r="K128" i="3"/>
  <c r="K231" i="3" s="1"/>
  <c r="J128" i="3"/>
  <c r="J231" i="3" s="1"/>
  <c r="I128" i="3"/>
  <c r="I231" i="3" s="1"/>
  <c r="H128" i="3"/>
  <c r="S127" i="3"/>
  <c r="S230" i="3" s="1"/>
  <c r="R127" i="3"/>
  <c r="R230" i="3" s="1"/>
  <c r="Q127" i="3"/>
  <c r="Q230" i="3" s="1"/>
  <c r="P127" i="3"/>
  <c r="P230" i="3" s="1"/>
  <c r="O127" i="3"/>
  <c r="O230" i="3" s="1"/>
  <c r="N127" i="3"/>
  <c r="N230" i="3" s="1"/>
  <c r="M127" i="3"/>
  <c r="M230" i="3" s="1"/>
  <c r="L127" i="3"/>
  <c r="L230" i="3" s="1"/>
  <c r="K127" i="3"/>
  <c r="K230" i="3" s="1"/>
  <c r="J127" i="3"/>
  <c r="J230" i="3" s="1"/>
  <c r="I127" i="3"/>
  <c r="I230" i="3" s="1"/>
  <c r="H127" i="3"/>
  <c r="S126" i="3"/>
  <c r="S229" i="3" s="1"/>
  <c r="R126" i="3"/>
  <c r="R229" i="3"/>
  <c r="Q126" i="3"/>
  <c r="Q229" i="3" s="1"/>
  <c r="P126" i="3"/>
  <c r="P229" i="3" s="1"/>
  <c r="O126" i="3"/>
  <c r="O229" i="3" s="1"/>
  <c r="N126" i="3"/>
  <c r="N229" i="3" s="1"/>
  <c r="M126" i="3"/>
  <c r="M229" i="3" s="1"/>
  <c r="L126" i="3"/>
  <c r="L229" i="3" s="1"/>
  <c r="K126" i="3"/>
  <c r="K229" i="3" s="1"/>
  <c r="J126" i="3"/>
  <c r="J229" i="3" s="1"/>
  <c r="I126" i="3"/>
  <c r="I229" i="3" s="1"/>
  <c r="H126" i="3"/>
  <c r="S125" i="3"/>
  <c r="S228" i="3" s="1"/>
  <c r="R125" i="3"/>
  <c r="R228" i="3"/>
  <c r="Q125" i="3"/>
  <c r="Q228" i="3" s="1"/>
  <c r="P125" i="3"/>
  <c r="P228" i="3"/>
  <c r="O125" i="3"/>
  <c r="O228" i="3" s="1"/>
  <c r="N125" i="3"/>
  <c r="N228" i="3"/>
  <c r="M125" i="3"/>
  <c r="M228" i="3" s="1"/>
  <c r="L125" i="3"/>
  <c r="L228" i="3" s="1"/>
  <c r="K125" i="3"/>
  <c r="J125" i="3"/>
  <c r="J228" i="3" s="1"/>
  <c r="I125" i="3"/>
  <c r="I228" i="3" s="1"/>
  <c r="H125" i="3"/>
  <c r="S124" i="3"/>
  <c r="S227" i="3"/>
  <c r="R124" i="3"/>
  <c r="R227" i="3" s="1"/>
  <c r="Q124" i="3"/>
  <c r="Q227" i="3" s="1"/>
  <c r="P124" i="3"/>
  <c r="P227" i="3"/>
  <c r="O124" i="3"/>
  <c r="O227" i="3" s="1"/>
  <c r="N124" i="3"/>
  <c r="N227" i="3" s="1"/>
  <c r="M124" i="3"/>
  <c r="M227" i="3"/>
  <c r="L124" i="3"/>
  <c r="L227" i="3" s="1"/>
  <c r="K124" i="3"/>
  <c r="K227" i="3" s="1"/>
  <c r="J124" i="3"/>
  <c r="J227" i="3"/>
  <c r="I124" i="3"/>
  <c r="I227" i="3" s="1"/>
  <c r="H124" i="3"/>
  <c r="H227" i="3" s="1"/>
  <c r="S123" i="3"/>
  <c r="S226" i="3"/>
  <c r="R123" i="3"/>
  <c r="R226" i="3" s="1"/>
  <c r="Q123" i="3"/>
  <c r="Q226" i="3" s="1"/>
  <c r="P123" i="3"/>
  <c r="P226" i="3"/>
  <c r="O123" i="3"/>
  <c r="O226" i="3" s="1"/>
  <c r="N123" i="3"/>
  <c r="N226" i="3" s="1"/>
  <c r="M123" i="3"/>
  <c r="M226" i="3"/>
  <c r="L123" i="3"/>
  <c r="L226" i="3" s="1"/>
  <c r="K123" i="3"/>
  <c r="K226" i="3" s="1"/>
  <c r="J123" i="3"/>
  <c r="J226" i="3"/>
  <c r="I123" i="3"/>
  <c r="I226" i="3" s="1"/>
  <c r="H123" i="3"/>
  <c r="S122" i="3"/>
  <c r="S225" i="3" s="1"/>
  <c r="R122" i="3"/>
  <c r="R225" i="3" s="1"/>
  <c r="Q122" i="3"/>
  <c r="Q225" i="3" s="1"/>
  <c r="P122" i="3"/>
  <c r="P225" i="3" s="1"/>
  <c r="O122" i="3"/>
  <c r="O225" i="3" s="1"/>
  <c r="N122" i="3"/>
  <c r="N225" i="3" s="1"/>
  <c r="M122" i="3"/>
  <c r="M225" i="3" s="1"/>
  <c r="L122" i="3"/>
  <c r="L225" i="3" s="1"/>
  <c r="K122" i="3"/>
  <c r="K225" i="3" s="1"/>
  <c r="J122" i="3"/>
  <c r="J225" i="3" s="1"/>
  <c r="I122" i="3"/>
  <c r="I225" i="3" s="1"/>
  <c r="H122" i="3"/>
  <c r="S121" i="3"/>
  <c r="S224" i="3" s="1"/>
  <c r="R121" i="3"/>
  <c r="Q121" i="3"/>
  <c r="Q224" i="3" s="1"/>
  <c r="P121" i="3"/>
  <c r="O121" i="3"/>
  <c r="O224" i="3" s="1"/>
  <c r="N121" i="3"/>
  <c r="M121" i="3"/>
  <c r="M224" i="3" s="1"/>
  <c r="L121" i="3"/>
  <c r="K121" i="3"/>
  <c r="K224" i="3"/>
  <c r="J121" i="3"/>
  <c r="J224" i="3" s="1"/>
  <c r="I121" i="3"/>
  <c r="I224" i="3" s="1"/>
  <c r="H121" i="3"/>
  <c r="K53" i="3"/>
  <c r="K73" i="3" s="1"/>
  <c r="J53" i="3"/>
  <c r="J73" i="3" s="1"/>
  <c r="J223" i="3" s="1"/>
  <c r="I53" i="3"/>
  <c r="I72" i="3" s="1"/>
  <c r="I222" i="3" s="1"/>
  <c r="H53" i="3"/>
  <c r="I71" i="3"/>
  <c r="I221" i="3" s="1"/>
  <c r="H27" i="3"/>
  <c r="H28" i="3" s="1"/>
  <c r="H19" i="3"/>
  <c r="H20" i="3"/>
  <c r="S12" i="3"/>
  <c r="S63" i="3" s="1"/>
  <c r="H11" i="3"/>
  <c r="K11" i="3" s="1"/>
  <c r="K12" i="3" s="1"/>
  <c r="K63" i="3" s="1"/>
  <c r="I11" i="3"/>
  <c r="I12" i="3" s="1"/>
  <c r="I213" i="3" s="1"/>
  <c r="H12" i="3"/>
  <c r="Q121" i="9"/>
  <c r="N121" i="9"/>
  <c r="K121" i="9"/>
  <c r="H121" i="9"/>
  <c r="F127" i="9"/>
  <c r="F125" i="9"/>
  <c r="F124" i="9"/>
  <c r="F123" i="9"/>
  <c r="F122" i="9"/>
  <c r="E127" i="9"/>
  <c r="E125" i="9"/>
  <c r="E124" i="9"/>
  <c r="E123" i="9"/>
  <c r="E121" i="9"/>
  <c r="E122" i="9"/>
  <c r="E62" i="9"/>
  <c r="F62" i="9"/>
  <c r="G62" i="9"/>
  <c r="H62" i="9"/>
  <c r="I62" i="9"/>
  <c r="J62" i="9"/>
  <c r="K62" i="9"/>
  <c r="L62" i="9"/>
  <c r="M62" i="9"/>
  <c r="N62" i="9"/>
  <c r="O62" i="9"/>
  <c r="P62" i="9"/>
  <c r="Q62" i="9"/>
  <c r="R62" i="9"/>
  <c r="S62" i="9"/>
  <c r="Q27" i="9"/>
  <c r="N27" i="9"/>
  <c r="K27" i="9"/>
  <c r="H27" i="9"/>
  <c r="E27" i="9"/>
  <c r="Q31" i="9"/>
  <c r="Q30" i="9"/>
  <c r="Q29" i="9"/>
  <c r="Q28" i="9"/>
  <c r="N31" i="9"/>
  <c r="N30" i="9"/>
  <c r="N29" i="9"/>
  <c r="N28" i="9"/>
  <c r="K31" i="9"/>
  <c r="K30" i="9"/>
  <c r="K29" i="9"/>
  <c r="K28" i="9"/>
  <c r="H31" i="9"/>
  <c r="H30" i="9"/>
  <c r="H29" i="9"/>
  <c r="H28" i="9"/>
  <c r="E31" i="9"/>
  <c r="E30" i="9"/>
  <c r="E29" i="9"/>
  <c r="E28" i="9"/>
  <c r="S66" i="3"/>
  <c r="K66" i="3"/>
  <c r="H66" i="3"/>
  <c r="L66" i="3"/>
  <c r="M66" i="3"/>
  <c r="P66" i="3"/>
  <c r="Q66" i="3"/>
  <c r="T212" i="7"/>
  <c r="T212" i="6"/>
  <c r="T212" i="5"/>
  <c r="T212" i="4"/>
  <c r="T212" i="3"/>
  <c r="E63" i="4"/>
  <c r="E63" i="5" s="1"/>
  <c r="E64" i="4"/>
  <c r="E64" i="5" s="1"/>
  <c r="E65" i="4"/>
  <c r="E65" i="5" s="1"/>
  <c r="E66" i="4"/>
  <c r="E3" i="7"/>
  <c r="E185" i="7" s="1"/>
  <c r="R129" i="9" s="1"/>
  <c r="H44" i="7"/>
  <c r="E3" i="6"/>
  <c r="H44" i="6"/>
  <c r="E3" i="5"/>
  <c r="T44" i="5" s="1"/>
  <c r="H44" i="5"/>
  <c r="E3" i="4"/>
  <c r="E43" i="4" s="1"/>
  <c r="H44" i="4"/>
  <c r="E3" i="3"/>
  <c r="I177" i="3" s="1"/>
  <c r="J44" i="3"/>
  <c r="I44" i="3"/>
  <c r="H44" i="3"/>
  <c r="H285" i="3"/>
  <c r="T285" i="3" s="1"/>
  <c r="G116" i="2" s="1"/>
  <c r="D27" i="10" s="1"/>
  <c r="H186" i="3"/>
  <c r="H189" i="3" s="1"/>
  <c r="H196" i="3"/>
  <c r="H171" i="3"/>
  <c r="H175" i="3"/>
  <c r="H251" i="3"/>
  <c r="H279" i="3"/>
  <c r="I186" i="3"/>
  <c r="I188" i="3" s="1"/>
  <c r="I173" i="3"/>
  <c r="I175" i="3"/>
  <c r="I251" i="3"/>
  <c r="J186" i="3"/>
  <c r="J195" i="3" s="1"/>
  <c r="J251" i="3"/>
  <c r="K186" i="3"/>
  <c r="K194" i="3" s="1"/>
  <c r="K188" i="3"/>
  <c r="K190" i="3"/>
  <c r="K195" i="3"/>
  <c r="K199" i="3"/>
  <c r="K173" i="3"/>
  <c r="K251" i="3"/>
  <c r="L186" i="3"/>
  <c r="L190" i="3"/>
  <c r="L251" i="3"/>
  <c r="F194" i="4"/>
  <c r="F194" i="5"/>
  <c r="F194" i="6" s="1"/>
  <c r="F195" i="4"/>
  <c r="D195" i="4"/>
  <c r="D195" i="5" s="1"/>
  <c r="D195" i="6" s="1"/>
  <c r="F196" i="4"/>
  <c r="F196" i="5" s="1"/>
  <c r="D196" i="4"/>
  <c r="D196" i="5" s="1"/>
  <c r="F197" i="4"/>
  <c r="F197" i="5" s="1"/>
  <c r="F197" i="6" s="1"/>
  <c r="D197" i="4"/>
  <c r="F198" i="4"/>
  <c r="F198" i="5" s="1"/>
  <c r="F199" i="4"/>
  <c r="F199" i="5"/>
  <c r="E155" i="4"/>
  <c r="E155" i="5"/>
  <c r="E155" i="6"/>
  <c r="E170" i="4"/>
  <c r="E170" i="5" s="1"/>
  <c r="E172" i="4"/>
  <c r="F172" i="4"/>
  <c r="H173" i="4" s="1"/>
  <c r="E174" i="4"/>
  <c r="E174" i="5" s="1"/>
  <c r="E176" i="4"/>
  <c r="I125" i="9" s="1"/>
  <c r="D170" i="4"/>
  <c r="D170" i="5" s="1"/>
  <c r="D194" i="4"/>
  <c r="D174" i="4"/>
  <c r="H124" i="9"/>
  <c r="D176" i="4"/>
  <c r="D199" i="4"/>
  <c r="D199" i="5" s="1"/>
  <c r="D199" i="6" s="1"/>
  <c r="D199" i="7" s="1"/>
  <c r="E172" i="5"/>
  <c r="J172" i="5" s="1"/>
  <c r="E179" i="4"/>
  <c r="D179" i="4"/>
  <c r="D179" i="5" s="1"/>
  <c r="K41" i="2"/>
  <c r="K40" i="2"/>
  <c r="J41" i="2"/>
  <c r="J40" i="2"/>
  <c r="I41" i="2"/>
  <c r="I40" i="2"/>
  <c r="D101" i="4"/>
  <c r="H41" i="2"/>
  <c r="H40" i="2"/>
  <c r="T273" i="3"/>
  <c r="G110" i="2" s="1"/>
  <c r="T271" i="3"/>
  <c r="G108" i="2" s="1"/>
  <c r="T267" i="3"/>
  <c r="G103" i="2" s="1"/>
  <c r="F96" i="3"/>
  <c r="D101" i="3"/>
  <c r="E78" i="9" s="1"/>
  <c r="C59" i="3"/>
  <c r="C28" i="2"/>
  <c r="C58" i="3"/>
  <c r="C27" i="2" s="1"/>
  <c r="C57" i="3"/>
  <c r="C26" i="2"/>
  <c r="C56" i="3"/>
  <c r="K2" i="9"/>
  <c r="S185" i="9"/>
  <c r="R185" i="9"/>
  <c r="S184" i="9"/>
  <c r="R184" i="9"/>
  <c r="S183" i="9"/>
  <c r="R183" i="9"/>
  <c r="S182" i="9"/>
  <c r="R182" i="9"/>
  <c r="S181" i="9"/>
  <c r="R181" i="9"/>
  <c r="S180" i="9"/>
  <c r="R180" i="9"/>
  <c r="S179" i="9"/>
  <c r="R179" i="9"/>
  <c r="S178" i="9"/>
  <c r="R178" i="9"/>
  <c r="S177" i="9"/>
  <c r="R177" i="9"/>
  <c r="S176" i="9"/>
  <c r="R176" i="9"/>
  <c r="S175" i="9"/>
  <c r="R175" i="9"/>
  <c r="S174" i="9"/>
  <c r="R174" i="9"/>
  <c r="S173" i="9"/>
  <c r="R173" i="9"/>
  <c r="S172" i="9"/>
  <c r="R172" i="9"/>
  <c r="S171" i="9"/>
  <c r="R171" i="9"/>
  <c r="S170" i="9"/>
  <c r="R170" i="9"/>
  <c r="S169" i="9"/>
  <c r="R169" i="9"/>
  <c r="S168" i="9"/>
  <c r="R168" i="9"/>
  <c r="S167" i="9"/>
  <c r="R167" i="9"/>
  <c r="S166" i="9"/>
  <c r="R166" i="9"/>
  <c r="S165" i="9"/>
  <c r="R165" i="9"/>
  <c r="S164" i="9"/>
  <c r="R164" i="9"/>
  <c r="S163" i="9"/>
  <c r="R163" i="9"/>
  <c r="S162" i="9"/>
  <c r="R162" i="9"/>
  <c r="S161" i="9"/>
  <c r="R161" i="9"/>
  <c r="S160" i="9"/>
  <c r="R160" i="9"/>
  <c r="S159" i="9"/>
  <c r="R159" i="9"/>
  <c r="S158" i="9"/>
  <c r="R158" i="9"/>
  <c r="S157" i="9"/>
  <c r="R157" i="9"/>
  <c r="S156" i="9"/>
  <c r="R156" i="9"/>
  <c r="S155" i="9"/>
  <c r="R155" i="9"/>
  <c r="Q155" i="9"/>
  <c r="S154" i="9"/>
  <c r="R154" i="9"/>
  <c r="Q154" i="9"/>
  <c r="S153" i="9"/>
  <c r="R153" i="9"/>
  <c r="Q153" i="9"/>
  <c r="S152" i="9"/>
  <c r="R152" i="9"/>
  <c r="S151" i="9"/>
  <c r="R151" i="9"/>
  <c r="S150" i="9"/>
  <c r="R150" i="9"/>
  <c r="S149" i="9"/>
  <c r="R149" i="9"/>
  <c r="S148" i="9"/>
  <c r="R148" i="9"/>
  <c r="Q148" i="9"/>
  <c r="S147" i="9"/>
  <c r="R147" i="9"/>
  <c r="Q147" i="9"/>
  <c r="S146" i="9"/>
  <c r="R146" i="9"/>
  <c r="S145" i="9"/>
  <c r="R145" i="9"/>
  <c r="Q145" i="9"/>
  <c r="S144" i="9"/>
  <c r="R144" i="9"/>
  <c r="S137" i="9"/>
  <c r="R137" i="9"/>
  <c r="Q137" i="9"/>
  <c r="S136" i="9"/>
  <c r="R136" i="9"/>
  <c r="Q136" i="9"/>
  <c r="S135" i="9"/>
  <c r="R135" i="9"/>
  <c r="S134" i="9"/>
  <c r="R134" i="9"/>
  <c r="S133" i="9"/>
  <c r="R133" i="9"/>
  <c r="S132" i="9"/>
  <c r="R132" i="9"/>
  <c r="S131" i="9"/>
  <c r="R131" i="9"/>
  <c r="Q131" i="9"/>
  <c r="S130" i="9"/>
  <c r="R130" i="9"/>
  <c r="S129" i="9"/>
  <c r="Q129" i="9"/>
  <c r="S128" i="9"/>
  <c r="R128" i="9"/>
  <c r="F179" i="4"/>
  <c r="F179" i="5"/>
  <c r="F179" i="6" s="1"/>
  <c r="S126" i="9"/>
  <c r="F176" i="4"/>
  <c r="F176" i="5" s="1"/>
  <c r="F176" i="6" s="1"/>
  <c r="F176" i="7" s="1"/>
  <c r="S119" i="9"/>
  <c r="R119" i="9"/>
  <c r="Q119" i="9"/>
  <c r="S118" i="9"/>
  <c r="R118" i="9"/>
  <c r="S117" i="9"/>
  <c r="R117" i="9"/>
  <c r="Q117" i="9"/>
  <c r="S116" i="9"/>
  <c r="R116" i="9"/>
  <c r="Q116" i="9"/>
  <c r="S115" i="9"/>
  <c r="R115" i="9"/>
  <c r="Q115" i="9"/>
  <c r="S114" i="9"/>
  <c r="S113" i="9"/>
  <c r="S112" i="9"/>
  <c r="S111" i="9"/>
  <c r="S110" i="9"/>
  <c r="S109" i="9"/>
  <c r="S108" i="9"/>
  <c r="S107" i="9"/>
  <c r="S106" i="9"/>
  <c r="S105" i="9"/>
  <c r="S104" i="9"/>
  <c r="S103" i="9"/>
  <c r="S102" i="9"/>
  <c r="S101" i="9"/>
  <c r="S100" i="9"/>
  <c r="S99" i="9"/>
  <c r="S98" i="9"/>
  <c r="S97" i="9"/>
  <c r="S96" i="9"/>
  <c r="S95" i="9"/>
  <c r="R95" i="9"/>
  <c r="Q95" i="9"/>
  <c r="S94" i="9"/>
  <c r="R94" i="9"/>
  <c r="Q94" i="9"/>
  <c r="S93" i="9"/>
  <c r="R93" i="9"/>
  <c r="Q93" i="9"/>
  <c r="S92" i="9"/>
  <c r="R92" i="9"/>
  <c r="S91" i="9"/>
  <c r="R91" i="9"/>
  <c r="Q91" i="9"/>
  <c r="S90" i="9"/>
  <c r="R90" i="9"/>
  <c r="Q90" i="9"/>
  <c r="S89" i="9"/>
  <c r="S88" i="9"/>
  <c r="S87" i="9"/>
  <c r="S86" i="9"/>
  <c r="S85" i="9"/>
  <c r="S84" i="9"/>
  <c r="S83" i="9"/>
  <c r="S82" i="9"/>
  <c r="S81" i="9"/>
  <c r="R81" i="9"/>
  <c r="Q81" i="9"/>
  <c r="S80" i="9"/>
  <c r="R80" i="9"/>
  <c r="Q80" i="9"/>
  <c r="S79" i="9"/>
  <c r="R79" i="9"/>
  <c r="S78" i="9"/>
  <c r="R78" i="9"/>
  <c r="Q78" i="9"/>
  <c r="S74" i="9"/>
  <c r="R74" i="9"/>
  <c r="Q74" i="9"/>
  <c r="S73" i="9"/>
  <c r="Q73" i="9"/>
  <c r="S63" i="9"/>
  <c r="R63" i="9"/>
  <c r="Q63" i="9"/>
  <c r="S61" i="9"/>
  <c r="R61" i="9"/>
  <c r="Q61" i="9"/>
  <c r="S60" i="9"/>
  <c r="R60" i="9"/>
  <c r="S59" i="9"/>
  <c r="R59" i="9"/>
  <c r="Q59" i="9"/>
  <c r="S58" i="9"/>
  <c r="R58" i="9"/>
  <c r="Q58" i="9"/>
  <c r="S57" i="9"/>
  <c r="R57" i="9"/>
  <c r="Q57" i="9"/>
  <c r="S56" i="9"/>
  <c r="R56" i="9"/>
  <c r="Q56" i="9"/>
  <c r="S55" i="9"/>
  <c r="R55" i="9"/>
  <c r="Q55" i="9"/>
  <c r="S54" i="9"/>
  <c r="R54" i="9"/>
  <c r="Q54" i="9"/>
  <c r="S53" i="9"/>
  <c r="R53" i="9"/>
  <c r="Q53" i="9"/>
  <c r="S48" i="9"/>
  <c r="R48" i="9"/>
  <c r="Q48" i="9"/>
  <c r="S47" i="9"/>
  <c r="R47" i="9"/>
  <c r="Q47" i="9"/>
  <c r="S46" i="9"/>
  <c r="R46" i="9"/>
  <c r="Q46" i="9"/>
  <c r="S45" i="9"/>
  <c r="R45" i="9"/>
  <c r="S44" i="9"/>
  <c r="R44" i="9"/>
  <c r="S43" i="9"/>
  <c r="R43" i="9"/>
  <c r="S42" i="9"/>
  <c r="R42" i="9"/>
  <c r="S41" i="9"/>
  <c r="R41" i="9"/>
  <c r="Q41" i="9"/>
  <c r="S40" i="9"/>
  <c r="R40" i="9"/>
  <c r="Q40" i="9"/>
  <c r="S39" i="9"/>
  <c r="R39" i="9"/>
  <c r="Q39" i="9"/>
  <c r="S38" i="9"/>
  <c r="R38" i="9"/>
  <c r="S37" i="9"/>
  <c r="R37" i="9"/>
  <c r="S36" i="9"/>
  <c r="R36" i="9"/>
  <c r="S35" i="9"/>
  <c r="R35" i="9"/>
  <c r="S34" i="9"/>
  <c r="R34" i="9"/>
  <c r="Q34" i="9"/>
  <c r="S33" i="9"/>
  <c r="R33" i="9"/>
  <c r="Q33" i="9"/>
  <c r="R30" i="9"/>
  <c r="S29" i="9"/>
  <c r="R29" i="9"/>
  <c r="E52" i="7"/>
  <c r="S26" i="9"/>
  <c r="R26" i="9"/>
  <c r="Q26" i="9"/>
  <c r="S25" i="9"/>
  <c r="R25" i="9"/>
  <c r="Q25" i="9"/>
  <c r="S24" i="9"/>
  <c r="R24" i="9"/>
  <c r="Q24" i="9"/>
  <c r="S23" i="9"/>
  <c r="R23" i="9"/>
  <c r="S22" i="9"/>
  <c r="R22" i="9"/>
  <c r="S21" i="9"/>
  <c r="R21" i="9"/>
  <c r="S20" i="9"/>
  <c r="R20" i="9"/>
  <c r="Q20" i="9"/>
  <c r="S19" i="9"/>
  <c r="R19" i="9"/>
  <c r="Q19" i="9"/>
  <c r="S18" i="9"/>
  <c r="R18" i="9"/>
  <c r="Q18" i="9"/>
  <c r="S17" i="9"/>
  <c r="R17" i="9"/>
  <c r="S16" i="9"/>
  <c r="R16" i="9"/>
  <c r="S15" i="9"/>
  <c r="R15" i="9"/>
  <c r="Q15" i="9"/>
  <c r="S14" i="9"/>
  <c r="R14" i="9"/>
  <c r="Q14" i="9"/>
  <c r="S13" i="9"/>
  <c r="R13" i="9"/>
  <c r="Q13" i="9"/>
  <c r="S12" i="9"/>
  <c r="R12" i="9"/>
  <c r="S11" i="9"/>
  <c r="R11" i="9"/>
  <c r="S10" i="9"/>
  <c r="R10" i="9"/>
  <c r="Q10" i="9"/>
  <c r="S9" i="9"/>
  <c r="R9" i="9"/>
  <c r="Q9" i="9"/>
  <c r="S8" i="9"/>
  <c r="R8" i="9"/>
  <c r="Q8" i="9"/>
  <c r="S7" i="9"/>
  <c r="R7" i="9"/>
  <c r="S6" i="9"/>
  <c r="R6" i="9"/>
  <c r="Q6" i="9"/>
  <c r="P185" i="9"/>
  <c r="O185" i="9"/>
  <c r="P184" i="9"/>
  <c r="O184" i="9"/>
  <c r="N184" i="9"/>
  <c r="P183" i="9"/>
  <c r="O183" i="9"/>
  <c r="P182" i="9"/>
  <c r="O182" i="9"/>
  <c r="P181" i="9"/>
  <c r="O181" i="9"/>
  <c r="P180" i="9"/>
  <c r="O180" i="9"/>
  <c r="P179" i="9"/>
  <c r="O179" i="9"/>
  <c r="P178" i="9"/>
  <c r="O178" i="9"/>
  <c r="P177" i="9"/>
  <c r="O177" i="9"/>
  <c r="P176" i="9"/>
  <c r="O176" i="9"/>
  <c r="P175" i="9"/>
  <c r="O175" i="9"/>
  <c r="P174" i="9"/>
  <c r="O174" i="9"/>
  <c r="P173" i="9"/>
  <c r="O173" i="9"/>
  <c r="P172" i="9"/>
  <c r="O172" i="9"/>
  <c r="P171" i="9"/>
  <c r="O171" i="9"/>
  <c r="P170" i="9"/>
  <c r="O170" i="9"/>
  <c r="P169" i="9"/>
  <c r="O169" i="9"/>
  <c r="P168" i="9"/>
  <c r="O168" i="9"/>
  <c r="P167" i="9"/>
  <c r="O167" i="9"/>
  <c r="P166" i="9"/>
  <c r="O166" i="9"/>
  <c r="P165" i="9"/>
  <c r="O165" i="9"/>
  <c r="P164" i="9"/>
  <c r="O164" i="9"/>
  <c r="P163" i="9"/>
  <c r="O163" i="9"/>
  <c r="P162" i="9"/>
  <c r="O162" i="9"/>
  <c r="P161" i="9"/>
  <c r="O161" i="9"/>
  <c r="P160" i="9"/>
  <c r="O160" i="9"/>
  <c r="P159" i="9"/>
  <c r="O159" i="9"/>
  <c r="P158" i="9"/>
  <c r="O158" i="9"/>
  <c r="P157" i="9"/>
  <c r="O157" i="9"/>
  <c r="P156" i="9"/>
  <c r="O156" i="9"/>
  <c r="P155" i="9"/>
  <c r="O155" i="9"/>
  <c r="N155" i="9"/>
  <c r="P154" i="9"/>
  <c r="O154" i="9"/>
  <c r="N154" i="9"/>
  <c r="P153" i="9"/>
  <c r="O153" i="9"/>
  <c r="N153" i="9"/>
  <c r="P152" i="9"/>
  <c r="O152" i="9"/>
  <c r="P151" i="9"/>
  <c r="O151" i="9"/>
  <c r="P150" i="9"/>
  <c r="O150" i="9"/>
  <c r="P149" i="9"/>
  <c r="O149" i="9"/>
  <c r="P148" i="9"/>
  <c r="O148" i="9"/>
  <c r="N148" i="9"/>
  <c r="P147" i="9"/>
  <c r="O147" i="9"/>
  <c r="N147" i="9"/>
  <c r="P146" i="9"/>
  <c r="O146" i="9"/>
  <c r="P145" i="9"/>
  <c r="O145" i="9"/>
  <c r="N145" i="9"/>
  <c r="P144" i="9"/>
  <c r="O144" i="9"/>
  <c r="P137" i="9"/>
  <c r="O137" i="9"/>
  <c r="N137" i="9"/>
  <c r="P136" i="9"/>
  <c r="O136" i="9"/>
  <c r="N136" i="9"/>
  <c r="P135" i="9"/>
  <c r="O135" i="9"/>
  <c r="P134" i="9"/>
  <c r="O134" i="9"/>
  <c r="P133" i="9"/>
  <c r="O133" i="9"/>
  <c r="P132" i="9"/>
  <c r="O132" i="9"/>
  <c r="P131" i="9"/>
  <c r="O131" i="9"/>
  <c r="N131" i="9"/>
  <c r="P130" i="9"/>
  <c r="O130" i="9"/>
  <c r="P129" i="9"/>
  <c r="N129" i="9"/>
  <c r="P128" i="9"/>
  <c r="O128" i="9"/>
  <c r="P119" i="9"/>
  <c r="O119" i="9"/>
  <c r="N119" i="9"/>
  <c r="P118" i="9"/>
  <c r="O118" i="9"/>
  <c r="P117" i="9"/>
  <c r="O117" i="9"/>
  <c r="N117" i="9"/>
  <c r="P116" i="9"/>
  <c r="O116" i="9"/>
  <c r="N116" i="9"/>
  <c r="E143" i="6"/>
  <c r="P115" i="9"/>
  <c r="O115" i="9"/>
  <c r="N115" i="9"/>
  <c r="P114" i="9"/>
  <c r="P113" i="9"/>
  <c r="P112" i="9"/>
  <c r="P111" i="9"/>
  <c r="P110" i="9"/>
  <c r="P109" i="9"/>
  <c r="N109" i="9"/>
  <c r="P108" i="9"/>
  <c r="O108" i="9"/>
  <c r="P107" i="9"/>
  <c r="P106" i="9"/>
  <c r="P105" i="9"/>
  <c r="P104" i="9"/>
  <c r="P103" i="9"/>
  <c r="P102" i="9"/>
  <c r="P101" i="9"/>
  <c r="P100" i="9"/>
  <c r="P99" i="9"/>
  <c r="N99" i="9"/>
  <c r="P98" i="9"/>
  <c r="O98" i="9"/>
  <c r="P97" i="9"/>
  <c r="P96" i="9"/>
  <c r="P95" i="9"/>
  <c r="O95" i="9"/>
  <c r="N95" i="9"/>
  <c r="P94" i="9"/>
  <c r="O94" i="9"/>
  <c r="N94" i="9"/>
  <c r="P93" i="9"/>
  <c r="O93" i="9"/>
  <c r="N93" i="9"/>
  <c r="P92" i="9"/>
  <c r="O92" i="9"/>
  <c r="P91" i="9"/>
  <c r="O91" i="9"/>
  <c r="N91" i="9"/>
  <c r="P90" i="9"/>
  <c r="O90" i="9"/>
  <c r="N90" i="9"/>
  <c r="P89" i="9"/>
  <c r="P88" i="9"/>
  <c r="P87" i="9"/>
  <c r="P86" i="9"/>
  <c r="P85" i="9"/>
  <c r="P84" i="9"/>
  <c r="P83" i="9"/>
  <c r="P82" i="9"/>
  <c r="P81" i="9"/>
  <c r="O81" i="9"/>
  <c r="N81" i="9"/>
  <c r="P80" i="9"/>
  <c r="O80" i="9"/>
  <c r="N80" i="9"/>
  <c r="P79" i="9"/>
  <c r="O79" i="9"/>
  <c r="P78" i="9"/>
  <c r="O78" i="9"/>
  <c r="N78" i="9"/>
  <c r="P74" i="9"/>
  <c r="O74" i="9"/>
  <c r="N74" i="9"/>
  <c r="P73" i="9"/>
  <c r="N73" i="9"/>
  <c r="P63" i="9"/>
  <c r="O63" i="9"/>
  <c r="N63" i="9"/>
  <c r="P61" i="9"/>
  <c r="O61" i="9"/>
  <c r="N61" i="9"/>
  <c r="P60" i="9"/>
  <c r="O60" i="9"/>
  <c r="P59" i="9"/>
  <c r="O59" i="9"/>
  <c r="N59" i="9"/>
  <c r="P58" i="9"/>
  <c r="O58" i="9"/>
  <c r="N58" i="9"/>
  <c r="P57" i="9"/>
  <c r="O57" i="9"/>
  <c r="N57" i="9"/>
  <c r="P56" i="9"/>
  <c r="O56" i="9"/>
  <c r="N56" i="9"/>
  <c r="P55" i="9"/>
  <c r="O55" i="9"/>
  <c r="N55" i="9"/>
  <c r="P54" i="9"/>
  <c r="O54" i="9"/>
  <c r="N54" i="9"/>
  <c r="P53" i="9"/>
  <c r="O53" i="9"/>
  <c r="N53" i="9"/>
  <c r="P48" i="9"/>
  <c r="O48" i="9"/>
  <c r="N48" i="9"/>
  <c r="P47" i="9"/>
  <c r="O47" i="9"/>
  <c r="N47" i="9"/>
  <c r="P46" i="9"/>
  <c r="O46" i="9"/>
  <c r="N46" i="9"/>
  <c r="P45" i="9"/>
  <c r="O45" i="9"/>
  <c r="P44" i="9"/>
  <c r="O44" i="9"/>
  <c r="P43" i="9"/>
  <c r="O43" i="9"/>
  <c r="P42" i="9"/>
  <c r="O42" i="9"/>
  <c r="P41" i="9"/>
  <c r="O41" i="9"/>
  <c r="N41" i="9"/>
  <c r="P40" i="9"/>
  <c r="O40" i="9"/>
  <c r="N40" i="9"/>
  <c r="P39" i="9"/>
  <c r="O39" i="9"/>
  <c r="N39" i="9"/>
  <c r="P38" i="9"/>
  <c r="O38" i="9"/>
  <c r="P37" i="9"/>
  <c r="O37" i="9"/>
  <c r="P36" i="9"/>
  <c r="O36" i="9"/>
  <c r="P35" i="9"/>
  <c r="O35" i="9"/>
  <c r="P34" i="9"/>
  <c r="O34" i="9"/>
  <c r="N34" i="9"/>
  <c r="P33" i="9"/>
  <c r="O33" i="9"/>
  <c r="N33" i="9"/>
  <c r="O30" i="9"/>
  <c r="P29" i="9"/>
  <c r="O29" i="9"/>
  <c r="P26" i="9"/>
  <c r="O26" i="9"/>
  <c r="N26" i="9"/>
  <c r="P25" i="9"/>
  <c r="O25" i="9"/>
  <c r="N25" i="9"/>
  <c r="P24" i="9"/>
  <c r="O24" i="9"/>
  <c r="N24" i="9"/>
  <c r="P23" i="9"/>
  <c r="O23" i="9"/>
  <c r="P22" i="9"/>
  <c r="O22" i="9"/>
  <c r="P21" i="9"/>
  <c r="O21" i="9"/>
  <c r="P20" i="9"/>
  <c r="O20" i="9"/>
  <c r="N20" i="9"/>
  <c r="P19" i="9"/>
  <c r="O19" i="9"/>
  <c r="N19" i="9"/>
  <c r="P18" i="9"/>
  <c r="O18" i="9"/>
  <c r="N18" i="9"/>
  <c r="P17" i="9"/>
  <c r="O17" i="9"/>
  <c r="P16" i="9"/>
  <c r="O16" i="9"/>
  <c r="P15" i="9"/>
  <c r="O15" i="9"/>
  <c r="N15" i="9"/>
  <c r="P14" i="9"/>
  <c r="O14" i="9"/>
  <c r="N14" i="9"/>
  <c r="P13" i="9"/>
  <c r="O13" i="9"/>
  <c r="N13" i="9"/>
  <c r="P12" i="9"/>
  <c r="O12" i="9"/>
  <c r="P11" i="9"/>
  <c r="O11" i="9"/>
  <c r="P10" i="9"/>
  <c r="O10" i="9"/>
  <c r="N10" i="9"/>
  <c r="P9" i="9"/>
  <c r="O9" i="9"/>
  <c r="N9" i="9"/>
  <c r="P8" i="9"/>
  <c r="O8" i="9"/>
  <c r="N8" i="9"/>
  <c r="P7" i="9"/>
  <c r="O7" i="9"/>
  <c r="P6" i="9"/>
  <c r="O6" i="9"/>
  <c r="M185" i="9"/>
  <c r="L185" i="9"/>
  <c r="K185" i="9"/>
  <c r="M184" i="9"/>
  <c r="L184" i="9"/>
  <c r="K184" i="9"/>
  <c r="M183" i="9"/>
  <c r="L183" i="9"/>
  <c r="M182" i="9"/>
  <c r="L182" i="9"/>
  <c r="K182" i="9"/>
  <c r="M181" i="9"/>
  <c r="L181" i="9"/>
  <c r="M180" i="9"/>
  <c r="L180" i="9"/>
  <c r="M179" i="9"/>
  <c r="L179" i="9"/>
  <c r="K179" i="9"/>
  <c r="M178" i="9"/>
  <c r="L178" i="9"/>
  <c r="M177" i="9"/>
  <c r="L177" i="9"/>
  <c r="M176" i="9"/>
  <c r="L176" i="9"/>
  <c r="M175" i="9"/>
  <c r="L175" i="9"/>
  <c r="M174" i="9"/>
  <c r="L174" i="9"/>
  <c r="M173" i="9"/>
  <c r="L173" i="9"/>
  <c r="M172" i="9"/>
  <c r="L172" i="9"/>
  <c r="M171" i="9"/>
  <c r="L171" i="9"/>
  <c r="K171" i="9"/>
  <c r="M170" i="9"/>
  <c r="L170" i="9"/>
  <c r="M169" i="9"/>
  <c r="L169" i="9"/>
  <c r="M168" i="9"/>
  <c r="L168" i="9"/>
  <c r="M167" i="9"/>
  <c r="L167" i="9"/>
  <c r="K167" i="9"/>
  <c r="M166" i="9"/>
  <c r="L166" i="9"/>
  <c r="M165" i="9"/>
  <c r="L165" i="9"/>
  <c r="M164" i="9"/>
  <c r="L164" i="9"/>
  <c r="K164" i="9"/>
  <c r="M163" i="9"/>
  <c r="L163" i="9"/>
  <c r="K163" i="9"/>
  <c r="M162" i="9"/>
  <c r="L162" i="9"/>
  <c r="K162" i="9"/>
  <c r="M161" i="9"/>
  <c r="L161" i="9"/>
  <c r="M160" i="9"/>
  <c r="L160" i="9"/>
  <c r="M159" i="9"/>
  <c r="L159" i="9"/>
  <c r="M158" i="9"/>
  <c r="L158" i="9"/>
  <c r="M157" i="9"/>
  <c r="L157" i="9"/>
  <c r="K157" i="9"/>
  <c r="M156" i="9"/>
  <c r="L156" i="9"/>
  <c r="K156" i="9"/>
  <c r="M155" i="9"/>
  <c r="L155" i="9"/>
  <c r="K155" i="9"/>
  <c r="M154" i="9"/>
  <c r="L154" i="9"/>
  <c r="K154" i="9"/>
  <c r="M153" i="9"/>
  <c r="L153" i="9"/>
  <c r="K153" i="9"/>
  <c r="M152" i="9"/>
  <c r="L152" i="9"/>
  <c r="M151" i="9"/>
  <c r="L151" i="9"/>
  <c r="M150" i="9"/>
  <c r="L150" i="9"/>
  <c r="K150" i="9"/>
  <c r="M149" i="9"/>
  <c r="L149" i="9"/>
  <c r="M148" i="9"/>
  <c r="L148" i="9"/>
  <c r="K148" i="9"/>
  <c r="M147" i="9"/>
  <c r="L147" i="9"/>
  <c r="K147" i="9"/>
  <c r="M146" i="9"/>
  <c r="L146" i="9"/>
  <c r="M145" i="9"/>
  <c r="L145" i="9"/>
  <c r="K145" i="9"/>
  <c r="M144" i="9"/>
  <c r="L144" i="9"/>
  <c r="M138" i="9"/>
  <c r="M137" i="9"/>
  <c r="L137" i="9"/>
  <c r="K137" i="9"/>
  <c r="M136" i="9"/>
  <c r="L136" i="9"/>
  <c r="K136" i="9"/>
  <c r="M135" i="9"/>
  <c r="L135" i="9"/>
  <c r="M134" i="9"/>
  <c r="L134" i="9"/>
  <c r="M133" i="9"/>
  <c r="L133" i="9"/>
  <c r="M132" i="9"/>
  <c r="L132" i="9"/>
  <c r="M131" i="9"/>
  <c r="L131" i="9"/>
  <c r="K131" i="9"/>
  <c r="M130" i="9"/>
  <c r="L130" i="9"/>
  <c r="M129" i="9"/>
  <c r="K129" i="9"/>
  <c r="M128" i="9"/>
  <c r="L128" i="9"/>
  <c r="M119" i="9"/>
  <c r="L119" i="9"/>
  <c r="K119" i="9"/>
  <c r="M118" i="9"/>
  <c r="L118" i="9"/>
  <c r="M117" i="9"/>
  <c r="L117" i="9"/>
  <c r="K117" i="9"/>
  <c r="M116" i="9"/>
  <c r="L116" i="9"/>
  <c r="K116" i="9"/>
  <c r="M115" i="9"/>
  <c r="L115" i="9"/>
  <c r="K115" i="9"/>
  <c r="M114" i="9"/>
  <c r="M113" i="9"/>
  <c r="L113" i="9"/>
  <c r="M112" i="9"/>
  <c r="L112" i="9"/>
  <c r="M111" i="9"/>
  <c r="L111" i="9"/>
  <c r="M110" i="9"/>
  <c r="K110" i="9"/>
  <c r="M109" i="9"/>
  <c r="K109" i="9"/>
  <c r="M108" i="9"/>
  <c r="L108" i="9"/>
  <c r="M107" i="9"/>
  <c r="M106" i="9"/>
  <c r="M105" i="9"/>
  <c r="L105" i="9"/>
  <c r="M104" i="9"/>
  <c r="M103" i="9"/>
  <c r="L103" i="9"/>
  <c r="K103" i="9"/>
  <c r="M102" i="9"/>
  <c r="M101" i="9"/>
  <c r="K101" i="9"/>
  <c r="M100" i="9"/>
  <c r="L100" i="9"/>
  <c r="K100" i="9"/>
  <c r="M99" i="9"/>
  <c r="K99" i="9"/>
  <c r="M98" i="9"/>
  <c r="L98" i="9"/>
  <c r="M97" i="9"/>
  <c r="L97" i="9"/>
  <c r="K97" i="9"/>
  <c r="M96" i="9"/>
  <c r="K96" i="9"/>
  <c r="M95" i="9"/>
  <c r="L95" i="9"/>
  <c r="K95" i="9"/>
  <c r="M94" i="9"/>
  <c r="L94" i="9"/>
  <c r="K94" i="9"/>
  <c r="M93" i="9"/>
  <c r="L93" i="9"/>
  <c r="K93" i="9"/>
  <c r="M92" i="9"/>
  <c r="L92" i="9"/>
  <c r="E117" i="5"/>
  <c r="K92" i="9" s="1"/>
  <c r="M91" i="9"/>
  <c r="L91" i="9"/>
  <c r="K91" i="9"/>
  <c r="M90" i="9"/>
  <c r="L90" i="9"/>
  <c r="K90" i="9"/>
  <c r="M89" i="9"/>
  <c r="M88" i="9"/>
  <c r="K88" i="9"/>
  <c r="M87" i="9"/>
  <c r="M86" i="9"/>
  <c r="L86" i="9"/>
  <c r="M85" i="9"/>
  <c r="M84" i="9"/>
  <c r="M83" i="9"/>
  <c r="M82" i="9"/>
  <c r="M81" i="9"/>
  <c r="L81" i="9"/>
  <c r="K81" i="9"/>
  <c r="M80" i="9"/>
  <c r="L80" i="9"/>
  <c r="K80" i="9"/>
  <c r="M79" i="9"/>
  <c r="L79" i="9"/>
  <c r="M78" i="9"/>
  <c r="L78" i="9"/>
  <c r="K78" i="9"/>
  <c r="M74" i="9"/>
  <c r="L74" i="9"/>
  <c r="K74" i="9"/>
  <c r="M73" i="9"/>
  <c r="K73" i="9"/>
  <c r="M71" i="9"/>
  <c r="L71" i="9"/>
  <c r="M69" i="9"/>
  <c r="L67" i="9"/>
  <c r="M63" i="9"/>
  <c r="L63" i="9"/>
  <c r="K63" i="9"/>
  <c r="M61" i="9"/>
  <c r="L61" i="9"/>
  <c r="K61" i="9"/>
  <c r="M60" i="9"/>
  <c r="L60" i="9"/>
  <c r="E83" i="5"/>
  <c r="K60" i="9" s="1"/>
  <c r="M59" i="9"/>
  <c r="L59" i="9"/>
  <c r="K59" i="9"/>
  <c r="M58" i="9"/>
  <c r="L58" i="9"/>
  <c r="K58" i="9"/>
  <c r="M57" i="9"/>
  <c r="L57" i="9"/>
  <c r="K57" i="9"/>
  <c r="M56" i="9"/>
  <c r="L56" i="9"/>
  <c r="K56" i="9"/>
  <c r="M55" i="9"/>
  <c r="L55" i="9"/>
  <c r="K55" i="9"/>
  <c r="M54" i="9"/>
  <c r="L54" i="9"/>
  <c r="K54" i="9"/>
  <c r="M53" i="9"/>
  <c r="L53" i="9"/>
  <c r="K53" i="9"/>
  <c r="M48" i="9"/>
  <c r="L48" i="9"/>
  <c r="K48" i="9"/>
  <c r="M47" i="9"/>
  <c r="L47" i="9"/>
  <c r="K47" i="9"/>
  <c r="M46" i="9"/>
  <c r="L46" i="9"/>
  <c r="K46" i="9"/>
  <c r="M45" i="9"/>
  <c r="L45" i="9"/>
  <c r="M44" i="9"/>
  <c r="L44" i="9"/>
  <c r="M43" i="9"/>
  <c r="L43" i="9"/>
  <c r="M42" i="9"/>
  <c r="L42" i="9"/>
  <c r="M41" i="9"/>
  <c r="L41" i="9"/>
  <c r="K41" i="9"/>
  <c r="M40" i="9"/>
  <c r="L40" i="9"/>
  <c r="K40" i="9"/>
  <c r="M39" i="9"/>
  <c r="L39" i="9"/>
  <c r="K39" i="9"/>
  <c r="M38" i="9"/>
  <c r="L38" i="9"/>
  <c r="M37" i="9"/>
  <c r="L37" i="9"/>
  <c r="K37" i="9"/>
  <c r="M36" i="9"/>
  <c r="L36" i="9"/>
  <c r="M35" i="9"/>
  <c r="L35" i="9"/>
  <c r="M34" i="9"/>
  <c r="L34" i="9"/>
  <c r="K34" i="9"/>
  <c r="M33" i="9"/>
  <c r="L33" i="9"/>
  <c r="K33" i="9"/>
  <c r="L30" i="9"/>
  <c r="M29" i="9"/>
  <c r="L29" i="9"/>
  <c r="M26" i="9"/>
  <c r="L26" i="9"/>
  <c r="K26" i="9"/>
  <c r="M25" i="9"/>
  <c r="L25" i="9"/>
  <c r="K25" i="9"/>
  <c r="M24" i="9"/>
  <c r="L24" i="9"/>
  <c r="K24" i="9"/>
  <c r="M23" i="9"/>
  <c r="L23" i="9"/>
  <c r="M22" i="9"/>
  <c r="L22" i="9"/>
  <c r="M21" i="9"/>
  <c r="L21" i="9"/>
  <c r="M20" i="9"/>
  <c r="L20" i="9"/>
  <c r="K20" i="9"/>
  <c r="M19" i="9"/>
  <c r="L19" i="9"/>
  <c r="K19" i="9"/>
  <c r="M18" i="9"/>
  <c r="L18" i="9"/>
  <c r="K18" i="9"/>
  <c r="M17" i="9"/>
  <c r="L17" i="9"/>
  <c r="M16" i="9"/>
  <c r="L16" i="9"/>
  <c r="M15" i="9"/>
  <c r="L15" i="9"/>
  <c r="K15" i="9"/>
  <c r="M14" i="9"/>
  <c r="L14" i="9"/>
  <c r="K14" i="9"/>
  <c r="M13" i="9"/>
  <c r="L13" i="9"/>
  <c r="K13" i="9"/>
  <c r="M12" i="9"/>
  <c r="L12" i="9"/>
  <c r="M11" i="9"/>
  <c r="L11" i="9"/>
  <c r="M10" i="9"/>
  <c r="L10" i="9"/>
  <c r="K10" i="9"/>
  <c r="M9" i="9"/>
  <c r="L9" i="9"/>
  <c r="K9" i="9"/>
  <c r="M8" i="9"/>
  <c r="L8" i="9"/>
  <c r="K8" i="9"/>
  <c r="M7" i="9"/>
  <c r="L7" i="9"/>
  <c r="M6" i="9"/>
  <c r="L6" i="9"/>
  <c r="K6" i="9"/>
  <c r="J185" i="9"/>
  <c r="I185" i="9"/>
  <c r="H185" i="9"/>
  <c r="J184" i="9"/>
  <c r="I184" i="9"/>
  <c r="H184" i="9"/>
  <c r="J183" i="9"/>
  <c r="I183" i="9"/>
  <c r="J182" i="9"/>
  <c r="I182" i="9"/>
  <c r="H182" i="9"/>
  <c r="J181" i="9"/>
  <c r="I181" i="9"/>
  <c r="H181" i="9"/>
  <c r="J180" i="9"/>
  <c r="I180" i="9"/>
  <c r="J179" i="9"/>
  <c r="I179" i="9"/>
  <c r="H179" i="9"/>
  <c r="J178" i="9"/>
  <c r="I178" i="9"/>
  <c r="H178" i="9"/>
  <c r="J177" i="9"/>
  <c r="I177" i="9"/>
  <c r="H177" i="9"/>
  <c r="J176" i="9"/>
  <c r="I176" i="9"/>
  <c r="H176" i="9"/>
  <c r="J175" i="9"/>
  <c r="I175" i="9"/>
  <c r="J174" i="9"/>
  <c r="I174" i="9"/>
  <c r="H174" i="9"/>
  <c r="J173" i="9"/>
  <c r="I173" i="9"/>
  <c r="H173" i="9"/>
  <c r="J172" i="9"/>
  <c r="I172" i="9"/>
  <c r="J171" i="9"/>
  <c r="I171" i="9"/>
  <c r="H171" i="9"/>
  <c r="J170" i="9"/>
  <c r="I170" i="9"/>
  <c r="J169" i="9"/>
  <c r="I169" i="9"/>
  <c r="J168" i="9"/>
  <c r="I168" i="9"/>
  <c r="H168" i="9"/>
  <c r="J167" i="9"/>
  <c r="I167" i="9"/>
  <c r="H167" i="9"/>
  <c r="J166" i="9"/>
  <c r="I166" i="9"/>
  <c r="H166" i="9"/>
  <c r="J165" i="9"/>
  <c r="I165" i="9"/>
  <c r="H165" i="9"/>
  <c r="J164" i="9"/>
  <c r="I164" i="9"/>
  <c r="H164" i="9"/>
  <c r="J163" i="9"/>
  <c r="I163" i="9"/>
  <c r="H163" i="9"/>
  <c r="J162" i="9"/>
  <c r="I162" i="9"/>
  <c r="H162" i="9"/>
  <c r="J161" i="9"/>
  <c r="I161" i="9"/>
  <c r="H161" i="9"/>
  <c r="J160" i="9"/>
  <c r="I160" i="9"/>
  <c r="H160" i="9"/>
  <c r="J159" i="9"/>
  <c r="I159" i="9"/>
  <c r="H159" i="9"/>
  <c r="J158" i="9"/>
  <c r="I158" i="9"/>
  <c r="H158" i="9"/>
  <c r="J157" i="9"/>
  <c r="I157" i="9"/>
  <c r="H157" i="9"/>
  <c r="J156" i="9"/>
  <c r="I156" i="9"/>
  <c r="H156" i="9"/>
  <c r="J155" i="9"/>
  <c r="I155" i="9"/>
  <c r="H155" i="9"/>
  <c r="J154" i="9"/>
  <c r="I154" i="9"/>
  <c r="H154" i="9"/>
  <c r="J153" i="9"/>
  <c r="I153" i="9"/>
  <c r="H153" i="9"/>
  <c r="J152" i="9"/>
  <c r="I152" i="9"/>
  <c r="H152" i="9"/>
  <c r="J151" i="9"/>
  <c r="I151" i="9"/>
  <c r="H151" i="9"/>
  <c r="J150" i="9"/>
  <c r="I150" i="9"/>
  <c r="H150" i="9"/>
  <c r="J149" i="9"/>
  <c r="I149" i="9"/>
  <c r="H149" i="9"/>
  <c r="J148" i="9"/>
  <c r="I148" i="9"/>
  <c r="H148" i="9"/>
  <c r="J147" i="9"/>
  <c r="I147" i="9"/>
  <c r="H147" i="9"/>
  <c r="J146" i="9"/>
  <c r="I146" i="9"/>
  <c r="J145" i="9"/>
  <c r="I145" i="9"/>
  <c r="H145" i="9"/>
  <c r="J144" i="9"/>
  <c r="I144" i="9"/>
  <c r="H144" i="9"/>
  <c r="J143" i="9"/>
  <c r="H143" i="9"/>
  <c r="J142" i="9"/>
  <c r="H142" i="9"/>
  <c r="H141" i="9"/>
  <c r="J140" i="9"/>
  <c r="H140" i="9"/>
  <c r="H139" i="9"/>
  <c r="J138" i="9"/>
  <c r="H138" i="9"/>
  <c r="J137" i="9"/>
  <c r="I137" i="9"/>
  <c r="H137" i="9"/>
  <c r="J136" i="9"/>
  <c r="I136" i="9"/>
  <c r="H136" i="9"/>
  <c r="J135" i="9"/>
  <c r="I135" i="9"/>
  <c r="H135" i="9"/>
  <c r="J134" i="9"/>
  <c r="I134" i="9"/>
  <c r="H134" i="9"/>
  <c r="J133" i="9"/>
  <c r="I133" i="9"/>
  <c r="H133" i="9"/>
  <c r="J132" i="9"/>
  <c r="I132" i="9"/>
  <c r="H132" i="9"/>
  <c r="J131" i="9"/>
  <c r="I131" i="9"/>
  <c r="H131" i="9"/>
  <c r="J130" i="9"/>
  <c r="I130" i="9"/>
  <c r="H130" i="9"/>
  <c r="J129" i="9"/>
  <c r="H129" i="9"/>
  <c r="J128" i="9"/>
  <c r="I128" i="9"/>
  <c r="H128" i="9"/>
  <c r="J119" i="9"/>
  <c r="I119" i="9"/>
  <c r="H119" i="9"/>
  <c r="J118" i="9"/>
  <c r="I118" i="9"/>
  <c r="J117" i="9"/>
  <c r="I117" i="9"/>
  <c r="H117" i="9"/>
  <c r="J116" i="9"/>
  <c r="I116" i="9"/>
  <c r="H116" i="9"/>
  <c r="J115" i="9"/>
  <c r="I115" i="9"/>
  <c r="H115" i="9"/>
  <c r="J114" i="9"/>
  <c r="I114" i="9"/>
  <c r="H114" i="9"/>
  <c r="J113" i="9"/>
  <c r="I113" i="9"/>
  <c r="H113" i="9"/>
  <c r="J112" i="9"/>
  <c r="I112" i="9"/>
  <c r="J111" i="9"/>
  <c r="I111" i="9"/>
  <c r="H111" i="9"/>
  <c r="J110" i="9"/>
  <c r="I110" i="9"/>
  <c r="H110" i="9"/>
  <c r="J109" i="9"/>
  <c r="I109" i="9"/>
  <c r="H109" i="9"/>
  <c r="J108" i="9"/>
  <c r="I108" i="9"/>
  <c r="H108" i="9"/>
  <c r="J107" i="9"/>
  <c r="I107" i="9"/>
  <c r="H107" i="9"/>
  <c r="J106" i="9"/>
  <c r="I106" i="9"/>
  <c r="H106" i="9"/>
  <c r="J105" i="9"/>
  <c r="H105" i="9"/>
  <c r="J104" i="9"/>
  <c r="I104" i="9"/>
  <c r="H104" i="9"/>
  <c r="J103" i="9"/>
  <c r="I103" i="9"/>
  <c r="H103" i="9"/>
  <c r="J102" i="9"/>
  <c r="I102" i="9"/>
  <c r="H102" i="9"/>
  <c r="J101" i="9"/>
  <c r="I101" i="9"/>
  <c r="H101" i="9"/>
  <c r="J100" i="9"/>
  <c r="H100" i="9"/>
  <c r="J99" i="9"/>
  <c r="I99" i="9"/>
  <c r="H99" i="9"/>
  <c r="J98" i="9"/>
  <c r="I98" i="9"/>
  <c r="J97" i="9"/>
  <c r="I97" i="9"/>
  <c r="H97" i="9"/>
  <c r="J96" i="9"/>
  <c r="H96" i="9"/>
  <c r="J95" i="9"/>
  <c r="I95" i="9"/>
  <c r="H95" i="9"/>
  <c r="J94" i="9"/>
  <c r="I94" i="9"/>
  <c r="H94" i="9"/>
  <c r="J93" i="9"/>
  <c r="I93" i="9"/>
  <c r="H93" i="9"/>
  <c r="J92" i="9"/>
  <c r="I92" i="9"/>
  <c r="J91" i="9"/>
  <c r="I91" i="9"/>
  <c r="H91" i="9"/>
  <c r="J90" i="9"/>
  <c r="I90" i="9"/>
  <c r="H90" i="9"/>
  <c r="J89" i="9"/>
  <c r="I89" i="9"/>
  <c r="J88" i="9"/>
  <c r="I88" i="9"/>
  <c r="H88" i="9"/>
  <c r="J87" i="9"/>
  <c r="I87" i="9"/>
  <c r="H87" i="9"/>
  <c r="J86" i="9"/>
  <c r="I86" i="9"/>
  <c r="H86" i="9"/>
  <c r="J85" i="9"/>
  <c r="I85" i="9"/>
  <c r="J84" i="9"/>
  <c r="I84" i="9"/>
  <c r="H84" i="9"/>
  <c r="J83" i="9"/>
  <c r="J82" i="9"/>
  <c r="I82" i="9"/>
  <c r="H82" i="9"/>
  <c r="J81" i="9"/>
  <c r="I81" i="9"/>
  <c r="H81" i="9"/>
  <c r="J80" i="9"/>
  <c r="I80" i="9"/>
  <c r="H80" i="9"/>
  <c r="J79" i="9"/>
  <c r="I79" i="9"/>
  <c r="H79" i="9"/>
  <c r="J78" i="9"/>
  <c r="I78" i="9"/>
  <c r="H78" i="9"/>
  <c r="J77" i="9"/>
  <c r="I77" i="9"/>
  <c r="H77" i="9"/>
  <c r="J76" i="9"/>
  <c r="H76" i="9"/>
  <c r="J75" i="9"/>
  <c r="I75" i="9"/>
  <c r="H75" i="9"/>
  <c r="J74" i="9"/>
  <c r="I74" i="9"/>
  <c r="H74" i="9"/>
  <c r="J73" i="9"/>
  <c r="H73" i="9"/>
  <c r="J72" i="9"/>
  <c r="I72" i="9"/>
  <c r="J71" i="9"/>
  <c r="I71" i="9"/>
  <c r="J70" i="9"/>
  <c r="J69" i="9"/>
  <c r="I69" i="9"/>
  <c r="H69" i="9"/>
  <c r="J68" i="9"/>
  <c r="I68" i="9"/>
  <c r="H68" i="9"/>
  <c r="J67" i="9"/>
  <c r="I67" i="9"/>
  <c r="H67" i="9"/>
  <c r="I66" i="9"/>
  <c r="H66" i="9"/>
  <c r="J65" i="9"/>
  <c r="H65" i="9"/>
  <c r="J64" i="9"/>
  <c r="I64" i="9"/>
  <c r="H64" i="9"/>
  <c r="J63" i="9"/>
  <c r="I63" i="9"/>
  <c r="H63" i="9"/>
  <c r="J61" i="9"/>
  <c r="I61" i="9"/>
  <c r="H61" i="9"/>
  <c r="J60" i="9"/>
  <c r="I60" i="9"/>
  <c r="J59" i="9"/>
  <c r="I59" i="9"/>
  <c r="H59" i="9"/>
  <c r="J58" i="9"/>
  <c r="I58" i="9"/>
  <c r="H58" i="9"/>
  <c r="J57" i="9"/>
  <c r="I57" i="9"/>
  <c r="H57" i="9"/>
  <c r="J56" i="9"/>
  <c r="I56" i="9"/>
  <c r="H56" i="9"/>
  <c r="J55" i="9"/>
  <c r="I55" i="9"/>
  <c r="H55" i="9"/>
  <c r="J54" i="9"/>
  <c r="I54" i="9"/>
  <c r="H54" i="9"/>
  <c r="J53" i="9"/>
  <c r="I53" i="9"/>
  <c r="H53" i="9"/>
  <c r="J48" i="9"/>
  <c r="I48" i="9"/>
  <c r="H48" i="9"/>
  <c r="J47" i="9"/>
  <c r="I47" i="9"/>
  <c r="H47" i="9"/>
  <c r="J46" i="9"/>
  <c r="I46" i="9"/>
  <c r="H46" i="9"/>
  <c r="J45" i="9"/>
  <c r="I45" i="9"/>
  <c r="J44" i="9"/>
  <c r="I44" i="9"/>
  <c r="H44" i="9"/>
  <c r="J43" i="9"/>
  <c r="I43" i="9"/>
  <c r="J42" i="9"/>
  <c r="I42" i="9"/>
  <c r="J41" i="9"/>
  <c r="I41" i="9"/>
  <c r="H41" i="9"/>
  <c r="J40" i="9"/>
  <c r="I40" i="9"/>
  <c r="H40" i="9"/>
  <c r="J39" i="9"/>
  <c r="I39" i="9"/>
  <c r="H39" i="9"/>
  <c r="J38" i="9"/>
  <c r="I38" i="9"/>
  <c r="H38" i="9"/>
  <c r="J37" i="9"/>
  <c r="I37" i="9"/>
  <c r="H37" i="9"/>
  <c r="J36" i="9"/>
  <c r="I36" i="9"/>
  <c r="H36" i="9"/>
  <c r="J35" i="9"/>
  <c r="I35" i="9"/>
  <c r="H35" i="9"/>
  <c r="J34" i="9"/>
  <c r="I34" i="9"/>
  <c r="H34" i="9"/>
  <c r="J33" i="9"/>
  <c r="I33" i="9"/>
  <c r="H33" i="9"/>
  <c r="I30" i="9"/>
  <c r="J29" i="9"/>
  <c r="I29" i="9"/>
  <c r="J26" i="9"/>
  <c r="I26" i="9"/>
  <c r="H26" i="9"/>
  <c r="J25" i="9"/>
  <c r="I25" i="9"/>
  <c r="H25" i="9"/>
  <c r="J24" i="9"/>
  <c r="I24" i="9"/>
  <c r="H24" i="9"/>
  <c r="J23" i="9"/>
  <c r="I23" i="9"/>
  <c r="J22" i="9"/>
  <c r="I22" i="9"/>
  <c r="H22" i="9"/>
  <c r="J21" i="9"/>
  <c r="I21" i="9"/>
  <c r="H21" i="9"/>
  <c r="J20" i="9"/>
  <c r="I20" i="9"/>
  <c r="H20" i="9"/>
  <c r="J19" i="9"/>
  <c r="I19" i="9"/>
  <c r="H19" i="9"/>
  <c r="J18" i="9"/>
  <c r="I18" i="9"/>
  <c r="H18" i="9"/>
  <c r="J17" i="9"/>
  <c r="I17" i="9"/>
  <c r="J16" i="9"/>
  <c r="I16" i="9"/>
  <c r="J15" i="9"/>
  <c r="I15" i="9"/>
  <c r="H15" i="9"/>
  <c r="J14" i="9"/>
  <c r="I14" i="9"/>
  <c r="H14" i="9"/>
  <c r="J13" i="9"/>
  <c r="I13" i="9"/>
  <c r="H13" i="9"/>
  <c r="J12" i="9"/>
  <c r="I12" i="9"/>
  <c r="J11" i="9"/>
  <c r="I11" i="9"/>
  <c r="H11" i="9"/>
  <c r="J10" i="9"/>
  <c r="I10" i="9"/>
  <c r="H10" i="9"/>
  <c r="J9" i="9"/>
  <c r="I9" i="9"/>
  <c r="H9" i="9"/>
  <c r="J8" i="9"/>
  <c r="I8" i="9"/>
  <c r="H8" i="9"/>
  <c r="J7" i="9"/>
  <c r="I7" i="9"/>
  <c r="J6" i="9"/>
  <c r="I6" i="9"/>
  <c r="H6" i="9"/>
  <c r="G185" i="9"/>
  <c r="G184" i="9"/>
  <c r="G183" i="9"/>
  <c r="G182" i="9"/>
  <c r="G181" i="9"/>
  <c r="G180" i="9"/>
  <c r="G179" i="9"/>
  <c r="G178" i="9"/>
  <c r="G177" i="9"/>
  <c r="G176" i="9"/>
  <c r="G175" i="9"/>
  <c r="G174" i="9"/>
  <c r="G173" i="9"/>
  <c r="G172" i="9"/>
  <c r="G171" i="9"/>
  <c r="G170" i="9"/>
  <c r="G169" i="9"/>
  <c r="G168" i="9"/>
  <c r="G167" i="9"/>
  <c r="G166" i="9"/>
  <c r="G165" i="9"/>
  <c r="G164" i="9"/>
  <c r="G163" i="9"/>
  <c r="G162" i="9"/>
  <c r="G161" i="9"/>
  <c r="G160" i="9"/>
  <c r="G159" i="9"/>
  <c r="G158" i="9"/>
  <c r="G157" i="9"/>
  <c r="G156" i="9"/>
  <c r="G155" i="9"/>
  <c r="G154" i="9"/>
  <c r="G153" i="9"/>
  <c r="G152" i="9"/>
  <c r="G151" i="9"/>
  <c r="G150" i="9"/>
  <c r="G149" i="9"/>
  <c r="G148" i="9"/>
  <c r="G147" i="9"/>
  <c r="G146" i="9"/>
  <c r="G119" i="9"/>
  <c r="G118" i="9"/>
  <c r="G117" i="9"/>
  <c r="G116" i="9"/>
  <c r="G115" i="9"/>
  <c r="G114" i="9"/>
  <c r="G113" i="9"/>
  <c r="G112" i="9"/>
  <c r="G111" i="9"/>
  <c r="G110" i="9"/>
  <c r="G109" i="9"/>
  <c r="G108" i="9"/>
  <c r="G107" i="9"/>
  <c r="G106" i="9"/>
  <c r="G105" i="9"/>
  <c r="G104" i="9"/>
  <c r="G103" i="9"/>
  <c r="G102" i="9"/>
  <c r="G101" i="9"/>
  <c r="G100" i="9"/>
  <c r="G99" i="9"/>
  <c r="G98" i="9"/>
  <c r="G97" i="9"/>
  <c r="G96" i="9"/>
  <c r="G95" i="9"/>
  <c r="G94" i="9"/>
  <c r="G93" i="9"/>
  <c r="G92" i="9"/>
  <c r="G91" i="9"/>
  <c r="G90" i="9"/>
  <c r="G89" i="9"/>
  <c r="G88" i="9"/>
  <c r="G87" i="9"/>
  <c r="G86" i="9"/>
  <c r="G85" i="9"/>
  <c r="G84" i="9"/>
  <c r="G83" i="9"/>
  <c r="G82" i="9"/>
  <c r="G81" i="9"/>
  <c r="G80" i="9"/>
  <c r="G73" i="9"/>
  <c r="G72" i="9"/>
  <c r="G71" i="9"/>
  <c r="G70" i="9"/>
  <c r="G69" i="9"/>
  <c r="G68" i="9"/>
  <c r="G67" i="9"/>
  <c r="G66" i="9"/>
  <c r="G65" i="9"/>
  <c r="G64" i="9"/>
  <c r="G63" i="9"/>
  <c r="G61" i="9"/>
  <c r="G60" i="9"/>
  <c r="G59" i="9"/>
  <c r="G58" i="9"/>
  <c r="G57" i="9"/>
  <c r="G56" i="9"/>
  <c r="G55" i="9"/>
  <c r="G54" i="9"/>
  <c r="G53" i="9"/>
  <c r="G52" i="9"/>
  <c r="G51" i="9"/>
  <c r="G50" i="9"/>
  <c r="G49" i="9"/>
  <c r="G48" i="9"/>
  <c r="G47" i="9"/>
  <c r="G46" i="9"/>
  <c r="G45" i="9"/>
  <c r="G44" i="9"/>
  <c r="G43" i="9"/>
  <c r="G42" i="9"/>
  <c r="G41" i="9"/>
  <c r="G40" i="9"/>
  <c r="G39" i="9"/>
  <c r="G38" i="9"/>
  <c r="G37" i="9"/>
  <c r="G36" i="9"/>
  <c r="G35" i="9"/>
  <c r="G34" i="9"/>
  <c r="G33" i="9"/>
  <c r="G29" i="9"/>
  <c r="G26" i="9"/>
  <c r="G25" i="9"/>
  <c r="G24" i="9"/>
  <c r="G23" i="9"/>
  <c r="G22" i="9"/>
  <c r="G21" i="9"/>
  <c r="G20" i="9"/>
  <c r="G19" i="9"/>
  <c r="G18" i="9"/>
  <c r="G17" i="9"/>
  <c r="G16" i="9"/>
  <c r="G15" i="9"/>
  <c r="G14" i="9"/>
  <c r="G13" i="9"/>
  <c r="G12" i="9"/>
  <c r="G11" i="9"/>
  <c r="G10" i="9"/>
  <c r="G9" i="9"/>
  <c r="G8" i="9"/>
  <c r="G7" i="9"/>
  <c r="G6" i="9"/>
  <c r="F185" i="9"/>
  <c r="F184" i="9"/>
  <c r="F183" i="9"/>
  <c r="F182" i="9"/>
  <c r="F181" i="9"/>
  <c r="F180" i="9"/>
  <c r="F179" i="9"/>
  <c r="F178" i="9"/>
  <c r="F177" i="9"/>
  <c r="F176" i="9"/>
  <c r="F175" i="9"/>
  <c r="F174" i="9"/>
  <c r="F173" i="9"/>
  <c r="F172" i="9"/>
  <c r="F171" i="9"/>
  <c r="F170" i="9"/>
  <c r="F169" i="9"/>
  <c r="F168" i="9"/>
  <c r="F167" i="9"/>
  <c r="F166" i="9"/>
  <c r="F165" i="9"/>
  <c r="F164" i="9"/>
  <c r="F163" i="9"/>
  <c r="F162" i="9"/>
  <c r="F161" i="9"/>
  <c r="F160" i="9"/>
  <c r="F159" i="9"/>
  <c r="F158" i="9"/>
  <c r="F157" i="9"/>
  <c r="F156" i="9"/>
  <c r="F155" i="9"/>
  <c r="F154" i="9"/>
  <c r="F153" i="9"/>
  <c r="F152" i="9"/>
  <c r="F151" i="9"/>
  <c r="F150" i="9"/>
  <c r="F149" i="9"/>
  <c r="F148" i="9"/>
  <c r="F147" i="9"/>
  <c r="F146" i="9"/>
  <c r="G145" i="9"/>
  <c r="G144" i="9"/>
  <c r="G143" i="9"/>
  <c r="G142" i="9"/>
  <c r="G141" i="9"/>
  <c r="G140" i="9"/>
  <c r="G139" i="9"/>
  <c r="G138" i="9"/>
  <c r="G137" i="9"/>
  <c r="G136" i="9"/>
  <c r="G135" i="9"/>
  <c r="G134" i="9"/>
  <c r="G133" i="9"/>
  <c r="G132" i="9"/>
  <c r="G131" i="9"/>
  <c r="G130" i="9"/>
  <c r="G129" i="9"/>
  <c r="G128" i="9"/>
  <c r="F119" i="9"/>
  <c r="F118" i="9"/>
  <c r="F117" i="9"/>
  <c r="F116" i="9"/>
  <c r="F115" i="9"/>
  <c r="F114" i="9"/>
  <c r="F113" i="9"/>
  <c r="F112" i="9"/>
  <c r="F111" i="9"/>
  <c r="F110" i="9"/>
  <c r="F109" i="9"/>
  <c r="F108" i="9"/>
  <c r="F107" i="9"/>
  <c r="F106" i="9"/>
  <c r="F105" i="9"/>
  <c r="F104" i="9"/>
  <c r="F103" i="9"/>
  <c r="F102" i="9"/>
  <c r="F101" i="9"/>
  <c r="F100" i="9"/>
  <c r="F99" i="9"/>
  <c r="F98" i="9"/>
  <c r="F97" i="9"/>
  <c r="F96" i="9"/>
  <c r="F95" i="9"/>
  <c r="F94" i="9"/>
  <c r="F93" i="9"/>
  <c r="F92" i="9"/>
  <c r="F91" i="9"/>
  <c r="F90" i="9"/>
  <c r="F89" i="9"/>
  <c r="F88" i="9"/>
  <c r="F87" i="9"/>
  <c r="F86" i="9"/>
  <c r="F85" i="9"/>
  <c r="F84" i="9"/>
  <c r="F83" i="9"/>
  <c r="F82" i="9"/>
  <c r="F81" i="9"/>
  <c r="F80" i="9"/>
  <c r="G79" i="9"/>
  <c r="G78" i="9"/>
  <c r="G77" i="9"/>
  <c r="G76" i="9"/>
  <c r="G75" i="9"/>
  <c r="G74" i="9"/>
  <c r="F72" i="9"/>
  <c r="F71" i="9"/>
  <c r="F70" i="9"/>
  <c r="F69" i="9"/>
  <c r="F68" i="9"/>
  <c r="F67" i="9"/>
  <c r="F66" i="9"/>
  <c r="F65" i="9"/>
  <c r="F64" i="9"/>
  <c r="F63" i="9"/>
  <c r="F61" i="9"/>
  <c r="F60" i="9"/>
  <c r="F59" i="9"/>
  <c r="F58" i="9"/>
  <c r="F57" i="9"/>
  <c r="F56" i="9"/>
  <c r="F55" i="9"/>
  <c r="F54" i="9"/>
  <c r="F53" i="9"/>
  <c r="F52" i="9"/>
  <c r="F51" i="9"/>
  <c r="F50" i="9"/>
  <c r="F49" i="9"/>
  <c r="F48" i="9"/>
  <c r="F47" i="9"/>
  <c r="F46" i="9"/>
  <c r="F45" i="9"/>
  <c r="F44" i="9"/>
  <c r="F43" i="9"/>
  <c r="F42" i="9"/>
  <c r="F41" i="9"/>
  <c r="F40" i="9"/>
  <c r="F39" i="9"/>
  <c r="F38" i="9"/>
  <c r="F37" i="9"/>
  <c r="F36" i="9"/>
  <c r="F35" i="9"/>
  <c r="F34" i="9"/>
  <c r="F33" i="9"/>
  <c r="F30" i="9"/>
  <c r="F29" i="9"/>
  <c r="F26" i="9"/>
  <c r="F25" i="9"/>
  <c r="F24" i="9"/>
  <c r="F23" i="9"/>
  <c r="F22" i="9"/>
  <c r="F21" i="9"/>
  <c r="F20" i="9"/>
  <c r="F19" i="9"/>
  <c r="F18" i="9"/>
  <c r="F17" i="9"/>
  <c r="F16" i="9"/>
  <c r="F15" i="9"/>
  <c r="F14" i="9"/>
  <c r="F13" i="9"/>
  <c r="F12" i="9"/>
  <c r="F11" i="9"/>
  <c r="F10" i="9"/>
  <c r="F9" i="9"/>
  <c r="F8" i="9"/>
  <c r="F7" i="9"/>
  <c r="F6" i="9"/>
  <c r="E185" i="9"/>
  <c r="E184" i="9"/>
  <c r="E183" i="9"/>
  <c r="E182" i="9"/>
  <c r="E181" i="9"/>
  <c r="E180" i="9"/>
  <c r="E179" i="9"/>
  <c r="E178" i="9"/>
  <c r="E177" i="9"/>
  <c r="E176" i="9"/>
  <c r="E175" i="9"/>
  <c r="E174" i="9"/>
  <c r="E173" i="9"/>
  <c r="E172" i="9"/>
  <c r="E171" i="9"/>
  <c r="E170" i="9"/>
  <c r="E169" i="9"/>
  <c r="E168" i="9"/>
  <c r="E167" i="9"/>
  <c r="E166" i="9"/>
  <c r="E165" i="9"/>
  <c r="E164" i="9"/>
  <c r="E163" i="9"/>
  <c r="E162" i="9"/>
  <c r="E161" i="9"/>
  <c r="E160" i="9"/>
  <c r="E159" i="9"/>
  <c r="E158" i="9"/>
  <c r="E157" i="9"/>
  <c r="E156" i="9"/>
  <c r="E155" i="9"/>
  <c r="E154" i="9"/>
  <c r="E153" i="9"/>
  <c r="E152" i="9"/>
  <c r="E151" i="9"/>
  <c r="E150" i="9"/>
  <c r="E149" i="9"/>
  <c r="E148" i="9"/>
  <c r="E147" i="9"/>
  <c r="F145" i="9"/>
  <c r="F144" i="9"/>
  <c r="F143" i="9"/>
  <c r="F142" i="9"/>
  <c r="F141" i="9"/>
  <c r="F140" i="9"/>
  <c r="F139" i="9"/>
  <c r="F138" i="9"/>
  <c r="F137" i="9"/>
  <c r="F136" i="9"/>
  <c r="F135" i="9"/>
  <c r="F134" i="9"/>
  <c r="F133" i="9"/>
  <c r="F132" i="9"/>
  <c r="F131" i="9"/>
  <c r="F130" i="9"/>
  <c r="F128" i="9"/>
  <c r="E119" i="9"/>
  <c r="E118" i="9"/>
  <c r="E117" i="9"/>
  <c r="E116" i="9"/>
  <c r="E115" i="9"/>
  <c r="E114" i="9"/>
  <c r="E113" i="9"/>
  <c r="E112" i="9"/>
  <c r="E111" i="9"/>
  <c r="E110" i="9"/>
  <c r="E109" i="9"/>
  <c r="E108" i="9"/>
  <c r="E107" i="9"/>
  <c r="E106" i="9"/>
  <c r="E105" i="9"/>
  <c r="E104" i="9"/>
  <c r="E103" i="9"/>
  <c r="E102" i="9"/>
  <c r="E101" i="9"/>
  <c r="E100" i="9"/>
  <c r="E99" i="9"/>
  <c r="E98" i="9"/>
  <c r="E97" i="9"/>
  <c r="E96" i="9"/>
  <c r="E95" i="9"/>
  <c r="E94" i="9"/>
  <c r="E93" i="9"/>
  <c r="E91" i="9"/>
  <c r="E90" i="9"/>
  <c r="E89" i="9"/>
  <c r="E88" i="9"/>
  <c r="E87" i="9"/>
  <c r="E86" i="9"/>
  <c r="E85" i="9"/>
  <c r="E84" i="9"/>
  <c r="E83" i="9"/>
  <c r="E82" i="9"/>
  <c r="E81" i="9"/>
  <c r="E80" i="9"/>
  <c r="F79" i="9"/>
  <c r="F78" i="9"/>
  <c r="F77" i="9"/>
  <c r="F76" i="9"/>
  <c r="F75" i="9"/>
  <c r="F74" i="9"/>
  <c r="E73" i="9"/>
  <c r="E72" i="9"/>
  <c r="E71" i="9"/>
  <c r="E70" i="9"/>
  <c r="E69" i="9"/>
  <c r="E68" i="9"/>
  <c r="E67" i="9"/>
  <c r="E66" i="9"/>
  <c r="E65" i="9"/>
  <c r="E64" i="9"/>
  <c r="E63" i="9"/>
  <c r="E61" i="9"/>
  <c r="E59" i="9"/>
  <c r="E58" i="9"/>
  <c r="E57" i="9"/>
  <c r="E56" i="9"/>
  <c r="E55" i="9"/>
  <c r="E54" i="9"/>
  <c r="E53" i="9"/>
  <c r="E52" i="9"/>
  <c r="E51" i="9"/>
  <c r="E50" i="9"/>
  <c r="E49" i="9"/>
  <c r="E48" i="9"/>
  <c r="E47" i="9"/>
  <c r="E46" i="9"/>
  <c r="E45" i="9"/>
  <c r="E44" i="9"/>
  <c r="E43" i="9"/>
  <c r="E42" i="9"/>
  <c r="E41" i="9"/>
  <c r="E40" i="9"/>
  <c r="E39" i="9"/>
  <c r="E38" i="9"/>
  <c r="E37" i="9"/>
  <c r="E36" i="9"/>
  <c r="E35" i="9"/>
  <c r="E34" i="9"/>
  <c r="E33" i="9"/>
  <c r="E26" i="9"/>
  <c r="E25" i="9"/>
  <c r="E24" i="9"/>
  <c r="E23" i="9"/>
  <c r="E22" i="9"/>
  <c r="E21" i="9"/>
  <c r="E20" i="9"/>
  <c r="E19" i="9"/>
  <c r="E18" i="9"/>
  <c r="E17" i="9"/>
  <c r="E16" i="9"/>
  <c r="E15" i="9"/>
  <c r="E14" i="9"/>
  <c r="E13" i="9"/>
  <c r="E12" i="9"/>
  <c r="E11" i="9"/>
  <c r="E10" i="9"/>
  <c r="E9" i="9"/>
  <c r="E8" i="9"/>
  <c r="E7" i="9"/>
  <c r="E6" i="9"/>
  <c r="E79" i="9"/>
  <c r="E128" i="9"/>
  <c r="E129" i="9"/>
  <c r="E130" i="9"/>
  <c r="E136" i="9"/>
  <c r="E144" i="9"/>
  <c r="E145" i="9"/>
  <c r="E74" i="9"/>
  <c r="E75" i="9"/>
  <c r="E76" i="9"/>
  <c r="E77" i="9"/>
  <c r="E131" i="9"/>
  <c r="E132" i="9"/>
  <c r="E133" i="9"/>
  <c r="E134" i="9"/>
  <c r="E135" i="9"/>
  <c r="E137" i="9"/>
  <c r="E138" i="9"/>
  <c r="E139" i="9"/>
  <c r="E140" i="9"/>
  <c r="E141" i="9"/>
  <c r="E142" i="9"/>
  <c r="E143" i="9"/>
  <c r="I14" i="8"/>
  <c r="B13" i="8"/>
  <c r="H272" i="3" s="1"/>
  <c r="D172" i="4"/>
  <c r="H123" i="9"/>
  <c r="T144" i="7"/>
  <c r="H144" i="7"/>
  <c r="I144" i="6"/>
  <c r="H144" i="6"/>
  <c r="H186" i="6"/>
  <c r="I186" i="6"/>
  <c r="I190" i="6" s="1"/>
  <c r="I191" i="6"/>
  <c r="H144" i="5"/>
  <c r="T144" i="4"/>
  <c r="I144" i="4"/>
  <c r="H144" i="4"/>
  <c r="L144" i="3"/>
  <c r="K144" i="3"/>
  <c r="J144" i="3"/>
  <c r="I144" i="3"/>
  <c r="H144" i="3"/>
  <c r="H186" i="4"/>
  <c r="H251" i="4"/>
  <c r="I251" i="4"/>
  <c r="H186" i="5"/>
  <c r="H251" i="5"/>
  <c r="H251" i="6"/>
  <c r="B14" i="8"/>
  <c r="B15" i="8"/>
  <c r="B16" i="8"/>
  <c r="B17" i="8"/>
  <c r="T276" i="3"/>
  <c r="I172" i="3"/>
  <c r="J172" i="3"/>
  <c r="K172" i="3"/>
  <c r="L172" i="3"/>
  <c r="M172" i="3"/>
  <c r="N172" i="3"/>
  <c r="O172" i="3"/>
  <c r="P172" i="3"/>
  <c r="Q172" i="3"/>
  <c r="R172" i="3"/>
  <c r="S172" i="3"/>
  <c r="H172" i="3"/>
  <c r="T160" i="3"/>
  <c r="T36" i="3"/>
  <c r="T26" i="3"/>
  <c r="T18" i="3"/>
  <c r="T10" i="3"/>
  <c r="H186" i="7"/>
  <c r="H251" i="7"/>
  <c r="T276" i="7"/>
  <c r="T273" i="7"/>
  <c r="K110" i="2"/>
  <c r="T271" i="7"/>
  <c r="K108" i="2" s="1"/>
  <c r="T267" i="7"/>
  <c r="K103" i="2"/>
  <c r="T251" i="7"/>
  <c r="T203" i="7"/>
  <c r="T186" i="7"/>
  <c r="T160" i="7"/>
  <c r="T118" i="7"/>
  <c r="T84" i="7"/>
  <c r="T53" i="7"/>
  <c r="T36" i="7"/>
  <c r="T26" i="7"/>
  <c r="T18" i="7"/>
  <c r="T10" i="7"/>
  <c r="T4" i="7"/>
  <c r="T276" i="6"/>
  <c r="T273" i="6"/>
  <c r="J110" i="2"/>
  <c r="T271" i="6"/>
  <c r="J108" i="2" s="1"/>
  <c r="T267" i="6"/>
  <c r="J103" i="2"/>
  <c r="T160" i="6"/>
  <c r="T84" i="6"/>
  <c r="T36" i="6"/>
  <c r="T26" i="6"/>
  <c r="T18" i="6"/>
  <c r="T10" i="6"/>
  <c r="T276" i="5"/>
  <c r="T273" i="5"/>
  <c r="I110" i="2" s="1"/>
  <c r="T271" i="5"/>
  <c r="I108" i="2"/>
  <c r="T267" i="5"/>
  <c r="I103" i="2" s="1"/>
  <c r="T251" i="5"/>
  <c r="T203" i="5"/>
  <c r="T186" i="5"/>
  <c r="T160" i="5"/>
  <c r="T118" i="5"/>
  <c r="T84" i="5"/>
  <c r="T53" i="5"/>
  <c r="T36" i="5"/>
  <c r="T26" i="5"/>
  <c r="T18" i="5"/>
  <c r="T10" i="5"/>
  <c r="B30" i="4"/>
  <c r="C176" i="4" s="1"/>
  <c r="B22" i="4"/>
  <c r="B14" i="4"/>
  <c r="B6" i="4"/>
  <c r="C170" i="4"/>
  <c r="C170" i="3"/>
  <c r="C172" i="3"/>
  <c r="C174" i="3"/>
  <c r="C176" i="3"/>
  <c r="D198" i="4"/>
  <c r="D198" i="5" s="1"/>
  <c r="D198" i="6" s="1"/>
  <c r="D198" i="7" s="1"/>
  <c r="C71" i="3"/>
  <c r="C221" i="3" s="1"/>
  <c r="C73" i="3"/>
  <c r="C223" i="3"/>
  <c r="C72" i="3"/>
  <c r="C222" i="3" s="1"/>
  <c r="C70" i="3"/>
  <c r="C66" i="3"/>
  <c r="C65" i="3"/>
  <c r="C64" i="3"/>
  <c r="C63" i="3"/>
  <c r="E250" i="7"/>
  <c r="C245" i="7"/>
  <c r="C244" i="7"/>
  <c r="C243" i="7"/>
  <c r="C242" i="7"/>
  <c r="C241" i="7"/>
  <c r="C240" i="7"/>
  <c r="C239" i="7"/>
  <c r="C238" i="7"/>
  <c r="C237" i="7"/>
  <c r="C236" i="7"/>
  <c r="C235" i="7"/>
  <c r="C234" i="7"/>
  <c r="C233" i="7"/>
  <c r="C232" i="7"/>
  <c r="C231" i="7"/>
  <c r="C230" i="7"/>
  <c r="C229" i="7"/>
  <c r="C228" i="7"/>
  <c r="C227" i="7"/>
  <c r="C226" i="7"/>
  <c r="C225" i="7"/>
  <c r="C224" i="7"/>
  <c r="C223" i="7"/>
  <c r="C222" i="7"/>
  <c r="C221" i="7"/>
  <c r="C220" i="7"/>
  <c r="C219" i="7"/>
  <c r="C218" i="7"/>
  <c r="C217" i="7"/>
  <c r="C216" i="7"/>
  <c r="H203" i="7"/>
  <c r="H84" i="7"/>
  <c r="C35" i="7"/>
  <c r="C34" i="7"/>
  <c r="C25" i="7"/>
  <c r="C17" i="7"/>
  <c r="C9" i="7"/>
  <c r="I1" i="7"/>
  <c r="C245" i="6"/>
  <c r="C244" i="6"/>
  <c r="C243" i="6"/>
  <c r="C242" i="6"/>
  <c r="C241" i="6"/>
  <c r="C240" i="6"/>
  <c r="C239" i="6"/>
  <c r="C238" i="6"/>
  <c r="C237" i="6"/>
  <c r="C236" i="6"/>
  <c r="C235" i="6"/>
  <c r="C234" i="6"/>
  <c r="C233" i="6"/>
  <c r="C232" i="6"/>
  <c r="C231" i="6"/>
  <c r="C230" i="6"/>
  <c r="C229" i="6"/>
  <c r="C228" i="6"/>
  <c r="C227" i="6"/>
  <c r="C226" i="6"/>
  <c r="C225" i="6"/>
  <c r="C224" i="6"/>
  <c r="C223" i="6"/>
  <c r="C222" i="6"/>
  <c r="C221" i="6"/>
  <c r="C220" i="6"/>
  <c r="C219" i="6"/>
  <c r="C218" i="6"/>
  <c r="C217" i="6"/>
  <c r="C216" i="6"/>
  <c r="I203" i="6"/>
  <c r="H203" i="6"/>
  <c r="I84" i="6"/>
  <c r="H84" i="6"/>
  <c r="C245" i="5"/>
  <c r="C244" i="5"/>
  <c r="C243" i="5"/>
  <c r="C242" i="5"/>
  <c r="C241" i="5"/>
  <c r="C240" i="5"/>
  <c r="C239" i="5"/>
  <c r="C238" i="5"/>
  <c r="C237" i="5"/>
  <c r="C236" i="5"/>
  <c r="C235" i="5"/>
  <c r="C234" i="5"/>
  <c r="C233" i="5"/>
  <c r="C232" i="5"/>
  <c r="C231" i="5"/>
  <c r="C230" i="5"/>
  <c r="C229" i="5"/>
  <c r="C228" i="5"/>
  <c r="C227" i="5"/>
  <c r="C226" i="5"/>
  <c r="C225" i="5"/>
  <c r="C224" i="5"/>
  <c r="C223" i="5"/>
  <c r="C222" i="5"/>
  <c r="C221" i="5"/>
  <c r="C220" i="5"/>
  <c r="C219" i="5"/>
  <c r="C218" i="5"/>
  <c r="C217" i="5"/>
  <c r="C216" i="5"/>
  <c r="H203" i="5"/>
  <c r="H84" i="5"/>
  <c r="C35" i="5"/>
  <c r="C34" i="5"/>
  <c r="C25" i="5"/>
  <c r="C9" i="5"/>
  <c r="I1" i="5"/>
  <c r="T276" i="4"/>
  <c r="T273" i="4"/>
  <c r="H110" i="2"/>
  <c r="T271" i="4"/>
  <c r="H108" i="2" s="1"/>
  <c r="T267" i="4"/>
  <c r="H103" i="2"/>
  <c r="C245" i="4"/>
  <c r="C244" i="4"/>
  <c r="C243" i="4"/>
  <c r="C242" i="4"/>
  <c r="C241" i="4"/>
  <c r="C240" i="4"/>
  <c r="C239" i="4"/>
  <c r="C238" i="4"/>
  <c r="C237" i="4"/>
  <c r="C236" i="4"/>
  <c r="C235" i="4"/>
  <c r="C234" i="4"/>
  <c r="C233" i="4"/>
  <c r="C232" i="4"/>
  <c r="C231" i="4"/>
  <c r="C230" i="4"/>
  <c r="C229" i="4"/>
  <c r="C228" i="4"/>
  <c r="C227" i="4"/>
  <c r="C226" i="4"/>
  <c r="C225" i="4"/>
  <c r="C224" i="4"/>
  <c r="C223" i="4"/>
  <c r="C222" i="4"/>
  <c r="C221" i="4"/>
  <c r="C220" i="4"/>
  <c r="C219" i="4"/>
  <c r="C218" i="4"/>
  <c r="C217" i="4"/>
  <c r="C216" i="4"/>
  <c r="I203" i="4"/>
  <c r="H203" i="4"/>
  <c r="T160" i="4"/>
  <c r="I84" i="4"/>
  <c r="H84" i="4"/>
  <c r="T36" i="4"/>
  <c r="T26" i="4"/>
  <c r="T18" i="4"/>
  <c r="T10" i="4"/>
  <c r="L203" i="3"/>
  <c r="K203" i="3"/>
  <c r="J203" i="3"/>
  <c r="I203" i="3"/>
  <c r="H203" i="3"/>
  <c r="L84" i="3"/>
  <c r="K84" i="3"/>
  <c r="J84" i="3"/>
  <c r="I84" i="3"/>
  <c r="H84" i="3"/>
  <c r="C245" i="3"/>
  <c r="C244" i="3"/>
  <c r="C243" i="3"/>
  <c r="C225" i="3"/>
  <c r="C226" i="3"/>
  <c r="C227" i="3"/>
  <c r="C228" i="3"/>
  <c r="C229" i="3"/>
  <c r="C230" i="3"/>
  <c r="C231" i="3"/>
  <c r="C232" i="3"/>
  <c r="C233" i="3"/>
  <c r="C234" i="3"/>
  <c r="C235" i="3"/>
  <c r="C236" i="3"/>
  <c r="C237" i="3"/>
  <c r="C238" i="3"/>
  <c r="C239" i="3"/>
  <c r="C240" i="3"/>
  <c r="C241" i="3"/>
  <c r="C242" i="3"/>
  <c r="C224" i="3"/>
  <c r="C206" i="3"/>
  <c r="C208" i="3"/>
  <c r="C207" i="3"/>
  <c r="C205" i="3"/>
  <c r="C220" i="3"/>
  <c r="C219" i="3"/>
  <c r="C218" i="3"/>
  <c r="C217" i="3"/>
  <c r="B5" i="2"/>
  <c r="B75" i="2"/>
  <c r="B84" i="2"/>
  <c r="B3" i="2"/>
  <c r="I15" i="8"/>
  <c r="I16" i="8"/>
  <c r="I17" i="8"/>
  <c r="L172" i="5"/>
  <c r="P172" i="5"/>
  <c r="H172" i="4"/>
  <c r="I172" i="4"/>
  <c r="J172" i="4"/>
  <c r="K172" i="4"/>
  <c r="L172" i="4"/>
  <c r="M172" i="4"/>
  <c r="N172" i="4"/>
  <c r="O172" i="4"/>
  <c r="P172" i="4"/>
  <c r="Q172" i="4"/>
  <c r="R172" i="4"/>
  <c r="S172" i="4"/>
  <c r="H180" i="9"/>
  <c r="I84" i="5"/>
  <c r="B30" i="5"/>
  <c r="I191" i="3"/>
  <c r="I189" i="3"/>
  <c r="I198" i="3"/>
  <c r="I190" i="3"/>
  <c r="I199" i="3"/>
  <c r="H83" i="9"/>
  <c r="J139" i="9"/>
  <c r="L198" i="3"/>
  <c r="L199" i="3"/>
  <c r="I197" i="3"/>
  <c r="J177" i="3"/>
  <c r="K197" i="3"/>
  <c r="K191" i="3"/>
  <c r="H199" i="3"/>
  <c r="H190" i="3"/>
  <c r="L280" i="3"/>
  <c r="T37" i="7"/>
  <c r="H189" i="6"/>
  <c r="H191" i="6"/>
  <c r="H188" i="6"/>
  <c r="N66" i="4"/>
  <c r="J279" i="3"/>
  <c r="L279" i="3"/>
  <c r="K279" i="3"/>
  <c r="I44" i="6"/>
  <c r="L66" i="4"/>
  <c r="H279" i="5"/>
  <c r="H280" i="5"/>
  <c r="H281" i="5"/>
  <c r="K66" i="4"/>
  <c r="C208" i="4"/>
  <c r="I251" i="6"/>
  <c r="I279" i="6" s="1"/>
  <c r="J44" i="4"/>
  <c r="Q66" i="4"/>
  <c r="H127" i="9"/>
  <c r="I44" i="4"/>
  <c r="P66" i="4"/>
  <c r="T37" i="4"/>
  <c r="I203" i="7"/>
  <c r="J281" i="3"/>
  <c r="I281" i="3"/>
  <c r="I186" i="4"/>
  <c r="O66" i="4"/>
  <c r="J278" i="3"/>
  <c r="L278" i="3"/>
  <c r="F172" i="5"/>
  <c r="I173" i="5" s="1"/>
  <c r="D174" i="5"/>
  <c r="F195" i="5"/>
  <c r="I124" i="9"/>
  <c r="L191" i="3"/>
  <c r="L194" i="3"/>
  <c r="H274" i="3"/>
  <c r="H278" i="3"/>
  <c r="J190" i="3"/>
  <c r="J191" i="3"/>
  <c r="J194" i="3"/>
  <c r="J196" i="3"/>
  <c r="L197" i="3"/>
  <c r="I123" i="9"/>
  <c r="L196" i="3"/>
  <c r="L274" i="3"/>
  <c r="L195" i="3"/>
  <c r="J199" i="3"/>
  <c r="L189" i="3"/>
  <c r="K281" i="3"/>
  <c r="J197" i="3"/>
  <c r="I277" i="3"/>
  <c r="I278" i="3"/>
  <c r="I279" i="3"/>
  <c r="I280" i="3"/>
  <c r="H281" i="3"/>
  <c r="L281" i="3"/>
  <c r="L188" i="3"/>
  <c r="K280" i="3"/>
  <c r="J189" i="3"/>
  <c r="E43" i="3"/>
  <c r="T44" i="4"/>
  <c r="I195" i="3"/>
  <c r="H195" i="3"/>
  <c r="K198" i="3"/>
  <c r="I194" i="3"/>
  <c r="H194" i="3"/>
  <c r="K181" i="9"/>
  <c r="Q109" i="9"/>
  <c r="Q99" i="9"/>
  <c r="M67" i="9"/>
  <c r="H213" i="3"/>
  <c r="H170" i="3"/>
  <c r="I171" i="3"/>
  <c r="I170" i="3" s="1"/>
  <c r="H63" i="3"/>
  <c r="H46" i="3"/>
  <c r="H165" i="7"/>
  <c r="H164" i="7"/>
  <c r="H163" i="6"/>
  <c r="H162" i="6"/>
  <c r="H165" i="6"/>
  <c r="J84" i="5"/>
  <c r="J251" i="5"/>
  <c r="I203" i="5"/>
  <c r="N178" i="9"/>
  <c r="H161" i="5"/>
  <c r="I251" i="5"/>
  <c r="I44" i="5"/>
  <c r="I144" i="5"/>
  <c r="I186" i="5"/>
  <c r="N6" i="9"/>
  <c r="N172" i="9"/>
  <c r="E224" i="7"/>
  <c r="Q164" i="9" s="1"/>
  <c r="N164" i="9"/>
  <c r="B30" i="6"/>
  <c r="C176" i="6" s="1"/>
  <c r="H164" i="4"/>
  <c r="I164" i="4"/>
  <c r="H118" i="9"/>
  <c r="I163" i="7"/>
  <c r="I161" i="7"/>
  <c r="I162" i="7"/>
  <c r="I164" i="7"/>
  <c r="I53" i="7"/>
  <c r="I251" i="7"/>
  <c r="J4" i="7"/>
  <c r="I84" i="7"/>
  <c r="I44" i="7"/>
  <c r="I144" i="7"/>
  <c r="I186" i="7"/>
  <c r="H163" i="7"/>
  <c r="H280" i="7"/>
  <c r="I280" i="6"/>
  <c r="I188" i="6"/>
  <c r="I281" i="6"/>
  <c r="P68" i="9"/>
  <c r="G91" i="7"/>
  <c r="S68" i="9" s="1"/>
  <c r="I163" i="5"/>
  <c r="I165" i="5"/>
  <c r="I162" i="5"/>
  <c r="F94" i="7"/>
  <c r="O71" i="9"/>
  <c r="G90" i="7"/>
  <c r="S67" i="9"/>
  <c r="P67" i="9"/>
  <c r="J203" i="5"/>
  <c r="K4" i="5"/>
  <c r="J118" i="5"/>
  <c r="J144" i="5"/>
  <c r="J53" i="5"/>
  <c r="J186" i="5"/>
  <c r="P71" i="9"/>
  <c r="N101" i="9"/>
  <c r="H163" i="5"/>
  <c r="F172" i="6"/>
  <c r="F172" i="7" s="1"/>
  <c r="H281" i="4"/>
  <c r="H274" i="4"/>
  <c r="E126" i="7"/>
  <c r="F138" i="6"/>
  <c r="R138" i="5"/>
  <c r="K138" i="5"/>
  <c r="K241" i="5"/>
  <c r="J138" i="5"/>
  <c r="J241" i="5" s="1"/>
  <c r="M138" i="5"/>
  <c r="M241" i="5" s="1"/>
  <c r="I138" i="5"/>
  <c r="H280" i="4"/>
  <c r="O111" i="9"/>
  <c r="N167" i="9"/>
  <c r="H278" i="4"/>
  <c r="N163" i="9"/>
  <c r="N171" i="9"/>
  <c r="H165" i="4"/>
  <c r="H163" i="4"/>
  <c r="I165" i="4"/>
  <c r="I163" i="4"/>
  <c r="E135" i="7"/>
  <c r="Q110" i="9" s="1"/>
  <c r="J66" i="3"/>
  <c r="H48" i="3"/>
  <c r="H174" i="3"/>
  <c r="H206" i="3"/>
  <c r="H64" i="3"/>
  <c r="H57" i="3"/>
  <c r="H217" i="3"/>
  <c r="H47" i="3"/>
  <c r="I63" i="3"/>
  <c r="I67" i="3" s="1"/>
  <c r="J11" i="3"/>
  <c r="K127" i="9"/>
  <c r="D179" i="6"/>
  <c r="D172" i="5"/>
  <c r="D172" i="6" s="1"/>
  <c r="E155" i="7"/>
  <c r="Q118" i="9" s="1"/>
  <c r="N118" i="9"/>
  <c r="K118" i="9"/>
  <c r="K89" i="9"/>
  <c r="E112" i="6"/>
  <c r="E111" i="7"/>
  <c r="Q88" i="9" s="1"/>
  <c r="N88" i="9"/>
  <c r="E106" i="6"/>
  <c r="N83" i="9" s="1"/>
  <c r="K83" i="9"/>
  <c r="K87" i="9"/>
  <c r="E110" i="6"/>
  <c r="E110" i="7" s="1"/>
  <c r="N86" i="9"/>
  <c r="E109" i="7"/>
  <c r="Q86" i="9"/>
  <c r="K86" i="9"/>
  <c r="I105" i="4"/>
  <c r="K105" i="4"/>
  <c r="N108" i="4"/>
  <c r="S105" i="4"/>
  <c r="H85" i="9"/>
  <c r="H89" i="9"/>
  <c r="H108" i="4"/>
  <c r="J108" i="4"/>
  <c r="J105" i="4"/>
  <c r="L108" i="4"/>
  <c r="L105" i="4"/>
  <c r="N105" i="4"/>
  <c r="Q105" i="4"/>
  <c r="E108" i="5"/>
  <c r="E105" i="5"/>
  <c r="K105" i="5"/>
  <c r="I108" i="4"/>
  <c r="P108" i="4"/>
  <c r="Q108" i="4"/>
  <c r="M72" i="9"/>
  <c r="G95" i="6"/>
  <c r="G89" i="6"/>
  <c r="P66" i="9" s="1"/>
  <c r="M66" i="9"/>
  <c r="G87" i="7"/>
  <c r="S64" i="9" s="1"/>
  <c r="P64" i="9"/>
  <c r="E89" i="6"/>
  <c r="J66" i="9"/>
  <c r="H72" i="9"/>
  <c r="M64" i="9"/>
  <c r="H94" i="4"/>
  <c r="K95" i="4"/>
  <c r="O95" i="4"/>
  <c r="P95" i="4"/>
  <c r="K66" i="9"/>
  <c r="H71" i="9"/>
  <c r="J95" i="4"/>
  <c r="K94" i="4"/>
  <c r="L95" i="4"/>
  <c r="M95" i="4"/>
  <c r="N95" i="4"/>
  <c r="O94" i="4"/>
  <c r="P94" i="4"/>
  <c r="R95" i="4"/>
  <c r="S95" i="4"/>
  <c r="I95" i="4"/>
  <c r="J94" i="4"/>
  <c r="T94" i="4" s="1"/>
  <c r="L94" i="4"/>
  <c r="M94" i="4"/>
  <c r="N94" i="4"/>
  <c r="Q95" i="4"/>
  <c r="R94" i="4"/>
  <c r="S94" i="4"/>
  <c r="K44" i="9"/>
  <c r="E65" i="6"/>
  <c r="E63" i="6"/>
  <c r="K42" i="9"/>
  <c r="H42" i="9"/>
  <c r="K35" i="9"/>
  <c r="E56" i="6"/>
  <c r="K36" i="9"/>
  <c r="E57" i="6"/>
  <c r="N36" i="9" s="1"/>
  <c r="K38" i="9"/>
  <c r="E59" i="6"/>
  <c r="N37" i="9"/>
  <c r="F100" i="6"/>
  <c r="P77" i="9" s="1"/>
  <c r="M77" i="9"/>
  <c r="M75" i="9"/>
  <c r="F98" i="6"/>
  <c r="H173" i="5"/>
  <c r="I122" i="9"/>
  <c r="L123" i="9"/>
  <c r="R172" i="5"/>
  <c r="N172" i="5"/>
  <c r="I172" i="5"/>
  <c r="E172" i="6"/>
  <c r="J173" i="5"/>
  <c r="Q172" i="5"/>
  <c r="M172" i="5"/>
  <c r="H172" i="5"/>
  <c r="S172" i="5"/>
  <c r="O172" i="5"/>
  <c r="K172" i="5"/>
  <c r="T172" i="5" s="1"/>
  <c r="E225" i="6"/>
  <c r="N165" i="9" s="1"/>
  <c r="E239" i="6"/>
  <c r="K159" i="9"/>
  <c r="I229" i="4"/>
  <c r="E236" i="6"/>
  <c r="E236" i="7" s="1"/>
  <c r="E240" i="6"/>
  <c r="K165" i="9"/>
  <c r="N156" i="9"/>
  <c r="T227" i="3"/>
  <c r="L229" i="4"/>
  <c r="P229" i="4"/>
  <c r="S229" i="4"/>
  <c r="R230" i="4"/>
  <c r="E241" i="6"/>
  <c r="E229" i="6"/>
  <c r="K229" i="5"/>
  <c r="H169" i="9"/>
  <c r="N159" i="9"/>
  <c r="J229" i="4"/>
  <c r="M229" i="4"/>
  <c r="P230" i="4"/>
  <c r="S240" i="4"/>
  <c r="E221" i="6"/>
  <c r="E228" i="6"/>
  <c r="Q228" i="5"/>
  <c r="I228" i="5"/>
  <c r="E234" i="6"/>
  <c r="E245" i="6"/>
  <c r="R241" i="5"/>
  <c r="E206" i="7"/>
  <c r="Q150" i="9" s="1"/>
  <c r="N150" i="9"/>
  <c r="N149" i="9"/>
  <c r="E205" i="7"/>
  <c r="Q149" i="9" s="1"/>
  <c r="E207" i="7"/>
  <c r="Q151" i="9" s="1"/>
  <c r="N151" i="9"/>
  <c r="E208" i="7"/>
  <c r="Q152" i="9" s="1"/>
  <c r="N152" i="9"/>
  <c r="K149" i="9"/>
  <c r="K152" i="9"/>
  <c r="K151" i="9"/>
  <c r="F199" i="6"/>
  <c r="M143" i="9"/>
  <c r="P141" i="9"/>
  <c r="F197" i="7"/>
  <c r="S141" i="9" s="1"/>
  <c r="M141" i="9"/>
  <c r="F179" i="7"/>
  <c r="S127" i="9" s="1"/>
  <c r="P127" i="9"/>
  <c r="F132" i="6"/>
  <c r="F139" i="5"/>
  <c r="M139" i="4"/>
  <c r="M242" i="4"/>
  <c r="H139" i="4"/>
  <c r="S139" i="4"/>
  <c r="S242" i="4" s="1"/>
  <c r="Q139" i="4"/>
  <c r="Q242" i="4" s="1"/>
  <c r="O139" i="4"/>
  <c r="O242" i="4" s="1"/>
  <c r="J139" i="4"/>
  <c r="J242" i="4" s="1"/>
  <c r="L139" i="4"/>
  <c r="I139" i="4"/>
  <c r="I242" i="4" s="1"/>
  <c r="L107" i="9"/>
  <c r="N139" i="4"/>
  <c r="N242" i="4"/>
  <c r="F124" i="5"/>
  <c r="Q124" i="4"/>
  <c r="Q227" i="4"/>
  <c r="L124" i="4"/>
  <c r="L227" i="4" s="1"/>
  <c r="I124" i="4"/>
  <c r="S124" i="4"/>
  <c r="N124" i="4"/>
  <c r="N227" i="4" s="1"/>
  <c r="K124" i="4"/>
  <c r="M141" i="3"/>
  <c r="M151" i="3" s="1"/>
  <c r="S141" i="3"/>
  <c r="S151" i="3" s="1"/>
  <c r="Q141" i="3"/>
  <c r="Q151" i="3" s="1"/>
  <c r="R124" i="4"/>
  <c r="P139" i="4"/>
  <c r="P242" i="4" s="1"/>
  <c r="F129" i="5"/>
  <c r="P129" i="4"/>
  <c r="M129" i="4"/>
  <c r="M232" i="4" s="1"/>
  <c r="H129" i="4"/>
  <c r="R129" i="4"/>
  <c r="R232" i="4"/>
  <c r="O129" i="4"/>
  <c r="J129" i="4"/>
  <c r="J232" i="4" s="1"/>
  <c r="Q129" i="4"/>
  <c r="Q232" i="4" s="1"/>
  <c r="L129" i="4"/>
  <c r="L232" i="4" s="1"/>
  <c r="I129" i="4"/>
  <c r="I232" i="4" s="1"/>
  <c r="I141" i="3"/>
  <c r="H124" i="4"/>
  <c r="M124" i="4"/>
  <c r="R139" i="4"/>
  <c r="R242" i="4" s="1"/>
  <c r="F128" i="7"/>
  <c r="F123" i="7"/>
  <c r="R98" i="9" s="1"/>
  <c r="F133" i="7"/>
  <c r="R108" i="9" s="1"/>
  <c r="F136" i="7"/>
  <c r="R111" i="9" s="1"/>
  <c r="T235" i="3"/>
  <c r="H128" i="5"/>
  <c r="J128" i="5"/>
  <c r="J231" i="5" s="1"/>
  <c r="L128" i="5"/>
  <c r="L231" i="5" s="1"/>
  <c r="N128" i="5"/>
  <c r="N231" i="5" s="1"/>
  <c r="P128" i="5"/>
  <c r="P231" i="5" s="1"/>
  <c r="R128" i="5"/>
  <c r="R231" i="5"/>
  <c r="S98" i="5"/>
  <c r="O98" i="5"/>
  <c r="D101" i="5"/>
  <c r="D98" i="6"/>
  <c r="K98" i="5"/>
  <c r="T99" i="3"/>
  <c r="T98" i="3"/>
  <c r="T100" i="3"/>
  <c r="O68" i="9"/>
  <c r="F91" i="7"/>
  <c r="R68" i="9" s="1"/>
  <c r="Q89" i="5"/>
  <c r="O89" i="5"/>
  <c r="J89" i="5"/>
  <c r="H89" i="5"/>
  <c r="N89" i="5"/>
  <c r="S89" i="5"/>
  <c r="M89" i="5"/>
  <c r="K89" i="5"/>
  <c r="L89" i="5"/>
  <c r="L66" i="9"/>
  <c r="F89" i="6"/>
  <c r="R89" i="5"/>
  <c r="P89" i="5"/>
  <c r="I89" i="5"/>
  <c r="F92" i="6"/>
  <c r="L69" i="9"/>
  <c r="H92" i="4"/>
  <c r="H88" i="4"/>
  <c r="L92" i="4"/>
  <c r="L88" i="4"/>
  <c r="N92" i="4"/>
  <c r="N88" i="4"/>
  <c r="S92" i="4"/>
  <c r="S88" i="4"/>
  <c r="N102" i="3"/>
  <c r="N109" i="3"/>
  <c r="I92" i="4"/>
  <c r="I88" i="4"/>
  <c r="O92" i="4"/>
  <c r="O88" i="4"/>
  <c r="Q92" i="4"/>
  <c r="Q88" i="4"/>
  <c r="L68" i="9"/>
  <c r="T93" i="3"/>
  <c r="T89" i="3"/>
  <c r="J92" i="4"/>
  <c r="J88" i="4"/>
  <c r="M92" i="4"/>
  <c r="M88" i="4"/>
  <c r="R92" i="4"/>
  <c r="R88" i="4"/>
  <c r="K223" i="3"/>
  <c r="D196" i="6"/>
  <c r="D195" i="7"/>
  <c r="D197" i="5"/>
  <c r="D194" i="5"/>
  <c r="D194" i="6"/>
  <c r="D194" i="7" s="1"/>
  <c r="T124" i="3"/>
  <c r="T131" i="3"/>
  <c r="H224" i="3"/>
  <c r="H141" i="3"/>
  <c r="T121" i="3"/>
  <c r="P224" i="3"/>
  <c r="P141" i="3"/>
  <c r="P151" i="3"/>
  <c r="H226" i="3"/>
  <c r="T226" i="3" s="1"/>
  <c r="T123" i="3"/>
  <c r="H228" i="3"/>
  <c r="T125" i="3"/>
  <c r="H230" i="3"/>
  <c r="T230" i="3" s="1"/>
  <c r="T234" i="3"/>
  <c r="H236" i="3"/>
  <c r="T133" i="3"/>
  <c r="H238" i="3"/>
  <c r="T238" i="3" s="1"/>
  <c r="T135" i="3"/>
  <c r="H240" i="3"/>
  <c r="T240" i="3" s="1"/>
  <c r="T137" i="3"/>
  <c r="H242" i="3"/>
  <c r="T242" i="3"/>
  <c r="T139" i="3"/>
  <c r="N224" i="3"/>
  <c r="N141" i="3"/>
  <c r="N151" i="3" s="1"/>
  <c r="R224" i="3"/>
  <c r="R141" i="3"/>
  <c r="R151" i="3" s="1"/>
  <c r="J141" i="3"/>
  <c r="J151" i="3" s="1"/>
  <c r="T132" i="3"/>
  <c r="L224" i="3"/>
  <c r="T224" i="3" s="1"/>
  <c r="L141" i="3"/>
  <c r="L151" i="3" s="1"/>
  <c r="H225" i="3"/>
  <c r="T225" i="3" s="1"/>
  <c r="T122" i="3"/>
  <c r="H231" i="3"/>
  <c r="T231" i="3" s="1"/>
  <c r="T128" i="3"/>
  <c r="H233" i="3"/>
  <c r="T233" i="3" s="1"/>
  <c r="T130" i="3"/>
  <c r="H237" i="3"/>
  <c r="T237" i="3" s="1"/>
  <c r="T134" i="3"/>
  <c r="H239" i="3"/>
  <c r="T239" i="3" s="1"/>
  <c r="T136" i="3"/>
  <c r="H241" i="3"/>
  <c r="T241" i="3" s="1"/>
  <c r="T138" i="3"/>
  <c r="E122" i="7"/>
  <c r="O75" i="9"/>
  <c r="E98" i="7"/>
  <c r="P100" i="5"/>
  <c r="L100" i="5"/>
  <c r="H100" i="5"/>
  <c r="S100" i="5"/>
  <c r="O100" i="5"/>
  <c r="K100" i="5"/>
  <c r="Q100" i="5"/>
  <c r="E100" i="6"/>
  <c r="R100" i="5"/>
  <c r="N100" i="5"/>
  <c r="J100" i="5"/>
  <c r="K77" i="9" s="1"/>
  <c r="L77" i="9"/>
  <c r="M100" i="5"/>
  <c r="I100" i="5"/>
  <c r="E99" i="6"/>
  <c r="L76" i="9"/>
  <c r="I76" i="9"/>
  <c r="T108" i="3"/>
  <c r="H99" i="4"/>
  <c r="J99" i="4"/>
  <c r="K99" i="4"/>
  <c r="H98" i="5"/>
  <c r="L98" i="5"/>
  <c r="P98" i="5"/>
  <c r="M99" i="4"/>
  <c r="O99" i="4"/>
  <c r="R99" i="4"/>
  <c r="I98" i="5"/>
  <c r="M98" i="5"/>
  <c r="Q98" i="5"/>
  <c r="L75" i="9"/>
  <c r="I99" i="4"/>
  <c r="L99" i="4"/>
  <c r="Q99" i="4"/>
  <c r="J98" i="5"/>
  <c r="N98" i="5"/>
  <c r="R98" i="5"/>
  <c r="R108" i="5"/>
  <c r="O108" i="5"/>
  <c r="L85" i="9"/>
  <c r="F108" i="6"/>
  <c r="O85" i="9" s="1"/>
  <c r="N108" i="5"/>
  <c r="F107" i="6"/>
  <c r="L84" i="9"/>
  <c r="F106" i="6"/>
  <c r="L83" i="9"/>
  <c r="I83" i="9"/>
  <c r="J107" i="4"/>
  <c r="K107" i="4"/>
  <c r="L107" i="4"/>
  <c r="P107" i="4"/>
  <c r="O86" i="9"/>
  <c r="I107" i="4"/>
  <c r="O107" i="4"/>
  <c r="H107" i="4"/>
  <c r="N107" i="4"/>
  <c r="R107" i="4"/>
  <c r="S107" i="4"/>
  <c r="K72" i="9"/>
  <c r="K102" i="3"/>
  <c r="O102" i="3"/>
  <c r="O110" i="3" s="1"/>
  <c r="Q102" i="3"/>
  <c r="H102" i="3"/>
  <c r="L102" i="3"/>
  <c r="P102" i="3"/>
  <c r="I102" i="3"/>
  <c r="M102" i="3"/>
  <c r="M109" i="3" s="1"/>
  <c r="E95" i="6"/>
  <c r="T105" i="3"/>
  <c r="J106" i="3"/>
  <c r="J243" i="3"/>
  <c r="J111" i="3"/>
  <c r="J112" i="3"/>
  <c r="T66" i="3"/>
  <c r="G33" i="2"/>
  <c r="E32" i="7"/>
  <c r="K21" i="9"/>
  <c r="K22" i="9"/>
  <c r="E31" i="6"/>
  <c r="S28" i="3"/>
  <c r="L27" i="3"/>
  <c r="L28" i="3"/>
  <c r="K27" i="3"/>
  <c r="K28" i="3" s="1"/>
  <c r="J27" i="3"/>
  <c r="J28" i="3"/>
  <c r="I27" i="3"/>
  <c r="E24" i="4"/>
  <c r="S20" i="3"/>
  <c r="S47" i="3" s="1"/>
  <c r="L19" i="3"/>
  <c r="L20" i="3" s="1"/>
  <c r="K19" i="3"/>
  <c r="K20" i="3" s="1"/>
  <c r="J19" i="3"/>
  <c r="J20" i="3" s="1"/>
  <c r="I19" i="3"/>
  <c r="E16" i="4"/>
  <c r="I46" i="3"/>
  <c r="J12" i="3"/>
  <c r="K56" i="3"/>
  <c r="K205" i="3"/>
  <c r="S11" i="5"/>
  <c r="K213" i="3"/>
  <c r="H56" i="3"/>
  <c r="H205" i="3"/>
  <c r="S56" i="3"/>
  <c r="S216" i="3" s="1"/>
  <c r="S46" i="3"/>
  <c r="S213" i="3"/>
  <c r="S205" i="3"/>
  <c r="S12" i="4"/>
  <c r="H7" i="9"/>
  <c r="J11" i="4"/>
  <c r="J12" i="4"/>
  <c r="I11" i="4"/>
  <c r="I12" i="4" s="1"/>
  <c r="H11" i="4"/>
  <c r="K46" i="3"/>
  <c r="I205" i="3"/>
  <c r="I56" i="3"/>
  <c r="J274" i="5"/>
  <c r="J279" i="5"/>
  <c r="I280" i="5"/>
  <c r="I191" i="5"/>
  <c r="I188" i="5"/>
  <c r="P105" i="5"/>
  <c r="L105" i="5"/>
  <c r="I98" i="6"/>
  <c r="B30" i="7"/>
  <c r="C208" i="6"/>
  <c r="H105" i="5"/>
  <c r="I191" i="7"/>
  <c r="I188" i="7"/>
  <c r="J53" i="7"/>
  <c r="J144" i="7"/>
  <c r="J251" i="7"/>
  <c r="K4" i="7"/>
  <c r="J186" i="7"/>
  <c r="J44" i="7"/>
  <c r="J118" i="7"/>
  <c r="J203" i="7"/>
  <c r="J84" i="7"/>
  <c r="O98" i="6"/>
  <c r="J162" i="5"/>
  <c r="J164" i="5"/>
  <c r="J161" i="5"/>
  <c r="J165" i="5"/>
  <c r="J163" i="5"/>
  <c r="J189" i="5"/>
  <c r="K133" i="9" s="1"/>
  <c r="J191" i="5"/>
  <c r="K135" i="9" s="1"/>
  <c r="J190" i="5"/>
  <c r="K130" i="9"/>
  <c r="J188" i="5"/>
  <c r="K132" i="9" s="1"/>
  <c r="K144" i="5"/>
  <c r="K186" i="5"/>
  <c r="K53" i="5"/>
  <c r="K203" i="5"/>
  <c r="L4" i="5"/>
  <c r="K118" i="5"/>
  <c r="K44" i="5"/>
  <c r="K84" i="5"/>
  <c r="K251" i="5"/>
  <c r="K274" i="5" s="1"/>
  <c r="L108" i="5"/>
  <c r="M108" i="5"/>
  <c r="H108" i="5"/>
  <c r="T108" i="5" s="1"/>
  <c r="J108" i="5"/>
  <c r="K108" i="5"/>
  <c r="Q108" i="5"/>
  <c r="S108" i="5"/>
  <c r="I108" i="5"/>
  <c r="P108" i="5"/>
  <c r="I241" i="5"/>
  <c r="F138" i="7"/>
  <c r="O113" i="9"/>
  <c r="L98" i="6"/>
  <c r="N127" i="9"/>
  <c r="D179" i="7"/>
  <c r="Q127" i="9" s="1"/>
  <c r="K123" i="9"/>
  <c r="O105" i="5"/>
  <c r="K85" i="9"/>
  <c r="E108" i="6"/>
  <c r="K82" i="9"/>
  <c r="R105" i="5"/>
  <c r="N105" i="5"/>
  <c r="S105" i="5"/>
  <c r="Q105" i="5"/>
  <c r="M105" i="5"/>
  <c r="I105" i="5"/>
  <c r="Q87" i="9"/>
  <c r="N87" i="9"/>
  <c r="E112" i="7"/>
  <c r="N89" i="9"/>
  <c r="G89" i="7"/>
  <c r="S66" i="9" s="1"/>
  <c r="P72" i="9"/>
  <c r="G95" i="7"/>
  <c r="S72" i="9" s="1"/>
  <c r="E63" i="7"/>
  <c r="Q42" i="9" s="1"/>
  <c r="N42" i="9"/>
  <c r="E65" i="7"/>
  <c r="Q44" i="9"/>
  <c r="N44" i="9"/>
  <c r="E57" i="7"/>
  <c r="Q36" i="9"/>
  <c r="E59" i="7"/>
  <c r="Q38" i="9" s="1"/>
  <c r="N38" i="9"/>
  <c r="N35" i="9"/>
  <c r="E56" i="7"/>
  <c r="Q35" i="9" s="1"/>
  <c r="F98" i="7"/>
  <c r="S75" i="9" s="1"/>
  <c r="P75" i="9"/>
  <c r="N111" i="3"/>
  <c r="F100" i="7"/>
  <c r="S172" i="6"/>
  <c r="K172" i="6"/>
  <c r="M172" i="6"/>
  <c r="J172" i="6"/>
  <c r="N172" i="6"/>
  <c r="P172" i="6"/>
  <c r="R172" i="6"/>
  <c r="E172" i="7"/>
  <c r="Q172" i="6"/>
  <c r="O172" i="6"/>
  <c r="I172" i="6"/>
  <c r="N185" i="9"/>
  <c r="E245" i="7"/>
  <c r="Q185" i="9" s="1"/>
  <c r="E228" i="7"/>
  <c r="N168" i="9"/>
  <c r="E229" i="7"/>
  <c r="Q169" i="9" s="1"/>
  <c r="N169" i="9"/>
  <c r="E221" i="7"/>
  <c r="Q161" i="9" s="1"/>
  <c r="N161" i="9"/>
  <c r="Q176" i="9"/>
  <c r="N176" i="9"/>
  <c r="E239" i="7"/>
  <c r="N179" i="9"/>
  <c r="E225" i="7"/>
  <c r="Q165" i="9"/>
  <c r="F199" i="7"/>
  <c r="P143" i="9"/>
  <c r="R129" i="5"/>
  <c r="R232" i="5"/>
  <c r="P129" i="5"/>
  <c r="P232" i="5" s="1"/>
  <c r="N129" i="5"/>
  <c r="N232" i="5" s="1"/>
  <c r="L129" i="5"/>
  <c r="L232" i="5" s="1"/>
  <c r="J129" i="5"/>
  <c r="J232" i="5" s="1"/>
  <c r="H129" i="5"/>
  <c r="Q129" i="5"/>
  <c r="Q232" i="5" s="1"/>
  <c r="M129" i="5"/>
  <c r="M232" i="5"/>
  <c r="K129" i="5"/>
  <c r="K232" i="5" s="1"/>
  <c r="I129" i="5"/>
  <c r="I232" i="5" s="1"/>
  <c r="L104" i="9"/>
  <c r="M227" i="4"/>
  <c r="H232" i="4"/>
  <c r="H227" i="4"/>
  <c r="S227" i="4"/>
  <c r="F124" i="6"/>
  <c r="R124" i="5"/>
  <c r="P124" i="5"/>
  <c r="P227" i="5" s="1"/>
  <c r="N124" i="5"/>
  <c r="L124" i="5"/>
  <c r="J124" i="5"/>
  <c r="H124" i="5"/>
  <c r="S124" i="5"/>
  <c r="Q124" i="5"/>
  <c r="Q227" i="5"/>
  <c r="O124" i="5"/>
  <c r="O227" i="5" s="1"/>
  <c r="M124" i="5"/>
  <c r="M227" i="5" s="1"/>
  <c r="K124" i="5"/>
  <c r="I124" i="5"/>
  <c r="L99" i="9"/>
  <c r="F139" i="6"/>
  <c r="L139" i="5"/>
  <c r="L242" i="5"/>
  <c r="S139" i="5"/>
  <c r="S242" i="5" s="1"/>
  <c r="K139" i="5"/>
  <c r="K242" i="5" s="1"/>
  <c r="M139" i="5"/>
  <c r="M242" i="5" s="1"/>
  <c r="J139" i="5"/>
  <c r="J242" i="5"/>
  <c r="R139" i="5"/>
  <c r="R242" i="5" s="1"/>
  <c r="L114" i="9"/>
  <c r="O139" i="5"/>
  <c r="O242" i="5" s="1"/>
  <c r="H242" i="4"/>
  <c r="H231" i="5"/>
  <c r="R103" i="9"/>
  <c r="O232" i="4"/>
  <c r="P232" i="4"/>
  <c r="R227" i="4"/>
  <c r="I227" i="4"/>
  <c r="F132" i="7"/>
  <c r="R98" i="6"/>
  <c r="S98" i="6"/>
  <c r="D98" i="7"/>
  <c r="N110" i="3"/>
  <c r="N98" i="6"/>
  <c r="J98" i="6"/>
  <c r="N243" i="3"/>
  <c r="N112" i="3"/>
  <c r="N106" i="3"/>
  <c r="N113" i="3" s="1"/>
  <c r="N115" i="3" s="1"/>
  <c r="N150" i="3" s="1"/>
  <c r="Q98" i="6"/>
  <c r="P98" i="6"/>
  <c r="M98" i="6"/>
  <c r="N75" i="9" s="1"/>
  <c r="T88" i="4"/>
  <c r="O69" i="9"/>
  <c r="D197" i="6"/>
  <c r="D197" i="7" s="1"/>
  <c r="D196" i="7"/>
  <c r="Q97" i="9"/>
  <c r="H151" i="3"/>
  <c r="O76" i="9"/>
  <c r="R75" i="9"/>
  <c r="O100" i="6"/>
  <c r="Q100" i="6"/>
  <c r="P100" i="6"/>
  <c r="J100" i="6"/>
  <c r="H100" i="6"/>
  <c r="M100" i="6"/>
  <c r="N77" i="9" s="1"/>
  <c r="K100" i="6"/>
  <c r="I100" i="6"/>
  <c r="O77" i="9"/>
  <c r="S100" i="6"/>
  <c r="L100" i="6"/>
  <c r="F106" i="7"/>
  <c r="R83" i="9" s="1"/>
  <c r="O83" i="9"/>
  <c r="O84" i="9"/>
  <c r="F107" i="7"/>
  <c r="F108" i="7"/>
  <c r="R85" i="9" s="1"/>
  <c r="H112" i="3"/>
  <c r="H109" i="3"/>
  <c r="H110" i="3"/>
  <c r="H243" i="3"/>
  <c r="H111" i="3"/>
  <c r="O109" i="3"/>
  <c r="O106" i="3"/>
  <c r="O111" i="3"/>
  <c r="O243" i="3"/>
  <c r="O112" i="3"/>
  <c r="O113" i="3" s="1"/>
  <c r="M111" i="3"/>
  <c r="M112" i="3"/>
  <c r="M243" i="3"/>
  <c r="M110" i="3"/>
  <c r="M106" i="3"/>
  <c r="Q112" i="3"/>
  <c r="Q243" i="3"/>
  <c r="L106" i="3"/>
  <c r="L110" i="3"/>
  <c r="E95" i="7"/>
  <c r="I111" i="3"/>
  <c r="I112" i="3"/>
  <c r="I243" i="3"/>
  <c r="I109" i="3"/>
  <c r="I110" i="3"/>
  <c r="I106" i="3"/>
  <c r="P110" i="3"/>
  <c r="E31" i="7"/>
  <c r="N21" i="9"/>
  <c r="Q22" i="9"/>
  <c r="J65" i="3"/>
  <c r="H17" i="9"/>
  <c r="S27" i="4"/>
  <c r="J27" i="4" s="1"/>
  <c r="L58" i="3"/>
  <c r="L218" i="3" s="1"/>
  <c r="L48" i="3"/>
  <c r="I28" i="3"/>
  <c r="S206" i="3"/>
  <c r="S64" i="3"/>
  <c r="S57" i="3"/>
  <c r="S217" i="3" s="1"/>
  <c r="S19" i="4"/>
  <c r="H12" i="9"/>
  <c r="L57" i="3"/>
  <c r="L217" i="3" s="1"/>
  <c r="I20" i="3"/>
  <c r="J11" i="5"/>
  <c r="J12" i="5" s="1"/>
  <c r="K11" i="5"/>
  <c r="K12" i="5" s="1"/>
  <c r="K56" i="5" s="1"/>
  <c r="K216" i="5" s="1"/>
  <c r="I11" i="5"/>
  <c r="I12" i="5" s="1"/>
  <c r="H11" i="5"/>
  <c r="H12" i="5" s="1"/>
  <c r="I216" i="3"/>
  <c r="J56" i="4"/>
  <c r="J216" i="4" s="1"/>
  <c r="J46" i="4"/>
  <c r="J63" i="4"/>
  <c r="H216" i="3"/>
  <c r="K216" i="3"/>
  <c r="I205" i="4"/>
  <c r="I63" i="4"/>
  <c r="H12" i="4"/>
  <c r="S56" i="4"/>
  <c r="S213" i="4"/>
  <c r="S46" i="4"/>
  <c r="E8" i="6"/>
  <c r="S12" i="5"/>
  <c r="S213" i="5" s="1"/>
  <c r="J56" i="3"/>
  <c r="J205" i="3"/>
  <c r="J46" i="3"/>
  <c r="J213" i="3"/>
  <c r="J63" i="3"/>
  <c r="C208" i="7"/>
  <c r="C176" i="7"/>
  <c r="L4" i="7"/>
  <c r="L44" i="7" s="1"/>
  <c r="L251" i="7"/>
  <c r="K186" i="7"/>
  <c r="K118" i="7"/>
  <c r="K251" i="7"/>
  <c r="K203" i="7"/>
  <c r="K53" i="7"/>
  <c r="K144" i="7"/>
  <c r="K44" i="7"/>
  <c r="K84" i="7"/>
  <c r="J188" i="7"/>
  <c r="J191" i="7"/>
  <c r="J165" i="7"/>
  <c r="J163" i="7"/>
  <c r="J274" i="7"/>
  <c r="J279" i="7"/>
  <c r="K134" i="9"/>
  <c r="N98" i="7"/>
  <c r="O98" i="7"/>
  <c r="K165" i="5"/>
  <c r="K163" i="5"/>
  <c r="K164" i="5"/>
  <c r="K162" i="5"/>
  <c r="K173" i="5"/>
  <c r="K190" i="5"/>
  <c r="K191" i="5"/>
  <c r="K189" i="5"/>
  <c r="K188" i="5"/>
  <c r="S98" i="7"/>
  <c r="H98" i="7"/>
  <c r="K281" i="5"/>
  <c r="K278" i="5"/>
  <c r="K279" i="5"/>
  <c r="K280" i="5"/>
  <c r="M4" i="5"/>
  <c r="L44" i="5"/>
  <c r="L203" i="5"/>
  <c r="L84" i="5"/>
  <c r="L144" i="5"/>
  <c r="L53" i="5"/>
  <c r="L186" i="5"/>
  <c r="L190" i="5" s="1"/>
  <c r="R113" i="9"/>
  <c r="N123" i="9"/>
  <c r="D172" i="7"/>
  <c r="Q123" i="9"/>
  <c r="I98" i="7"/>
  <c r="L98" i="7"/>
  <c r="M98" i="7"/>
  <c r="R98" i="7"/>
  <c r="P98" i="7"/>
  <c r="Q75" i="9" s="1"/>
  <c r="Q98" i="7"/>
  <c r="J172" i="7"/>
  <c r="S172" i="7"/>
  <c r="R123" i="9"/>
  <c r="M172" i="7"/>
  <c r="I173" i="7"/>
  <c r="Q168" i="9"/>
  <c r="S143" i="9"/>
  <c r="R107" i="9"/>
  <c r="I227" i="5"/>
  <c r="N124" i="6"/>
  <c r="N227" i="6" s="1"/>
  <c r="F124" i="7"/>
  <c r="P124" i="6"/>
  <c r="J227" i="5"/>
  <c r="K227" i="5"/>
  <c r="S227" i="5"/>
  <c r="N227" i="5"/>
  <c r="R227" i="5"/>
  <c r="S139" i="6"/>
  <c r="S242" i="6" s="1"/>
  <c r="P139" i="6"/>
  <c r="P242" i="6" s="1"/>
  <c r="J139" i="6"/>
  <c r="J242" i="6" s="1"/>
  <c r="R139" i="6"/>
  <c r="R242" i="6" s="1"/>
  <c r="M139" i="6"/>
  <c r="M242" i="6" s="1"/>
  <c r="F139" i="7"/>
  <c r="O139" i="6"/>
  <c r="O242" i="6" s="1"/>
  <c r="L139" i="6"/>
  <c r="L242" i="6" s="1"/>
  <c r="I139" i="6"/>
  <c r="I242" i="6"/>
  <c r="N139" i="6"/>
  <c r="N242" i="6" s="1"/>
  <c r="K139" i="6"/>
  <c r="K242" i="6" s="1"/>
  <c r="H139" i="6"/>
  <c r="O114" i="9"/>
  <c r="Q139" i="6"/>
  <c r="Q242" i="6"/>
  <c r="H232" i="5"/>
  <c r="R84" i="9"/>
  <c r="Q72" i="9"/>
  <c r="I58" i="3"/>
  <c r="I65" i="3"/>
  <c r="I207" i="3"/>
  <c r="I48" i="3"/>
  <c r="I174" i="3"/>
  <c r="J175" i="3" s="1"/>
  <c r="J174" i="3" s="1"/>
  <c r="J28" i="4"/>
  <c r="J65" i="4" s="1"/>
  <c r="H19" i="4"/>
  <c r="H20" i="4" s="1"/>
  <c r="H206" i="4" s="1"/>
  <c r="I19" i="4"/>
  <c r="I20" i="4" s="1"/>
  <c r="I57" i="3"/>
  <c r="I206" i="3"/>
  <c r="J19" i="4"/>
  <c r="J20" i="4" s="1"/>
  <c r="E16" i="5"/>
  <c r="S20" i="4"/>
  <c r="S47" i="4" s="1"/>
  <c r="N7" i="9"/>
  <c r="S11" i="6"/>
  <c r="I11" i="6" s="1"/>
  <c r="I12" i="6" s="1"/>
  <c r="S216" i="4"/>
  <c r="H46" i="4"/>
  <c r="H205" i="4"/>
  <c r="H213" i="4"/>
  <c r="S56" i="5"/>
  <c r="S216" i="5" s="1"/>
  <c r="S205" i="5"/>
  <c r="S46" i="5"/>
  <c r="S63" i="5"/>
  <c r="J216" i="3"/>
  <c r="H205" i="5"/>
  <c r="L203" i="7"/>
  <c r="L53" i="7"/>
  <c r="L186" i="7"/>
  <c r="K162" i="7"/>
  <c r="K164" i="7"/>
  <c r="K161" i="7"/>
  <c r="K165" i="7"/>
  <c r="K163" i="7"/>
  <c r="L191" i="5"/>
  <c r="M251" i="5"/>
  <c r="M186" i="5"/>
  <c r="R114" i="9"/>
  <c r="I218" i="3"/>
  <c r="K12" i="9"/>
  <c r="I206" i="4"/>
  <c r="I64" i="4"/>
  <c r="S57" i="4"/>
  <c r="S217" i="4" s="1"/>
  <c r="S206" i="4"/>
  <c r="I217" i="3"/>
  <c r="H11" i="6"/>
  <c r="H12" i="6" s="1"/>
  <c r="H213" i="6" s="1"/>
  <c r="E8" i="7"/>
  <c r="S12" i="6"/>
  <c r="S46" i="6" s="1"/>
  <c r="L274" i="7"/>
  <c r="L277" i="7"/>
  <c r="L188" i="7"/>
  <c r="I46" i="6"/>
  <c r="M188" i="5"/>
  <c r="M281" i="5"/>
  <c r="H57" i="4"/>
  <c r="H217" i="4" s="1"/>
  <c r="H47" i="4"/>
  <c r="S11" i="7"/>
  <c r="H11" i="7" s="1"/>
  <c r="H12" i="7" s="1"/>
  <c r="Q7" i="9"/>
  <c r="S205" i="6"/>
  <c r="K11" i="7"/>
  <c r="K12" i="7" s="1"/>
  <c r="I277" i="6"/>
  <c r="H161" i="4"/>
  <c r="H166" i="4" s="1"/>
  <c r="H245" i="4" s="1"/>
  <c r="H277" i="3"/>
  <c r="J274" i="3"/>
  <c r="H274" i="5"/>
  <c r="H277" i="7"/>
  <c r="I161" i="3"/>
  <c r="I166" i="3" s="1"/>
  <c r="I245" i="3" s="1"/>
  <c r="H277" i="5"/>
  <c r="I274" i="6"/>
  <c r="J277" i="3"/>
  <c r="I161" i="4"/>
  <c r="I166" i="4" s="1"/>
  <c r="I161" i="5"/>
  <c r="H161" i="6"/>
  <c r="K161" i="5"/>
  <c r="K277" i="5"/>
  <c r="J161" i="7"/>
  <c r="I277" i="5"/>
  <c r="H161" i="7"/>
  <c r="L277" i="3"/>
  <c r="K161" i="3"/>
  <c r="M277" i="5"/>
  <c r="J277" i="7"/>
  <c r="I277" i="7"/>
  <c r="H277" i="6"/>
  <c r="K277" i="3"/>
  <c r="I277" i="4"/>
  <c r="J161" i="3"/>
  <c r="C9" i="4"/>
  <c r="C25" i="4"/>
  <c r="I1" i="6"/>
  <c r="C34" i="6"/>
  <c r="E250" i="6"/>
  <c r="T118" i="6"/>
  <c r="T251" i="6"/>
  <c r="I177" i="4"/>
  <c r="T53" i="4"/>
  <c r="T84" i="4"/>
  <c r="T203" i="4"/>
  <c r="E250" i="4"/>
  <c r="C9" i="6"/>
  <c r="C35" i="6"/>
  <c r="T4" i="6"/>
  <c r="E52" i="4"/>
  <c r="E83" i="4"/>
  <c r="H60" i="9" s="1"/>
  <c r="E117" i="4"/>
  <c r="H92" i="9" s="1"/>
  <c r="E143" i="4"/>
  <c r="E52" i="6"/>
  <c r="E117" i="6"/>
  <c r="N92" i="9" s="1"/>
  <c r="I1" i="4"/>
  <c r="C17" i="4"/>
  <c r="C34" i="4"/>
  <c r="T118" i="4"/>
  <c r="T186" i="4"/>
  <c r="T251" i="4"/>
  <c r="C17" i="6"/>
  <c r="T53" i="6"/>
  <c r="T186" i="6"/>
  <c r="E185" i="4"/>
  <c r="I129" i="9" s="1"/>
  <c r="E202" i="4"/>
  <c r="H146" i="9" s="1"/>
  <c r="E83" i="6"/>
  <c r="N60" i="9" s="1"/>
  <c r="H2" i="9"/>
  <c r="J11" i="7"/>
  <c r="J12" i="7"/>
  <c r="L11" i="7"/>
  <c r="L12" i="7" s="1"/>
  <c r="L205" i="7" s="1"/>
  <c r="J58" i="4"/>
  <c r="J207" i="4"/>
  <c r="J48" i="4"/>
  <c r="I57" i="4"/>
  <c r="I47" i="4"/>
  <c r="N244" i="3"/>
  <c r="K191" i="7"/>
  <c r="K188" i="7"/>
  <c r="K205" i="5"/>
  <c r="K213" i="5"/>
  <c r="K46" i="5"/>
  <c r="K63" i="5"/>
  <c r="H27" i="4"/>
  <c r="E24" i="5"/>
  <c r="I27" i="4"/>
  <c r="I28" i="4" s="1"/>
  <c r="S28" i="4"/>
  <c r="Q21" i="9"/>
  <c r="L191" i="7"/>
  <c r="S64" i="4"/>
  <c r="I64" i="3"/>
  <c r="I47" i="3"/>
  <c r="L227" i="5"/>
  <c r="R124" i="6"/>
  <c r="R227" i="6" s="1"/>
  <c r="Q124" i="6"/>
  <c r="L124" i="6"/>
  <c r="O124" i="6"/>
  <c r="K124" i="6"/>
  <c r="M124" i="6"/>
  <c r="M227" i="6" s="1"/>
  <c r="S124" i="6"/>
  <c r="I124" i="6"/>
  <c r="H124" i="6"/>
  <c r="J124" i="6"/>
  <c r="O99" i="9"/>
  <c r="Q89" i="9"/>
  <c r="S108" i="6"/>
  <c r="P227" i="6"/>
  <c r="Q179" i="9"/>
  <c r="Q172" i="7"/>
  <c r="R172" i="7"/>
  <c r="H172" i="7"/>
  <c r="K173" i="7"/>
  <c r="O172" i="7"/>
  <c r="I172" i="7"/>
  <c r="K172" i="7"/>
  <c r="J173" i="7"/>
  <c r="L172" i="7"/>
  <c r="N172" i="7"/>
  <c r="P172" i="7"/>
  <c r="H173" i="7"/>
  <c r="S77" i="9"/>
  <c r="I46" i="5"/>
  <c r="H188" i="7"/>
  <c r="H191" i="7"/>
  <c r="H272" i="4"/>
  <c r="J272" i="3"/>
  <c r="L272" i="3"/>
  <c r="I272" i="6"/>
  <c r="H191" i="5"/>
  <c r="H190" i="5"/>
  <c r="H188" i="5"/>
  <c r="H189" i="5"/>
  <c r="H190" i="4"/>
  <c r="H188" i="4"/>
  <c r="H189" i="4"/>
  <c r="H191" i="4"/>
  <c r="L84" i="7"/>
  <c r="L118" i="7"/>
  <c r="L144" i="7"/>
  <c r="I282" i="3"/>
  <c r="I190" i="4"/>
  <c r="I189" i="4"/>
  <c r="I191" i="4"/>
  <c r="I188" i="4"/>
  <c r="M4" i="7"/>
  <c r="I272" i="3"/>
  <c r="I278" i="7"/>
  <c r="I280" i="7"/>
  <c r="I281" i="7"/>
  <c r="I274" i="7"/>
  <c r="I272" i="7"/>
  <c r="I279" i="7"/>
  <c r="K124" i="9"/>
  <c r="D174" i="6"/>
  <c r="L122" i="9"/>
  <c r="E170" i="6"/>
  <c r="E170" i="7" s="1"/>
  <c r="R122" i="9" s="1"/>
  <c r="H272" i="7"/>
  <c r="K272" i="3"/>
  <c r="J272" i="5"/>
  <c r="I272" i="5"/>
  <c r="H272" i="6"/>
  <c r="Q101" i="9"/>
  <c r="I190" i="5"/>
  <c r="I189" i="5"/>
  <c r="H272" i="5"/>
  <c r="D170" i="6"/>
  <c r="K122" i="9"/>
  <c r="P138" i="9"/>
  <c r="F194" i="7"/>
  <c r="S138" i="9" s="1"/>
  <c r="F198" i="6"/>
  <c r="M142" i="9"/>
  <c r="B6" i="5"/>
  <c r="C205" i="4"/>
  <c r="H279" i="4"/>
  <c r="H277" i="4"/>
  <c r="C25" i="2"/>
  <c r="C216" i="3"/>
  <c r="E128" i="6"/>
  <c r="J128" i="6" s="1"/>
  <c r="J231" i="6" s="1"/>
  <c r="S128" i="5"/>
  <c r="O128" i="5"/>
  <c r="K128" i="5"/>
  <c r="Q128" i="5"/>
  <c r="Q231" i="5" s="1"/>
  <c r="I128" i="5"/>
  <c r="E43" i="7"/>
  <c r="T44" i="7"/>
  <c r="E138" i="6"/>
  <c r="O138" i="6" s="1"/>
  <c r="O241" i="6" s="1"/>
  <c r="S138" i="5"/>
  <c r="S241" i="5" s="1"/>
  <c r="H138" i="5"/>
  <c r="L138" i="5"/>
  <c r="F90" i="6"/>
  <c r="C17" i="3"/>
  <c r="T53" i="3"/>
  <c r="T186" i="3"/>
  <c r="T144" i="3"/>
  <c r="K114" i="9"/>
  <c r="K178" i="9"/>
  <c r="E83" i="7"/>
  <c r="Q60" i="9" s="1"/>
  <c r="E117" i="7"/>
  <c r="Q92" i="9" s="1"/>
  <c r="E2" i="9"/>
  <c r="Q2" i="9"/>
  <c r="G5" i="2"/>
  <c r="I5" i="2"/>
  <c r="K189" i="3"/>
  <c r="K196" i="3"/>
  <c r="I196" i="3"/>
  <c r="H73" i="3"/>
  <c r="H223" i="3" s="1"/>
  <c r="H72" i="3"/>
  <c r="H222" i="3" s="1"/>
  <c r="H71" i="3"/>
  <c r="H70" i="3"/>
  <c r="H220" i="3" s="1"/>
  <c r="H162" i="3"/>
  <c r="H165" i="3"/>
  <c r="H173" i="3"/>
  <c r="I164" i="3"/>
  <c r="I165" i="3"/>
  <c r="J164" i="3"/>
  <c r="J165" i="3"/>
  <c r="J173" i="3"/>
  <c r="K164" i="3"/>
  <c r="K165" i="3"/>
  <c r="M128" i="5"/>
  <c r="M231" i="5" s="1"/>
  <c r="P138" i="5"/>
  <c r="P241" i="5" s="1"/>
  <c r="H280" i="3"/>
  <c r="H282" i="3" s="1"/>
  <c r="H283" i="3" s="1"/>
  <c r="H177" i="3"/>
  <c r="C25" i="3"/>
  <c r="T122" i="4"/>
  <c r="T84" i="3"/>
  <c r="T203" i="3"/>
  <c r="E52" i="3"/>
  <c r="E185" i="3"/>
  <c r="F129" i="9" s="1"/>
  <c r="K104" i="9"/>
  <c r="E143" i="5"/>
  <c r="E185" i="5"/>
  <c r="L129" i="9" s="1"/>
  <c r="N104" i="9"/>
  <c r="E143" i="7"/>
  <c r="E202" i="7"/>
  <c r="Q146" i="9" s="1"/>
  <c r="E43" i="5"/>
  <c r="E43" i="6"/>
  <c r="T44" i="6"/>
  <c r="K70" i="3"/>
  <c r="K220" i="3" s="1"/>
  <c r="K71" i="3"/>
  <c r="K221" i="3" s="1"/>
  <c r="K72" i="3"/>
  <c r="K222" i="3" s="1"/>
  <c r="H164" i="3"/>
  <c r="I163" i="3"/>
  <c r="J163" i="3"/>
  <c r="K163" i="3"/>
  <c r="H165" i="5"/>
  <c r="H164" i="5"/>
  <c r="J71" i="3"/>
  <c r="S108" i="4"/>
  <c r="G88" i="5"/>
  <c r="H241" i="5"/>
  <c r="I231" i="5"/>
  <c r="S231" i="5"/>
  <c r="O122" i="9"/>
  <c r="J227" i="6"/>
  <c r="Q227" i="6"/>
  <c r="H28" i="4"/>
  <c r="R128" i="6"/>
  <c r="R231" i="6" s="1"/>
  <c r="S128" i="6"/>
  <c r="S231" i="6"/>
  <c r="N128" i="6"/>
  <c r="N231" i="6" s="1"/>
  <c r="L128" i="6"/>
  <c r="L231" i="6" s="1"/>
  <c r="H128" i="6"/>
  <c r="H231" i="6" s="1"/>
  <c r="E128" i="7"/>
  <c r="Q128" i="6"/>
  <c r="Q231" i="6" s="1"/>
  <c r="N122" i="9"/>
  <c r="D170" i="7"/>
  <c r="Q122" i="9" s="1"/>
  <c r="H227" i="6"/>
  <c r="K227" i="6"/>
  <c r="S48" i="4"/>
  <c r="S207" i="4"/>
  <c r="S65" i="4"/>
  <c r="S58" i="4"/>
  <c r="L213" i="7"/>
  <c r="L63" i="7"/>
  <c r="L46" i="7"/>
  <c r="L56" i="7"/>
  <c r="L216" i="7" s="1"/>
  <c r="F90" i="7"/>
  <c r="R67" i="9" s="1"/>
  <c r="O67" i="9"/>
  <c r="I138" i="6"/>
  <c r="C170" i="5"/>
  <c r="C205" i="5"/>
  <c r="B6" i="6"/>
  <c r="C170" i="6" s="1"/>
  <c r="N124" i="9"/>
  <c r="D174" i="7"/>
  <c r="Q124" i="9" s="1"/>
  <c r="M251" i="7"/>
  <c r="M144" i="7"/>
  <c r="L173" i="7"/>
  <c r="I227" i="6"/>
  <c r="O227" i="6"/>
  <c r="I217" i="4"/>
  <c r="J221" i="3"/>
  <c r="O231" i="5"/>
  <c r="L227" i="6"/>
  <c r="K17" i="9"/>
  <c r="S27" i="5"/>
  <c r="H27" i="5"/>
  <c r="I27" i="5"/>
  <c r="K27" i="5"/>
  <c r="L27" i="5"/>
  <c r="J218" i="4"/>
  <c r="H207" i="4"/>
  <c r="H58" i="4"/>
  <c r="H48" i="4"/>
  <c r="H65" i="4"/>
  <c r="M281" i="7"/>
  <c r="C205" i="6"/>
  <c r="B6" i="7"/>
  <c r="H213" i="7"/>
  <c r="H205" i="7"/>
  <c r="I128" i="7"/>
  <c r="I231" i="7" s="1"/>
  <c r="S128" i="7"/>
  <c r="S231" i="7" s="1"/>
  <c r="H128" i="7"/>
  <c r="H231" i="7" s="1"/>
  <c r="Q128" i="7"/>
  <c r="Q231" i="7" s="1"/>
  <c r="M128" i="7"/>
  <c r="L128" i="7"/>
  <c r="J128" i="7"/>
  <c r="J231" i="7" s="1"/>
  <c r="Q103" i="9"/>
  <c r="R128" i="7"/>
  <c r="R231" i="7" s="1"/>
  <c r="O128" i="7"/>
  <c r="O231" i="7" s="1"/>
  <c r="S218" i="4"/>
  <c r="L231" i="7"/>
  <c r="H218" i="4"/>
  <c r="M231" i="7"/>
  <c r="C170" i="7" l="1"/>
  <c r="C205" i="7"/>
  <c r="J213" i="5"/>
  <c r="J46" i="5"/>
  <c r="J205" i="5"/>
  <c r="J56" i="5"/>
  <c r="J216" i="5" s="1"/>
  <c r="J63" i="5"/>
  <c r="O244" i="3"/>
  <c r="O115" i="3"/>
  <c r="O150" i="3" s="1"/>
  <c r="I108" i="6"/>
  <c r="H108" i="6"/>
  <c r="N85" i="9"/>
  <c r="P108" i="6"/>
  <c r="M108" i="6"/>
  <c r="K108" i="6"/>
  <c r="Q108" i="6"/>
  <c r="R108" i="6"/>
  <c r="L108" i="6"/>
  <c r="E108" i="7"/>
  <c r="O108" i="6"/>
  <c r="J108" i="6"/>
  <c r="N108" i="6"/>
  <c r="K58" i="3"/>
  <c r="K218" i="3" s="1"/>
  <c r="K207" i="3"/>
  <c r="I63" i="6"/>
  <c r="I213" i="6"/>
  <c r="K106" i="3"/>
  <c r="K111" i="3"/>
  <c r="K243" i="3"/>
  <c r="K109" i="3"/>
  <c r="G88" i="6"/>
  <c r="M65" i="9"/>
  <c r="L162" i="7"/>
  <c r="L165" i="7"/>
  <c r="L163" i="7"/>
  <c r="L164" i="7"/>
  <c r="L161" i="7"/>
  <c r="L166" i="7" s="1"/>
  <c r="L245" i="7" s="1"/>
  <c r="J64" i="3"/>
  <c r="J47" i="3"/>
  <c r="J57" i="3"/>
  <c r="J217" i="3" s="1"/>
  <c r="J206" i="3"/>
  <c r="F198" i="7"/>
  <c r="S142" i="9" s="1"/>
  <c r="P142" i="9"/>
  <c r="K278" i="7"/>
  <c r="K272" i="7"/>
  <c r="K277" i="7"/>
  <c r="K274" i="7"/>
  <c r="K281" i="7"/>
  <c r="K47" i="3"/>
  <c r="K57" i="3"/>
  <c r="K217" i="3" s="1"/>
  <c r="E234" i="7"/>
  <c r="Q174" i="9" s="1"/>
  <c r="N174" i="9"/>
  <c r="T124" i="6"/>
  <c r="S227" i="6"/>
  <c r="J206" i="4"/>
  <c r="J47" i="4"/>
  <c r="J64" i="4"/>
  <c r="J57" i="4"/>
  <c r="J217" i="4" s="1"/>
  <c r="L206" i="3"/>
  <c r="L64" i="3"/>
  <c r="L47" i="3"/>
  <c r="E241" i="7"/>
  <c r="Q181" i="9" s="1"/>
  <c r="N181" i="9"/>
  <c r="F195" i="6"/>
  <c r="M139" i="9"/>
  <c r="I207" i="4"/>
  <c r="I48" i="4"/>
  <c r="I63" i="5"/>
  <c r="I56" i="5"/>
  <c r="I216" i="5" s="1"/>
  <c r="I205" i="5"/>
  <c r="I213" i="5"/>
  <c r="K28" i="5"/>
  <c r="L242" i="4"/>
  <c r="T242" i="4" s="1"/>
  <c r="T139" i="4"/>
  <c r="I241" i="6"/>
  <c r="K166" i="5"/>
  <c r="K245" i="5" s="1"/>
  <c r="C206" i="4"/>
  <c r="B14" i="5"/>
  <c r="T225" i="4"/>
  <c r="E226" i="6"/>
  <c r="K166" i="9"/>
  <c r="O137" i="4"/>
  <c r="O240" i="4" s="1"/>
  <c r="M137" i="4"/>
  <c r="M240" i="4" s="1"/>
  <c r="J137" i="4"/>
  <c r="J240" i="4" s="1"/>
  <c r="H137" i="4"/>
  <c r="H240" i="4" s="1"/>
  <c r="H112" i="9"/>
  <c r="E137" i="5"/>
  <c r="R137" i="4"/>
  <c r="R240" i="4" s="1"/>
  <c r="P137" i="4"/>
  <c r="P240" i="4" s="1"/>
  <c r="J5" i="2"/>
  <c r="C25" i="6"/>
  <c r="E185" i="6"/>
  <c r="O129" i="9" s="1"/>
  <c r="T203" i="6"/>
  <c r="H231" i="4"/>
  <c r="J118" i="4"/>
  <c r="J251" i="4"/>
  <c r="K4" i="4"/>
  <c r="J203" i="4"/>
  <c r="J144" i="4"/>
  <c r="J53" i="4"/>
  <c r="J84" i="4"/>
  <c r="J186" i="4"/>
  <c r="L188" i="5"/>
  <c r="P123" i="4"/>
  <c r="P226" i="4" s="1"/>
  <c r="J123" i="4"/>
  <c r="J226" i="4" s="1"/>
  <c r="O123" i="4"/>
  <c r="O226" i="4" s="1"/>
  <c r="I123" i="4"/>
  <c r="I226" i="4" s="1"/>
  <c r="N123" i="4"/>
  <c r="N226" i="4" s="1"/>
  <c r="H123" i="4"/>
  <c r="S123" i="4"/>
  <c r="S226" i="4" s="1"/>
  <c r="M123" i="4"/>
  <c r="M226" i="4" s="1"/>
  <c r="E123" i="5"/>
  <c r="Q123" i="4"/>
  <c r="Q226" i="4" s="1"/>
  <c r="K123" i="4"/>
  <c r="K226" i="4" s="1"/>
  <c r="H98" i="9"/>
  <c r="P126" i="5"/>
  <c r="P229" i="5" s="1"/>
  <c r="L101" i="9"/>
  <c r="L126" i="5"/>
  <c r="L229" i="5" s="1"/>
  <c r="L189" i="5"/>
  <c r="K200" i="3"/>
  <c r="M113" i="3"/>
  <c r="E23" i="5"/>
  <c r="H16" i="9"/>
  <c r="E233" i="6"/>
  <c r="K173" i="9"/>
  <c r="F112" i="6"/>
  <c r="L89" i="9"/>
  <c r="H70" i="9"/>
  <c r="O93" i="4"/>
  <c r="J282" i="3"/>
  <c r="J283" i="3" s="1"/>
  <c r="S213" i="6"/>
  <c r="J67" i="3"/>
  <c r="N162" i="9"/>
  <c r="E222" i="7"/>
  <c r="Q162" i="9" s="1"/>
  <c r="P121" i="4"/>
  <c r="P224" i="4" s="1"/>
  <c r="J121" i="4"/>
  <c r="J224" i="4" s="1"/>
  <c r="O121" i="4"/>
  <c r="O224" i="4" s="1"/>
  <c r="I121" i="4"/>
  <c r="I224" i="4" s="1"/>
  <c r="I96" i="9"/>
  <c r="N121" i="4"/>
  <c r="N224" i="4" s="1"/>
  <c r="H121" i="4"/>
  <c r="S121" i="4"/>
  <c r="S224" i="4" s="1"/>
  <c r="M121" i="4"/>
  <c r="M224" i="4" s="1"/>
  <c r="F121" i="5"/>
  <c r="Q121" i="4"/>
  <c r="Q224" i="4" s="1"/>
  <c r="K121" i="4"/>
  <c r="K224" i="4" s="1"/>
  <c r="E230" i="5"/>
  <c r="H170" i="9"/>
  <c r="O105" i="9"/>
  <c r="F130" i="7"/>
  <c r="R105" i="9" s="1"/>
  <c r="K113" i="9"/>
  <c r="O138" i="5"/>
  <c r="O241" i="5" s="1"/>
  <c r="Q138" i="5"/>
  <c r="Q241" i="5" s="1"/>
  <c r="N138" i="5"/>
  <c r="N241" i="5" s="1"/>
  <c r="S63" i="6"/>
  <c r="S121" i="5"/>
  <c r="S224" i="5" s="1"/>
  <c r="E242" i="7"/>
  <c r="Q182" i="9" s="1"/>
  <c r="N182" i="9"/>
  <c r="T172" i="7"/>
  <c r="S56" i="6"/>
  <c r="S216" i="6" s="1"/>
  <c r="T91" i="3"/>
  <c r="T94" i="3"/>
  <c r="I230" i="4"/>
  <c r="H230" i="4"/>
  <c r="K177" i="9"/>
  <c r="E237" i="6"/>
  <c r="F111" i="6"/>
  <c r="L88" i="9"/>
  <c r="I28" i="5"/>
  <c r="K272" i="5"/>
  <c r="R121" i="4"/>
  <c r="L230" i="4"/>
  <c r="R125" i="5"/>
  <c r="R228" i="5" s="1"/>
  <c r="L125" i="5"/>
  <c r="L228" i="5" s="1"/>
  <c r="J125" i="5"/>
  <c r="J228" i="5" s="1"/>
  <c r="F125" i="6"/>
  <c r="F131" i="6"/>
  <c r="L106" i="9"/>
  <c r="E139" i="7"/>
  <c r="N114" i="9"/>
  <c r="G92" i="7"/>
  <c r="S69" i="9" s="1"/>
  <c r="P69" i="9"/>
  <c r="D189" i="7"/>
  <c r="I189" i="6"/>
  <c r="C208" i="5"/>
  <c r="C176" i="5"/>
  <c r="F110" i="6"/>
  <c r="L87" i="9"/>
  <c r="F88" i="5"/>
  <c r="F96" i="4"/>
  <c r="I65" i="9"/>
  <c r="L82" i="9"/>
  <c r="F105" i="6"/>
  <c r="D190" i="7"/>
  <c r="H190" i="6"/>
  <c r="I113" i="3"/>
  <c r="Q230" i="4"/>
  <c r="E235" i="5"/>
  <c r="S235" i="4"/>
  <c r="K235" i="4"/>
  <c r="H175" i="9"/>
  <c r="E202" i="3"/>
  <c r="E146" i="9" s="1"/>
  <c r="L11" i="3"/>
  <c r="L12" i="3" s="1"/>
  <c r="J72" i="3"/>
  <c r="J222" i="3" s="1"/>
  <c r="J162" i="3"/>
  <c r="J127" i="4"/>
  <c r="S127" i="4"/>
  <c r="S230" i="4" s="1"/>
  <c r="M128" i="4"/>
  <c r="M231" i="4" s="1"/>
  <c r="S128" i="4"/>
  <c r="S231" i="4" s="1"/>
  <c r="O133" i="4"/>
  <c r="O236" i="4" s="1"/>
  <c r="R100" i="4"/>
  <c r="S89" i="4"/>
  <c r="S225" i="5"/>
  <c r="S125" i="5"/>
  <c r="S228" i="5" s="1"/>
  <c r="E131" i="5"/>
  <c r="E133" i="5"/>
  <c r="E91" i="5"/>
  <c r="J280" i="3"/>
  <c r="I173" i="4"/>
  <c r="H278" i="5"/>
  <c r="H282" i="5" s="1"/>
  <c r="H283" i="5" s="1"/>
  <c r="C9" i="3"/>
  <c r="K125" i="4"/>
  <c r="K228" i="4" s="1"/>
  <c r="Q125" i="4"/>
  <c r="Q228" i="4" s="1"/>
  <c r="K230" i="4"/>
  <c r="J131" i="4"/>
  <c r="J234" i="4" s="1"/>
  <c r="L235" i="4"/>
  <c r="H133" i="4"/>
  <c r="H236" i="4" s="1"/>
  <c r="P133" i="4"/>
  <c r="P236" i="4" s="1"/>
  <c r="J100" i="4"/>
  <c r="H125" i="5"/>
  <c r="H126" i="5"/>
  <c r="H229" i="5" s="1"/>
  <c r="T37" i="5"/>
  <c r="K278" i="3"/>
  <c r="K282" i="3" s="1"/>
  <c r="K283" i="3" s="1"/>
  <c r="K274" i="3"/>
  <c r="J141" i="9"/>
  <c r="O126" i="4"/>
  <c r="O229" i="4" s="1"/>
  <c r="M127" i="4"/>
  <c r="M230" i="4" s="1"/>
  <c r="I128" i="4"/>
  <c r="I231" i="4" s="1"/>
  <c r="O128" i="4"/>
  <c r="O231" i="4" s="1"/>
  <c r="J130" i="4"/>
  <c r="J233" i="4" s="1"/>
  <c r="N131" i="4"/>
  <c r="N234" i="4" s="1"/>
  <c r="N132" i="4"/>
  <c r="N235" i="4" s="1"/>
  <c r="J133" i="4"/>
  <c r="J236" i="4" s="1"/>
  <c r="R133" i="4"/>
  <c r="R236" i="4" s="1"/>
  <c r="H135" i="4"/>
  <c r="H238" i="4" s="1"/>
  <c r="N136" i="4"/>
  <c r="N239" i="4" s="1"/>
  <c r="H138" i="4"/>
  <c r="P138" i="4"/>
  <c r="P241" i="4" s="1"/>
  <c r="H87" i="4"/>
  <c r="J90" i="4"/>
  <c r="T90" i="4" s="1"/>
  <c r="L100" i="4"/>
  <c r="M87" i="4"/>
  <c r="O89" i="4"/>
  <c r="O102" i="4" s="1"/>
  <c r="P105" i="4"/>
  <c r="R89" i="4"/>
  <c r="K125" i="5"/>
  <c r="K228" i="5" s="1"/>
  <c r="O126" i="5"/>
  <c r="O229" i="5" s="1"/>
  <c r="E125" i="6"/>
  <c r="F127" i="5"/>
  <c r="E130" i="5"/>
  <c r="E88" i="5"/>
  <c r="E88" i="6" s="1"/>
  <c r="I165" i="7"/>
  <c r="I166" i="7" s="1"/>
  <c r="I245" i="7" s="1"/>
  <c r="I278" i="6"/>
  <c r="E250" i="3"/>
  <c r="M125" i="4"/>
  <c r="M228" i="4" s="1"/>
  <c r="S125" i="4"/>
  <c r="S228" i="4" s="1"/>
  <c r="N100" i="4"/>
  <c r="Q100" i="4"/>
  <c r="K172" i="9"/>
  <c r="H122" i="9"/>
  <c r="J188" i="3"/>
  <c r="H198" i="3"/>
  <c r="K44" i="3"/>
  <c r="T127" i="3"/>
  <c r="T107" i="3"/>
  <c r="Q126" i="4"/>
  <c r="Q229" i="4" s="1"/>
  <c r="N127" i="4"/>
  <c r="N230" i="4" s="1"/>
  <c r="J128" i="4"/>
  <c r="J231" i="4" s="1"/>
  <c r="P128" i="4"/>
  <c r="P231" i="4" s="1"/>
  <c r="L130" i="4"/>
  <c r="L233" i="4" s="1"/>
  <c r="O132" i="4"/>
  <c r="O235" i="4" s="1"/>
  <c r="K133" i="4"/>
  <c r="K236" i="4" s="1"/>
  <c r="S133" i="4"/>
  <c r="S236" i="4" s="1"/>
  <c r="L135" i="4"/>
  <c r="L238" i="4" s="1"/>
  <c r="I100" i="4"/>
  <c r="J87" i="4"/>
  <c r="L91" i="4"/>
  <c r="N98" i="4"/>
  <c r="O105" i="4"/>
  <c r="Q98" i="4"/>
  <c r="R105" i="4"/>
  <c r="M125" i="5"/>
  <c r="M228" i="5" s="1"/>
  <c r="S126" i="5"/>
  <c r="S229" i="5" s="1"/>
  <c r="E127" i="5"/>
  <c r="F134" i="5"/>
  <c r="E92" i="5"/>
  <c r="E90" i="5"/>
  <c r="F87" i="5"/>
  <c r="T172" i="4"/>
  <c r="H43" i="9"/>
  <c r="I100" i="9"/>
  <c r="H172" i="9"/>
  <c r="J198" i="3"/>
  <c r="H197" i="3"/>
  <c r="J70" i="3"/>
  <c r="H125" i="4"/>
  <c r="N125" i="4"/>
  <c r="N228" i="4" s="1"/>
  <c r="H126" i="4"/>
  <c r="R126" i="4"/>
  <c r="R229" i="4" s="1"/>
  <c r="O127" i="4"/>
  <c r="O230" i="4" s="1"/>
  <c r="N130" i="4"/>
  <c r="N233" i="4" s="1"/>
  <c r="H132" i="4"/>
  <c r="H235" i="4" s="1"/>
  <c r="P132" i="4"/>
  <c r="P235" i="4" s="1"/>
  <c r="L133" i="4"/>
  <c r="L236" i="4" s="1"/>
  <c r="H237" i="4"/>
  <c r="J138" i="4"/>
  <c r="J241" i="4" s="1"/>
  <c r="R138" i="4"/>
  <c r="R241" i="4" s="1"/>
  <c r="I98" i="4"/>
  <c r="N91" i="4"/>
  <c r="P100" i="4"/>
  <c r="S100" i="4"/>
  <c r="N125" i="5"/>
  <c r="N228" i="5" s="1"/>
  <c r="E132" i="5"/>
  <c r="K128" i="4"/>
  <c r="K231" i="4" s="1"/>
  <c r="Q128" i="4"/>
  <c r="Q231" i="4" s="1"/>
  <c r="K100" i="4"/>
  <c r="L89" i="4"/>
  <c r="Q91" i="4"/>
  <c r="K121" i="5"/>
  <c r="K224" i="5" s="1"/>
  <c r="O125" i="5"/>
  <c r="O228" i="5" s="1"/>
  <c r="H162" i="7"/>
  <c r="H166" i="7" s="1"/>
  <c r="H245" i="7" s="1"/>
  <c r="I274" i="3"/>
  <c r="I283" i="3" s="1"/>
  <c r="K160" i="9"/>
  <c r="H188" i="3"/>
  <c r="H161" i="3"/>
  <c r="H166" i="3" s="1"/>
  <c r="H245" i="3" s="1"/>
  <c r="I125" i="4"/>
  <c r="I228" i="4" s="1"/>
  <c r="O125" i="4"/>
  <c r="O228" i="4" s="1"/>
  <c r="I132" i="4"/>
  <c r="I235" i="4" s="1"/>
  <c r="K98" i="4"/>
  <c r="N89" i="4"/>
  <c r="P98" i="4"/>
  <c r="S98" i="4"/>
  <c r="O121" i="5"/>
  <c r="O224" i="5" s="1"/>
  <c r="P125" i="5"/>
  <c r="P228" i="5" s="1"/>
  <c r="E94" i="5"/>
  <c r="I105" i="9"/>
  <c r="H191" i="3"/>
  <c r="I73" i="3"/>
  <c r="I223" i="3" s="1"/>
  <c r="T92" i="3"/>
  <c r="L128" i="4"/>
  <c r="L231" i="4" s="1"/>
  <c r="R128" i="4"/>
  <c r="R231" i="4" s="1"/>
  <c r="R235" i="4"/>
  <c r="N133" i="4"/>
  <c r="S91" i="4"/>
  <c r="E87" i="5"/>
  <c r="J125" i="4"/>
  <c r="J228" i="4" s="1"/>
  <c r="H100" i="4"/>
  <c r="M100" i="4"/>
  <c r="T172" i="3"/>
  <c r="H282" i="4"/>
  <c r="H283" i="4" s="1"/>
  <c r="I282" i="7"/>
  <c r="K282" i="5"/>
  <c r="K283" i="5" s="1"/>
  <c r="T4" i="4"/>
  <c r="C35" i="4"/>
  <c r="C17" i="5"/>
  <c r="E250" i="5"/>
  <c r="T4" i="5"/>
  <c r="T144" i="6"/>
  <c r="E52" i="5"/>
  <c r="K5" i="2"/>
  <c r="H164" i="6"/>
  <c r="H166" i="6" s="1"/>
  <c r="H245" i="6" s="1"/>
  <c r="I283" i="7"/>
  <c r="T144" i="5"/>
  <c r="E202" i="5"/>
  <c r="K146" i="9" s="1"/>
  <c r="N2" i="9"/>
  <c r="H5" i="2"/>
  <c r="E202" i="6"/>
  <c r="N146" i="9" s="1"/>
  <c r="I164" i="5"/>
  <c r="K166" i="7"/>
  <c r="K245" i="7" s="1"/>
  <c r="R71" i="9"/>
  <c r="L282" i="3"/>
  <c r="I166" i="5"/>
  <c r="I245" i="5" s="1"/>
  <c r="J171" i="3"/>
  <c r="I245" i="4"/>
  <c r="H221" i="3"/>
  <c r="J46" i="7"/>
  <c r="J205" i="7"/>
  <c r="J56" i="7"/>
  <c r="J213" i="7"/>
  <c r="J63" i="7"/>
  <c r="I48" i="5"/>
  <c r="I65" i="5"/>
  <c r="I207" i="5"/>
  <c r="I58" i="5"/>
  <c r="I218" i="5" s="1"/>
  <c r="K46" i="7"/>
  <c r="K56" i="7"/>
  <c r="K213" i="7"/>
  <c r="K205" i="7"/>
  <c r="K63" i="7"/>
  <c r="K256" i="3"/>
  <c r="K266" i="3"/>
  <c r="K268" i="3" s="1"/>
  <c r="J166" i="3"/>
  <c r="J245" i="3" s="1"/>
  <c r="I282" i="6"/>
  <c r="I283" i="6" s="1"/>
  <c r="M279" i="7"/>
  <c r="M272" i="7"/>
  <c r="M280" i="7"/>
  <c r="M277" i="7"/>
  <c r="M278" i="7"/>
  <c r="T227" i="6"/>
  <c r="R138" i="6"/>
  <c r="R241" i="6" s="1"/>
  <c r="J138" i="6"/>
  <c r="J241" i="6" s="1"/>
  <c r="K138" i="6"/>
  <c r="K241" i="6" s="1"/>
  <c r="N138" i="6"/>
  <c r="N241" i="6" s="1"/>
  <c r="M138" i="6"/>
  <c r="M241" i="6" s="1"/>
  <c r="H138" i="6"/>
  <c r="E138" i="7"/>
  <c r="S138" i="6"/>
  <c r="S241" i="6" s="1"/>
  <c r="N113" i="9"/>
  <c r="L138" i="6"/>
  <c r="L241" i="6" s="1"/>
  <c r="Q138" i="6"/>
  <c r="Q241" i="6" s="1"/>
  <c r="P138" i="6"/>
  <c r="P241" i="6" s="1"/>
  <c r="M274" i="7"/>
  <c r="H28" i="5"/>
  <c r="L241" i="5"/>
  <c r="T241" i="5" s="1"/>
  <c r="T128" i="5"/>
  <c r="K231" i="5"/>
  <c r="T231" i="5" s="1"/>
  <c r="N4" i="7"/>
  <c r="M44" i="7"/>
  <c r="M11" i="7"/>
  <c r="M12" i="7" s="1"/>
  <c r="M84" i="7"/>
  <c r="M186" i="7"/>
  <c r="M203" i="7"/>
  <c r="M118" i="7"/>
  <c r="M53" i="7"/>
  <c r="I58" i="4"/>
  <c r="I65" i="4"/>
  <c r="H46" i="7"/>
  <c r="H63" i="7"/>
  <c r="H56" i="7"/>
  <c r="S124" i="7"/>
  <c r="S227" i="7" s="1"/>
  <c r="K124" i="7"/>
  <c r="K227" i="7" s="1"/>
  <c r="M124" i="7"/>
  <c r="M227" i="7" s="1"/>
  <c r="R124" i="7"/>
  <c r="R227" i="7" s="1"/>
  <c r="O124" i="7"/>
  <c r="O227" i="7" s="1"/>
  <c r="N124" i="7"/>
  <c r="N227" i="7" s="1"/>
  <c r="H124" i="7"/>
  <c r="J124" i="7"/>
  <c r="J227" i="7" s="1"/>
  <c r="I124" i="7"/>
  <c r="I227" i="7" s="1"/>
  <c r="Q124" i="7"/>
  <c r="Q227" i="7" s="1"/>
  <c r="R99" i="9"/>
  <c r="L124" i="7"/>
  <c r="L227" i="7" s="1"/>
  <c r="P124" i="7"/>
  <c r="P227" i="7" s="1"/>
  <c r="H166" i="5"/>
  <c r="M190" i="5"/>
  <c r="M191" i="5"/>
  <c r="M189" i="5"/>
  <c r="T100" i="5"/>
  <c r="E240" i="7"/>
  <c r="Q180" i="9" s="1"/>
  <c r="N180" i="9"/>
  <c r="J27" i="5"/>
  <c r="J28" i="5" s="1"/>
  <c r="M27" i="5"/>
  <c r="M28" i="5" s="1"/>
  <c r="E24" i="6"/>
  <c r="K74" i="3"/>
  <c r="H74" i="3"/>
  <c r="I151" i="3"/>
  <c r="P128" i="7"/>
  <c r="P231" i="7" s="1"/>
  <c r="K128" i="7"/>
  <c r="N128" i="7"/>
  <c r="N231" i="7" s="1"/>
  <c r="I200" i="3"/>
  <c r="K128" i="6"/>
  <c r="K231" i="6" s="1"/>
  <c r="N103" i="9"/>
  <c r="M128" i="6"/>
  <c r="M231" i="6" s="1"/>
  <c r="I128" i="6"/>
  <c r="I231" i="6" s="1"/>
  <c r="O128" i="6"/>
  <c r="O231" i="6" s="1"/>
  <c r="P128" i="6"/>
  <c r="P231" i="6" s="1"/>
  <c r="O108" i="7"/>
  <c r="R108" i="7"/>
  <c r="J108" i="7"/>
  <c r="H56" i="6"/>
  <c r="H46" i="6"/>
  <c r="M279" i="5"/>
  <c r="M278" i="5"/>
  <c r="M272" i="5"/>
  <c r="M53" i="5"/>
  <c r="M84" i="5"/>
  <c r="N4" i="5"/>
  <c r="M118" i="5"/>
  <c r="M203" i="5"/>
  <c r="M11" i="5"/>
  <c r="M12" i="5" s="1"/>
  <c r="M44" i="5"/>
  <c r="L278" i="7"/>
  <c r="L279" i="7"/>
  <c r="L280" i="7"/>
  <c r="S48" i="3"/>
  <c r="S58" i="3"/>
  <c r="S207" i="3"/>
  <c r="I11" i="7"/>
  <c r="S12" i="7"/>
  <c r="H205" i="6"/>
  <c r="H64" i="4"/>
  <c r="M274" i="5"/>
  <c r="L281" i="7"/>
  <c r="I205" i="6"/>
  <c r="I56" i="6"/>
  <c r="M144" i="5"/>
  <c r="S19" i="5"/>
  <c r="M19" i="5" s="1"/>
  <c r="M20" i="5" s="1"/>
  <c r="H242" i="6"/>
  <c r="T242" i="6" s="1"/>
  <c r="T139" i="6"/>
  <c r="H56" i="5"/>
  <c r="H46" i="5"/>
  <c r="H213" i="5"/>
  <c r="H63" i="5"/>
  <c r="S65" i="3"/>
  <c r="S67" i="3" s="1"/>
  <c r="H63" i="6"/>
  <c r="M280" i="5"/>
  <c r="L272" i="7"/>
  <c r="F89" i="7"/>
  <c r="O66" i="9"/>
  <c r="N89" i="6"/>
  <c r="L89" i="6"/>
  <c r="O89" i="6"/>
  <c r="H227" i="5"/>
  <c r="T227" i="5" s="1"/>
  <c r="T124" i="5"/>
  <c r="H279" i="6"/>
  <c r="H280" i="6"/>
  <c r="H281" i="6"/>
  <c r="H278" i="6"/>
  <c r="H274" i="6"/>
  <c r="I280" i="4"/>
  <c r="I272" i="4"/>
  <c r="I279" i="4"/>
  <c r="I278" i="4"/>
  <c r="I274" i="4"/>
  <c r="I281" i="4"/>
  <c r="J139" i="7"/>
  <c r="J242" i="7" s="1"/>
  <c r="K139" i="7"/>
  <c r="K242" i="7" s="1"/>
  <c r="H56" i="4"/>
  <c r="H63" i="4"/>
  <c r="O109" i="4"/>
  <c r="O106" i="4"/>
  <c r="D101" i="7"/>
  <c r="J98" i="7"/>
  <c r="K98" i="7"/>
  <c r="J166" i="5"/>
  <c r="J245" i="5" s="1"/>
  <c r="J205" i="4"/>
  <c r="J213" i="4"/>
  <c r="S205" i="4"/>
  <c r="S63" i="4"/>
  <c r="L200" i="3"/>
  <c r="J235" i="4"/>
  <c r="T132" i="4"/>
  <c r="N236" i="4"/>
  <c r="T236" i="4" s="1"/>
  <c r="K279" i="7"/>
  <c r="K280" i="7"/>
  <c r="K64" i="3"/>
  <c r="K206" i="3"/>
  <c r="P106" i="3"/>
  <c r="P111" i="3"/>
  <c r="P112" i="3"/>
  <c r="P243" i="3"/>
  <c r="P109" i="3"/>
  <c r="Q111" i="3"/>
  <c r="Q110" i="3"/>
  <c r="Q109" i="3"/>
  <c r="Q106" i="3"/>
  <c r="E99" i="7"/>
  <c r="T89" i="5"/>
  <c r="L11" i="5"/>
  <c r="L118" i="5"/>
  <c r="L251" i="5"/>
  <c r="J162" i="7"/>
  <c r="J164" i="7"/>
  <c r="J278" i="7"/>
  <c r="J281" i="7"/>
  <c r="J280" i="7"/>
  <c r="J272" i="7"/>
  <c r="I46" i="4"/>
  <c r="I213" i="4"/>
  <c r="I56" i="4"/>
  <c r="J58" i="3"/>
  <c r="J207" i="3"/>
  <c r="J48" i="3"/>
  <c r="L207" i="3"/>
  <c r="L65" i="3"/>
  <c r="N72" i="9"/>
  <c r="L109" i="3"/>
  <c r="L111" i="3"/>
  <c r="L243" i="3"/>
  <c r="L112" i="3"/>
  <c r="K75" i="9"/>
  <c r="T98" i="5"/>
  <c r="K227" i="4"/>
  <c r="T92" i="4"/>
  <c r="N66" i="9"/>
  <c r="R89" i="6"/>
  <c r="S89" i="6"/>
  <c r="M89" i="6"/>
  <c r="H89" i="6"/>
  <c r="I89" i="6"/>
  <c r="I281" i="5"/>
  <c r="I278" i="5"/>
  <c r="I279" i="5"/>
  <c r="J89" i="6"/>
  <c r="Q89" i="6"/>
  <c r="P89" i="6"/>
  <c r="E89" i="7"/>
  <c r="H106" i="3"/>
  <c r="R100" i="6"/>
  <c r="N100" i="6"/>
  <c r="E100" i="7"/>
  <c r="F92" i="7"/>
  <c r="F129" i="6"/>
  <c r="S129" i="5"/>
  <c r="S232" i="5" s="1"/>
  <c r="O129" i="5"/>
  <c r="E105" i="6"/>
  <c r="J105" i="5"/>
  <c r="F195" i="7"/>
  <c r="S139" i="9" s="1"/>
  <c r="P139" i="9"/>
  <c r="I127" i="9"/>
  <c r="E179" i="5"/>
  <c r="K228" i="3"/>
  <c r="T228" i="3" s="1"/>
  <c r="K141" i="3"/>
  <c r="K151" i="3" s="1"/>
  <c r="H229" i="3"/>
  <c r="T229" i="3" s="1"/>
  <c r="T126" i="3"/>
  <c r="J109" i="3"/>
  <c r="J110" i="3"/>
  <c r="R102" i="3"/>
  <c r="T88" i="3"/>
  <c r="S102" i="3"/>
  <c r="K89" i="6"/>
  <c r="E106" i="7"/>
  <c r="I274" i="5"/>
  <c r="K48" i="3"/>
  <c r="K65" i="3"/>
  <c r="K110" i="3"/>
  <c r="K112" i="3"/>
  <c r="D101" i="6"/>
  <c r="K98" i="6"/>
  <c r="H98" i="6"/>
  <c r="T98" i="6" s="1"/>
  <c r="Q139" i="5"/>
  <c r="Q242" i="5" s="1"/>
  <c r="I139" i="5"/>
  <c r="I242" i="5" s="1"/>
  <c r="N139" i="5"/>
  <c r="N242" i="5" s="1"/>
  <c r="P139" i="5"/>
  <c r="P242" i="5" s="1"/>
  <c r="H139" i="5"/>
  <c r="O107" i="9"/>
  <c r="L172" i="6"/>
  <c r="O123" i="9"/>
  <c r="H172" i="6"/>
  <c r="H173" i="6"/>
  <c r="J278" i="5"/>
  <c r="J281" i="5"/>
  <c r="J277" i="5"/>
  <c r="J280" i="5"/>
  <c r="H207" i="3"/>
  <c r="H65" i="3"/>
  <c r="H58" i="3"/>
  <c r="C207" i="4"/>
  <c r="B22" i="5"/>
  <c r="C174" i="4"/>
  <c r="H274" i="7"/>
  <c r="H281" i="7"/>
  <c r="H279" i="7"/>
  <c r="E176" i="5"/>
  <c r="T44" i="3"/>
  <c r="T118" i="3"/>
  <c r="I1" i="3"/>
  <c r="T251" i="3"/>
  <c r="T4" i="3"/>
  <c r="C34" i="3"/>
  <c r="E143" i="3"/>
  <c r="E117" i="3"/>
  <c r="E92" i="9" s="1"/>
  <c r="E83" i="3"/>
  <c r="E60" i="9" s="1"/>
  <c r="C35" i="3"/>
  <c r="E64" i="6"/>
  <c r="K43" i="9"/>
  <c r="T87" i="3"/>
  <c r="T90" i="3"/>
  <c r="K162" i="3"/>
  <c r="K175" i="3"/>
  <c r="E243" i="5"/>
  <c r="H183" i="9"/>
  <c r="F93" i="5"/>
  <c r="S93" i="4"/>
  <c r="K93" i="4"/>
  <c r="J93" i="4"/>
  <c r="J102" i="4" s="1"/>
  <c r="H93" i="4"/>
  <c r="R93" i="4"/>
  <c r="Q93" i="4"/>
  <c r="Q102" i="4" s="1"/>
  <c r="P93" i="4"/>
  <c r="P102" i="4" s="1"/>
  <c r="M93" i="4"/>
  <c r="M102" i="4" s="1"/>
  <c r="L93" i="4"/>
  <c r="N93" i="4"/>
  <c r="I93" i="4"/>
  <c r="I102" i="4" s="1"/>
  <c r="I70" i="9"/>
  <c r="G48" i="2"/>
  <c r="F73" i="9"/>
  <c r="F196" i="6"/>
  <c r="M140" i="9"/>
  <c r="E66" i="5"/>
  <c r="R66" i="4"/>
  <c r="H66" i="4"/>
  <c r="H45" i="9"/>
  <c r="S66" i="4"/>
  <c r="J66" i="4"/>
  <c r="J67" i="4" s="1"/>
  <c r="H232" i="3"/>
  <c r="T232" i="3" s="1"/>
  <c r="T129" i="3"/>
  <c r="O236" i="3"/>
  <c r="T236" i="3" s="1"/>
  <c r="O141" i="3"/>
  <c r="O151" i="3" s="1"/>
  <c r="E218" i="6"/>
  <c r="K158" i="9"/>
  <c r="I66" i="4"/>
  <c r="M66" i="4"/>
  <c r="D176" i="5"/>
  <c r="H125" i="9"/>
  <c r="E174" i="6"/>
  <c r="L124" i="9"/>
  <c r="E15" i="6"/>
  <c r="K11" i="9"/>
  <c r="F122" i="6"/>
  <c r="R122" i="5"/>
  <c r="R225" i="5" s="1"/>
  <c r="N122" i="5"/>
  <c r="N225" i="5" s="1"/>
  <c r="K122" i="5"/>
  <c r="H122" i="5"/>
  <c r="P122" i="5"/>
  <c r="P225" i="5" s="1"/>
  <c r="M122" i="5"/>
  <c r="M225" i="5" s="1"/>
  <c r="E127" i="6"/>
  <c r="Q127" i="5"/>
  <c r="Q230" i="5" s="1"/>
  <c r="M127" i="5"/>
  <c r="M230" i="5" s="1"/>
  <c r="P127" i="5"/>
  <c r="P230" i="5" s="1"/>
  <c r="L127" i="5"/>
  <c r="L230" i="5" s="1"/>
  <c r="I127" i="5"/>
  <c r="I230" i="5" s="1"/>
  <c r="N127" i="5"/>
  <c r="N230" i="5" s="1"/>
  <c r="S127" i="5"/>
  <c r="K127" i="5"/>
  <c r="K230" i="5" s="1"/>
  <c r="F95" i="5"/>
  <c r="H95" i="4"/>
  <c r="T95" i="4" s="1"/>
  <c r="C172" i="4"/>
  <c r="L122" i="5"/>
  <c r="L225" i="5" s="1"/>
  <c r="R127" i="5"/>
  <c r="R230" i="5" s="1"/>
  <c r="J4" i="6"/>
  <c r="I53" i="6"/>
  <c r="I118" i="6"/>
  <c r="E121" i="6"/>
  <c r="R121" i="5"/>
  <c r="P121" i="5"/>
  <c r="N121" i="5"/>
  <c r="L121" i="5"/>
  <c r="J121" i="5"/>
  <c r="H121" i="5"/>
  <c r="Q121" i="5"/>
  <c r="M121" i="5"/>
  <c r="I121" i="5"/>
  <c r="P124" i="4"/>
  <c r="J124" i="4"/>
  <c r="I70" i="3"/>
  <c r="Q122" i="5"/>
  <c r="Q225" i="5" s="1"/>
  <c r="H127" i="5"/>
  <c r="T37" i="6"/>
  <c r="M4" i="3"/>
  <c r="L53" i="3"/>
  <c r="O122" i="5"/>
  <c r="S129" i="4"/>
  <c r="K129" i="4"/>
  <c r="K232" i="4" s="1"/>
  <c r="F137" i="6"/>
  <c r="Q137" i="5"/>
  <c r="Q240" i="5" s="1"/>
  <c r="K137" i="5"/>
  <c r="K240" i="5" s="1"/>
  <c r="F99" i="5"/>
  <c r="N99" i="4"/>
  <c r="T99" i="4" s="1"/>
  <c r="G93" i="5"/>
  <c r="E93" i="5"/>
  <c r="T95" i="3"/>
  <c r="L118" i="3"/>
  <c r="N137" i="5"/>
  <c r="N240" i="5" s="1"/>
  <c r="H38" i="3"/>
  <c r="T37" i="3"/>
  <c r="F126" i="6"/>
  <c r="Q126" i="5"/>
  <c r="Q229" i="5" s="1"/>
  <c r="M126" i="5"/>
  <c r="M229" i="5" s="1"/>
  <c r="I126" i="5"/>
  <c r="S130" i="4"/>
  <c r="S233" i="4" s="1"/>
  <c r="Q130" i="4"/>
  <c r="O130" i="4"/>
  <c r="O233" i="4" s="1"/>
  <c r="M130" i="4"/>
  <c r="M233" i="4" s="1"/>
  <c r="K130" i="4"/>
  <c r="K233" i="4" s="1"/>
  <c r="I130" i="4"/>
  <c r="S131" i="4"/>
  <c r="S234" i="4" s="1"/>
  <c r="Q131" i="4"/>
  <c r="Q234" i="4" s="1"/>
  <c r="O131" i="4"/>
  <c r="O234" i="4" s="1"/>
  <c r="M131" i="4"/>
  <c r="M234" i="4" s="1"/>
  <c r="K131" i="4"/>
  <c r="K234" i="4" s="1"/>
  <c r="I131" i="4"/>
  <c r="S134" i="4"/>
  <c r="S237" i="4" s="1"/>
  <c r="Q134" i="4"/>
  <c r="Q237" i="4" s="1"/>
  <c r="O134" i="4"/>
  <c r="O237" i="4" s="1"/>
  <c r="M134" i="4"/>
  <c r="M237" i="4" s="1"/>
  <c r="K134" i="4"/>
  <c r="K237" i="4" s="1"/>
  <c r="I134" i="4"/>
  <c r="F135" i="5"/>
  <c r="S135" i="4"/>
  <c r="S238" i="4" s="1"/>
  <c r="Q135" i="4"/>
  <c r="Q238" i="4" s="1"/>
  <c r="O135" i="4"/>
  <c r="O238" i="4" s="1"/>
  <c r="M135" i="4"/>
  <c r="M238" i="4" s="1"/>
  <c r="K135" i="4"/>
  <c r="K238" i="4" s="1"/>
  <c r="I135" i="4"/>
  <c r="E136" i="5"/>
  <c r="S136" i="4"/>
  <c r="S239" i="4" s="1"/>
  <c r="Q136" i="4"/>
  <c r="Q239" i="4" s="1"/>
  <c r="O136" i="4"/>
  <c r="O239" i="4" s="1"/>
  <c r="M136" i="4"/>
  <c r="M239" i="4" s="1"/>
  <c r="K136" i="4"/>
  <c r="K239" i="4" s="1"/>
  <c r="I136" i="4"/>
  <c r="Q137" i="4"/>
  <c r="Q240" i="4" s="1"/>
  <c r="L137" i="4"/>
  <c r="N137" i="4"/>
  <c r="K137" i="4"/>
  <c r="K240" i="4" s="1"/>
  <c r="I137" i="4"/>
  <c r="E107" i="5"/>
  <c r="Q107" i="4"/>
  <c r="M107" i="4"/>
  <c r="T107" i="4" s="1"/>
  <c r="O108" i="4"/>
  <c r="E137" i="6"/>
  <c r="P137" i="5"/>
  <c r="P240" i="5" s="1"/>
  <c r="L137" i="5"/>
  <c r="L240" i="5" s="1"/>
  <c r="H137" i="5"/>
  <c r="R108" i="4"/>
  <c r="I122" i="5"/>
  <c r="I225" i="5" s="1"/>
  <c r="J126" i="5"/>
  <c r="J229" i="5" s="1"/>
  <c r="N126" i="5"/>
  <c r="N229" i="5" s="1"/>
  <c r="R126" i="5"/>
  <c r="R229" i="5" s="1"/>
  <c r="M137" i="5"/>
  <c r="M240" i="5" s="1"/>
  <c r="R137" i="5"/>
  <c r="R240" i="5" s="1"/>
  <c r="Q88" i="6" l="1"/>
  <c r="N65" i="9"/>
  <c r="H229" i="4"/>
  <c r="T229" i="4" s="1"/>
  <c r="T126" i="4"/>
  <c r="K48" i="5"/>
  <c r="K207" i="5"/>
  <c r="T138" i="5"/>
  <c r="I244" i="3"/>
  <c r="I115" i="3"/>
  <c r="I150" i="3" s="1"/>
  <c r="F112" i="7"/>
  <c r="R89" i="9" s="1"/>
  <c r="O89" i="9"/>
  <c r="J191" i="4"/>
  <c r="J189" i="4"/>
  <c r="J190" i="4"/>
  <c r="J188" i="4"/>
  <c r="T108" i="6"/>
  <c r="T89" i="4"/>
  <c r="T108" i="4"/>
  <c r="T125" i="5"/>
  <c r="H228" i="5"/>
  <c r="T228" i="5" s="1"/>
  <c r="J230" i="4"/>
  <c r="T127" i="4"/>
  <c r="J190" i="7"/>
  <c r="H190" i="7"/>
  <c r="L190" i="7"/>
  <c r="K190" i="7"/>
  <c r="I190" i="7"/>
  <c r="E233" i="7"/>
  <c r="Q173" i="9" s="1"/>
  <c r="N173" i="9"/>
  <c r="H123" i="5"/>
  <c r="E123" i="6"/>
  <c r="Q123" i="5"/>
  <c r="Q226" i="5" s="1"/>
  <c r="R123" i="5"/>
  <c r="R226" i="5" s="1"/>
  <c r="M123" i="5"/>
  <c r="M226" i="5" s="1"/>
  <c r="P123" i="5"/>
  <c r="P226" i="5" s="1"/>
  <c r="N123" i="5"/>
  <c r="N226" i="5" s="1"/>
  <c r="K123" i="5"/>
  <c r="K226" i="5" s="1"/>
  <c r="L123" i="5"/>
  <c r="L226" i="5" s="1"/>
  <c r="I123" i="5"/>
  <c r="I226" i="5" s="1"/>
  <c r="J123" i="5"/>
  <c r="J226" i="5" s="1"/>
  <c r="K98" i="9"/>
  <c r="S123" i="5"/>
  <c r="S226" i="5" s="1"/>
  <c r="O123" i="5"/>
  <c r="O226" i="5" s="1"/>
  <c r="E88" i="7"/>
  <c r="G88" i="7"/>
  <c r="S65" i="9" s="1"/>
  <c r="P65" i="9"/>
  <c r="H189" i="7"/>
  <c r="I189" i="7"/>
  <c r="L189" i="7"/>
  <c r="K189" i="7"/>
  <c r="J189" i="7"/>
  <c r="B14" i="6"/>
  <c r="C172" i="5"/>
  <c r="C206" i="5"/>
  <c r="R102" i="4"/>
  <c r="K113" i="3"/>
  <c r="K65" i="5"/>
  <c r="T105" i="4"/>
  <c r="O110" i="4"/>
  <c r="O113" i="4" s="1"/>
  <c r="O243" i="4"/>
  <c r="O111" i="4"/>
  <c r="O112" i="4"/>
  <c r="I91" i="5"/>
  <c r="L91" i="5"/>
  <c r="E91" i="6"/>
  <c r="N91" i="5"/>
  <c r="J91" i="5"/>
  <c r="M91" i="5"/>
  <c r="S91" i="5"/>
  <c r="O91" i="5"/>
  <c r="K68" i="9"/>
  <c r="K91" i="5"/>
  <c r="P91" i="5"/>
  <c r="H91" i="5"/>
  <c r="Q91" i="5"/>
  <c r="R91" i="5"/>
  <c r="O82" i="9"/>
  <c r="F105" i="7"/>
  <c r="R82" i="9" s="1"/>
  <c r="K170" i="9"/>
  <c r="E230" i="6"/>
  <c r="K58" i="5"/>
  <c r="K218" i="5" s="1"/>
  <c r="K108" i="9"/>
  <c r="R133" i="5"/>
  <c r="R236" i="5" s="1"/>
  <c r="J133" i="5"/>
  <c r="J236" i="5" s="1"/>
  <c r="M133" i="5"/>
  <c r="M236" i="5" s="1"/>
  <c r="P133" i="5"/>
  <c r="P236" i="5" s="1"/>
  <c r="I133" i="5"/>
  <c r="I236" i="5" s="1"/>
  <c r="L133" i="5"/>
  <c r="L236" i="5" s="1"/>
  <c r="H133" i="5"/>
  <c r="H236" i="5" s="1"/>
  <c r="N133" i="5"/>
  <c r="N236" i="5" s="1"/>
  <c r="K133" i="5"/>
  <c r="S133" i="5"/>
  <c r="S236" i="5" s="1"/>
  <c r="O133" i="5"/>
  <c r="O236" i="5" s="1"/>
  <c r="E133" i="6"/>
  <c r="Q133" i="5"/>
  <c r="Q236" i="5" s="1"/>
  <c r="E23" i="6"/>
  <c r="K16" i="9"/>
  <c r="S28" i="5"/>
  <c r="J137" i="5"/>
  <c r="J240" i="5" s="1"/>
  <c r="I137" i="5"/>
  <c r="I240" i="5" s="1"/>
  <c r="K112" i="9"/>
  <c r="S137" i="5"/>
  <c r="S240" i="5" s="1"/>
  <c r="O137" i="5"/>
  <c r="O240" i="5" s="1"/>
  <c r="S108" i="7"/>
  <c r="M108" i="7"/>
  <c r="P108" i="7"/>
  <c r="H108" i="7"/>
  <c r="T108" i="7" s="1"/>
  <c r="L108" i="7"/>
  <c r="Q108" i="7"/>
  <c r="I108" i="7"/>
  <c r="N108" i="7"/>
  <c r="Q85" i="9"/>
  <c r="K108" i="7"/>
  <c r="T151" i="3"/>
  <c r="K282" i="7"/>
  <c r="K283" i="7" s="1"/>
  <c r="E132" i="6"/>
  <c r="Q132" i="5"/>
  <c r="Q235" i="5" s="1"/>
  <c r="O132" i="5"/>
  <c r="O235" i="5" s="1"/>
  <c r="P132" i="5"/>
  <c r="P235" i="5" s="1"/>
  <c r="K132" i="5"/>
  <c r="K235" i="5" s="1"/>
  <c r="N132" i="5"/>
  <c r="N235" i="5" s="1"/>
  <c r="I132" i="5"/>
  <c r="I235" i="5" s="1"/>
  <c r="L132" i="5"/>
  <c r="L235" i="5" s="1"/>
  <c r="J132" i="5"/>
  <c r="J235" i="5" s="1"/>
  <c r="K107" i="9"/>
  <c r="H132" i="5"/>
  <c r="S132" i="5"/>
  <c r="S235" i="5" s="1"/>
  <c r="R132" i="5"/>
  <c r="R235" i="5" s="1"/>
  <c r="M132" i="5"/>
  <c r="M235" i="5" s="1"/>
  <c r="T91" i="4"/>
  <c r="Q131" i="5"/>
  <c r="Q234" i="5" s="1"/>
  <c r="K106" i="9"/>
  <c r="K131" i="5"/>
  <c r="K234" i="5" s="1"/>
  <c r="I131" i="5"/>
  <c r="I234" i="5" s="1"/>
  <c r="E131" i="6"/>
  <c r="M131" i="5"/>
  <c r="M234" i="5" s="1"/>
  <c r="J131" i="5"/>
  <c r="J234" i="5" s="1"/>
  <c r="P131" i="5"/>
  <c r="P234" i="5" s="1"/>
  <c r="L131" i="5"/>
  <c r="L234" i="5" s="1"/>
  <c r="H131" i="5"/>
  <c r="S131" i="5"/>
  <c r="S234" i="5" s="1"/>
  <c r="R131" i="5"/>
  <c r="R234" i="5" s="1"/>
  <c r="O131" i="5"/>
  <c r="O234" i="5" s="1"/>
  <c r="N131" i="5"/>
  <c r="N234" i="5" s="1"/>
  <c r="L213" i="3"/>
  <c r="L56" i="3"/>
  <c r="L216" i="3" s="1"/>
  <c r="L205" i="3"/>
  <c r="L63" i="3"/>
  <c r="L46" i="3"/>
  <c r="Q114" i="9"/>
  <c r="I139" i="7"/>
  <c r="I242" i="7" s="1"/>
  <c r="L139" i="7"/>
  <c r="L242" i="7" s="1"/>
  <c r="O139" i="7"/>
  <c r="O242" i="7" s="1"/>
  <c r="P139" i="7"/>
  <c r="P242" i="7" s="1"/>
  <c r="H139" i="7"/>
  <c r="H242" i="7" s="1"/>
  <c r="T242" i="7" s="1"/>
  <c r="S139" i="7"/>
  <c r="S242" i="7" s="1"/>
  <c r="N139" i="7"/>
  <c r="N242" i="7" s="1"/>
  <c r="R139" i="7"/>
  <c r="R242" i="7" s="1"/>
  <c r="Q139" i="7"/>
  <c r="Q242" i="7" s="1"/>
  <c r="M139" i="7"/>
  <c r="M242" i="7" s="1"/>
  <c r="M244" i="3"/>
  <c r="M115" i="3"/>
  <c r="M150" i="3" s="1"/>
  <c r="H226" i="4"/>
  <c r="T123" i="4"/>
  <c r="K84" i="4"/>
  <c r="K186" i="4"/>
  <c r="K203" i="4"/>
  <c r="K251" i="4"/>
  <c r="K118" i="4"/>
  <c r="K53" i="4"/>
  <c r="K144" i="4"/>
  <c r="K27" i="4"/>
  <c r="K28" i="4" s="1"/>
  <c r="K44" i="4"/>
  <c r="L4" i="4"/>
  <c r="K19" i="4"/>
  <c r="K20" i="4" s="1"/>
  <c r="K11" i="4"/>
  <c r="K12" i="4" s="1"/>
  <c r="K102" i="4"/>
  <c r="H200" i="3"/>
  <c r="F87" i="6"/>
  <c r="L64" i="9"/>
  <c r="H48" i="2"/>
  <c r="I73" i="9"/>
  <c r="F121" i="6"/>
  <c r="L96" i="9"/>
  <c r="J278" i="4"/>
  <c r="J280" i="4"/>
  <c r="J272" i="4"/>
  <c r="J277" i="4"/>
  <c r="J281" i="4"/>
  <c r="J279" i="4"/>
  <c r="J274" i="4"/>
  <c r="R224" i="4"/>
  <c r="R141" i="4"/>
  <c r="R151" i="4" s="1"/>
  <c r="S102" i="4"/>
  <c r="T133" i="4"/>
  <c r="T98" i="7"/>
  <c r="T231" i="6"/>
  <c r="T100" i="4"/>
  <c r="N94" i="5"/>
  <c r="L94" i="5"/>
  <c r="J94" i="5"/>
  <c r="H94" i="5"/>
  <c r="T94" i="5" s="1"/>
  <c r="K71" i="9"/>
  <c r="S94" i="5"/>
  <c r="Q94" i="5"/>
  <c r="O94" i="5"/>
  <c r="M94" i="5"/>
  <c r="K94" i="5"/>
  <c r="E94" i="6"/>
  <c r="I94" i="5"/>
  <c r="R94" i="5"/>
  <c r="P94" i="5"/>
  <c r="Q90" i="5"/>
  <c r="R90" i="5"/>
  <c r="O90" i="5"/>
  <c r="E90" i="6"/>
  <c r="M90" i="5"/>
  <c r="K90" i="5"/>
  <c r="H90" i="5"/>
  <c r="K67" i="9"/>
  <c r="L90" i="5"/>
  <c r="S90" i="5"/>
  <c r="J90" i="5"/>
  <c r="N90" i="5"/>
  <c r="I90" i="5"/>
  <c r="P90" i="5"/>
  <c r="I88" i="5"/>
  <c r="Q88" i="5"/>
  <c r="O88" i="5"/>
  <c r="S88" i="5"/>
  <c r="L88" i="5"/>
  <c r="M88" i="5"/>
  <c r="H88" i="5"/>
  <c r="K88" i="5"/>
  <c r="K65" i="9"/>
  <c r="J88" i="5"/>
  <c r="R88" i="5"/>
  <c r="P88" i="5"/>
  <c r="N88" i="5"/>
  <c r="T87" i="4"/>
  <c r="L65" i="9"/>
  <c r="F88" i="6"/>
  <c r="S88" i="6" s="1"/>
  <c r="O106" i="9"/>
  <c r="F131" i="7"/>
  <c r="R106" i="9" s="1"/>
  <c r="F111" i="7"/>
  <c r="R88" i="9" s="1"/>
  <c r="O88" i="9"/>
  <c r="T226" i="4"/>
  <c r="J162" i="4"/>
  <c r="J165" i="4"/>
  <c r="J163" i="4"/>
  <c r="J161" i="4"/>
  <c r="J166" i="4" s="1"/>
  <c r="J245" i="4" s="1"/>
  <c r="J177" i="4"/>
  <c r="J173" i="4"/>
  <c r="J164" i="4"/>
  <c r="L28" i="5"/>
  <c r="N92" i="5"/>
  <c r="S92" i="5"/>
  <c r="K69" i="9"/>
  <c r="Q92" i="5"/>
  <c r="O92" i="5"/>
  <c r="J92" i="5"/>
  <c r="H92" i="5"/>
  <c r="R92" i="5"/>
  <c r="P92" i="5"/>
  <c r="M92" i="5"/>
  <c r="I92" i="5"/>
  <c r="K92" i="5"/>
  <c r="L92" i="5"/>
  <c r="E92" i="6"/>
  <c r="E237" i="7"/>
  <c r="Q177" i="9" s="1"/>
  <c r="N177" i="9"/>
  <c r="T231" i="4"/>
  <c r="O141" i="4"/>
  <c r="O151" i="4" s="1"/>
  <c r="K64" i="9"/>
  <c r="O87" i="5"/>
  <c r="K87" i="5"/>
  <c r="P87" i="5"/>
  <c r="Q87" i="5"/>
  <c r="I87" i="5"/>
  <c r="L87" i="5"/>
  <c r="E87" i="6"/>
  <c r="M87" i="5"/>
  <c r="R87" i="5"/>
  <c r="N87" i="5"/>
  <c r="J87" i="5"/>
  <c r="S87" i="5"/>
  <c r="H87" i="5"/>
  <c r="L134" i="5"/>
  <c r="L237" i="5" s="1"/>
  <c r="M134" i="5"/>
  <c r="M237" i="5" s="1"/>
  <c r="H134" i="5"/>
  <c r="I134" i="5"/>
  <c r="I237" i="5" s="1"/>
  <c r="F134" i="6"/>
  <c r="R134" i="5"/>
  <c r="R237" i="5" s="1"/>
  <c r="L109" i="9"/>
  <c r="S134" i="5"/>
  <c r="S237" i="5" s="1"/>
  <c r="P134" i="5"/>
  <c r="P237" i="5" s="1"/>
  <c r="Q134" i="5"/>
  <c r="Q237" i="5" s="1"/>
  <c r="N134" i="5"/>
  <c r="N237" i="5" s="1"/>
  <c r="O134" i="5"/>
  <c r="O237" i="5" s="1"/>
  <c r="J134" i="5"/>
  <c r="J237" i="5" s="1"/>
  <c r="K134" i="5"/>
  <c r="K237" i="5" s="1"/>
  <c r="J200" i="3"/>
  <c r="F127" i="6"/>
  <c r="L102" i="9"/>
  <c r="H241" i="4"/>
  <c r="T241" i="4" s="1"/>
  <c r="T138" i="4"/>
  <c r="F110" i="7"/>
  <c r="R87" i="9" s="1"/>
  <c r="O87" i="9"/>
  <c r="H224" i="4"/>
  <c r="T224" i="4" s="1"/>
  <c r="T121" i="4"/>
  <c r="H141" i="4"/>
  <c r="H151" i="4" s="1"/>
  <c r="T128" i="4"/>
  <c r="L67" i="3"/>
  <c r="T235" i="4"/>
  <c r="M282" i="5"/>
  <c r="T98" i="4"/>
  <c r="H228" i="4"/>
  <c r="T228" i="4" s="1"/>
  <c r="T125" i="4"/>
  <c r="O127" i="5"/>
  <c r="O230" i="5" s="1"/>
  <c r="J127" i="5"/>
  <c r="J230" i="5" s="1"/>
  <c r="K102" i="9"/>
  <c r="R125" i="6"/>
  <c r="R228" i="6" s="1"/>
  <c r="Q125" i="6"/>
  <c r="Q228" i="6" s="1"/>
  <c r="M125" i="6"/>
  <c r="M228" i="6" s="1"/>
  <c r="E125" i="7"/>
  <c r="I125" i="6"/>
  <c r="I228" i="6" s="1"/>
  <c r="H125" i="6"/>
  <c r="O125" i="6"/>
  <c r="O228" i="6" s="1"/>
  <c r="K125" i="6"/>
  <c r="K228" i="6" s="1"/>
  <c r="N125" i="6"/>
  <c r="N228" i="6" s="1"/>
  <c r="N100" i="9"/>
  <c r="P125" i="6"/>
  <c r="P228" i="6" s="1"/>
  <c r="L125" i="6"/>
  <c r="L228" i="6" s="1"/>
  <c r="S125" i="6"/>
  <c r="S228" i="6" s="1"/>
  <c r="J125" i="6"/>
  <c r="J228" i="6" s="1"/>
  <c r="E235" i="6"/>
  <c r="K175" i="9"/>
  <c r="T230" i="4"/>
  <c r="H130" i="5"/>
  <c r="P130" i="5"/>
  <c r="P233" i="5" s="1"/>
  <c r="R130" i="5"/>
  <c r="R233" i="5" s="1"/>
  <c r="L130" i="5"/>
  <c r="L233" i="5" s="1"/>
  <c r="N130" i="5"/>
  <c r="N233" i="5" s="1"/>
  <c r="K105" i="9"/>
  <c r="E130" i="6"/>
  <c r="J130" i="5"/>
  <c r="J233" i="5" s="1"/>
  <c r="Q130" i="5"/>
  <c r="Q233" i="5" s="1"/>
  <c r="O130" i="5"/>
  <c r="O233" i="5" s="1"/>
  <c r="M130" i="5"/>
  <c r="M233" i="5" s="1"/>
  <c r="K130" i="5"/>
  <c r="K233" i="5" s="1"/>
  <c r="I130" i="5"/>
  <c r="I233" i="5" s="1"/>
  <c r="S130" i="5"/>
  <c r="S233" i="5" s="1"/>
  <c r="F125" i="7"/>
  <c r="R100" i="9" s="1"/>
  <c r="O100" i="9"/>
  <c r="L102" i="4"/>
  <c r="T100" i="6"/>
  <c r="J220" i="3"/>
  <c r="J74" i="3"/>
  <c r="N166" i="9"/>
  <c r="E226" i="7"/>
  <c r="Q166" i="9" s="1"/>
  <c r="R106" i="4"/>
  <c r="R111" i="4"/>
  <c r="R110" i="4"/>
  <c r="R109" i="4"/>
  <c r="R243" i="4"/>
  <c r="R112" i="4"/>
  <c r="K115" i="3"/>
  <c r="K150" i="3" s="1"/>
  <c r="K244" i="3"/>
  <c r="M206" i="5"/>
  <c r="M64" i="5"/>
  <c r="M47" i="5"/>
  <c r="M57" i="5"/>
  <c r="M217" i="5" s="1"/>
  <c r="I110" i="4"/>
  <c r="I106" i="4"/>
  <c r="I111" i="4"/>
  <c r="I109" i="4"/>
  <c r="I112" i="4"/>
  <c r="I243" i="4"/>
  <c r="J112" i="4"/>
  <c r="J111" i="4"/>
  <c r="J243" i="4"/>
  <c r="J110" i="4"/>
  <c r="J106" i="4"/>
  <c r="J109" i="4"/>
  <c r="I239" i="4"/>
  <c r="T239" i="4" s="1"/>
  <c r="T136" i="4"/>
  <c r="I234" i="4"/>
  <c r="T234" i="4" s="1"/>
  <c r="T131" i="4"/>
  <c r="K99" i="5"/>
  <c r="J99" i="5"/>
  <c r="K76" i="9" s="1"/>
  <c r="H99" i="5"/>
  <c r="L99" i="5"/>
  <c r="M76" i="9"/>
  <c r="R99" i="5"/>
  <c r="P99" i="5"/>
  <c r="F99" i="6"/>
  <c r="S99" i="5"/>
  <c r="N99" i="5"/>
  <c r="Q99" i="5"/>
  <c r="O99" i="5"/>
  <c r="M99" i="5"/>
  <c r="I99" i="5"/>
  <c r="N4" i="3"/>
  <c r="M118" i="3"/>
  <c r="M53" i="3"/>
  <c r="M251" i="3"/>
  <c r="M203" i="3"/>
  <c r="M84" i="3"/>
  <c r="M186" i="3"/>
  <c r="M11" i="3"/>
  <c r="M44" i="3"/>
  <c r="M27" i="3"/>
  <c r="M19" i="3"/>
  <c r="M144" i="3"/>
  <c r="M224" i="5"/>
  <c r="N122" i="6"/>
  <c r="N225" i="6" s="1"/>
  <c r="H122" i="6"/>
  <c r="M122" i="6"/>
  <c r="M225" i="6" s="1"/>
  <c r="I122" i="6"/>
  <c r="I225" i="6" s="1"/>
  <c r="O97" i="9"/>
  <c r="F122" i="7"/>
  <c r="Q122" i="6"/>
  <c r="Q225" i="6" s="1"/>
  <c r="R122" i="6"/>
  <c r="R225" i="6" s="1"/>
  <c r="K122" i="6"/>
  <c r="K225" i="6" s="1"/>
  <c r="S122" i="6"/>
  <c r="S225" i="6" s="1"/>
  <c r="J122" i="6"/>
  <c r="J225" i="6" s="1"/>
  <c r="O122" i="6"/>
  <c r="O225" i="6" s="1"/>
  <c r="P122" i="6"/>
  <c r="P225" i="6" s="1"/>
  <c r="L122" i="6"/>
  <c r="L225" i="6" s="1"/>
  <c r="E66" i="6"/>
  <c r="L66" i="5"/>
  <c r="K45" i="9"/>
  <c r="S66" i="5"/>
  <c r="R66" i="5"/>
  <c r="O66" i="5"/>
  <c r="K66" i="5"/>
  <c r="N66" i="5"/>
  <c r="P66" i="5"/>
  <c r="M66" i="5"/>
  <c r="Q66" i="5"/>
  <c r="H66" i="5"/>
  <c r="J66" i="5"/>
  <c r="I66" i="5"/>
  <c r="K174" i="3"/>
  <c r="L125" i="9"/>
  <c r="I177" i="5"/>
  <c r="E176" i="6"/>
  <c r="J177" i="5"/>
  <c r="L177" i="5"/>
  <c r="M177" i="5"/>
  <c r="Q83" i="9"/>
  <c r="N82" i="9"/>
  <c r="M105" i="6"/>
  <c r="L105" i="6"/>
  <c r="N105" i="6"/>
  <c r="H105" i="6"/>
  <c r="K105" i="6"/>
  <c r="E105" i="7"/>
  <c r="J105" i="6"/>
  <c r="P105" i="6"/>
  <c r="R105" i="6"/>
  <c r="I105" i="6"/>
  <c r="Q105" i="6"/>
  <c r="O105" i="6"/>
  <c r="S105" i="6"/>
  <c r="H113" i="3"/>
  <c r="R76" i="9"/>
  <c r="R66" i="9"/>
  <c r="K231" i="7"/>
  <c r="T231" i="7" s="1"/>
  <c r="T128" i="7"/>
  <c r="N144" i="7"/>
  <c r="N53" i="7"/>
  <c r="N44" i="7"/>
  <c r="N203" i="7"/>
  <c r="N11" i="7"/>
  <c r="N12" i="7" s="1"/>
  <c r="N251" i="7"/>
  <c r="N186" i="7"/>
  <c r="N118" i="7"/>
  <c r="N84" i="7"/>
  <c r="O4" i="7"/>
  <c r="J170" i="3"/>
  <c r="L283" i="3"/>
  <c r="N240" i="4"/>
  <c r="N141" i="4"/>
  <c r="N151" i="4" s="1"/>
  <c r="Q135" i="5"/>
  <c r="Q238" i="5" s="1"/>
  <c r="L110" i="9"/>
  <c r="H135" i="5"/>
  <c r="N135" i="5"/>
  <c r="N238" i="5" s="1"/>
  <c r="J135" i="5"/>
  <c r="J238" i="5" s="1"/>
  <c r="P135" i="5"/>
  <c r="P238" i="5" s="1"/>
  <c r="M135" i="5"/>
  <c r="M238" i="5" s="1"/>
  <c r="L135" i="5"/>
  <c r="L238" i="5" s="1"/>
  <c r="S135" i="5"/>
  <c r="S238" i="5" s="1"/>
  <c r="F135" i="6"/>
  <c r="I135" i="5"/>
  <c r="I238" i="5" s="1"/>
  <c r="O135" i="5"/>
  <c r="O238" i="5" s="1"/>
  <c r="K135" i="5"/>
  <c r="K238" i="5" s="1"/>
  <c r="R135" i="5"/>
  <c r="R238" i="5" s="1"/>
  <c r="H39" i="3"/>
  <c r="I38" i="3"/>
  <c r="K70" i="9"/>
  <c r="M93" i="5"/>
  <c r="P93" i="5"/>
  <c r="N93" i="5"/>
  <c r="O93" i="5"/>
  <c r="I93" i="5"/>
  <c r="S93" i="5"/>
  <c r="K93" i="5"/>
  <c r="J93" i="5"/>
  <c r="Q93" i="5"/>
  <c r="H93" i="5"/>
  <c r="R93" i="5"/>
  <c r="L93" i="5"/>
  <c r="S232" i="4"/>
  <c r="S141" i="4"/>
  <c r="S151" i="4" s="1"/>
  <c r="J227" i="4"/>
  <c r="J141" i="4"/>
  <c r="J151" i="4" s="1"/>
  <c r="Q224" i="5"/>
  <c r="N224" i="5"/>
  <c r="I164" i="6"/>
  <c r="I162" i="6"/>
  <c r="I165" i="6"/>
  <c r="I163" i="6"/>
  <c r="I173" i="6"/>
  <c r="I161" i="6"/>
  <c r="N102" i="9"/>
  <c r="I127" i="6"/>
  <c r="I230" i="6" s="1"/>
  <c r="E127" i="7"/>
  <c r="O127" i="6"/>
  <c r="O230" i="6" s="1"/>
  <c r="Q127" i="6"/>
  <c r="Q230" i="6" s="1"/>
  <c r="P127" i="6"/>
  <c r="P230" i="6" s="1"/>
  <c r="R127" i="6"/>
  <c r="R230" i="6" s="1"/>
  <c r="J127" i="6"/>
  <c r="J230" i="6" s="1"/>
  <c r="N127" i="6"/>
  <c r="N230" i="6" s="1"/>
  <c r="M127" i="6"/>
  <c r="M230" i="6" s="1"/>
  <c r="L127" i="6"/>
  <c r="L230" i="6" s="1"/>
  <c r="K127" i="6"/>
  <c r="K230" i="6" s="1"/>
  <c r="H127" i="6"/>
  <c r="S127" i="6"/>
  <c r="S230" i="6" s="1"/>
  <c r="K225" i="5"/>
  <c r="M111" i="4"/>
  <c r="M110" i="4"/>
  <c r="M112" i="4"/>
  <c r="M106" i="4"/>
  <c r="M109" i="4"/>
  <c r="M243" i="4"/>
  <c r="T93" i="4"/>
  <c r="H102" i="4"/>
  <c r="F93" i="6"/>
  <c r="L70" i="9"/>
  <c r="F96" i="5"/>
  <c r="K166" i="3"/>
  <c r="K245" i="3" s="1"/>
  <c r="N43" i="9"/>
  <c r="E64" i="7"/>
  <c r="C207" i="5"/>
  <c r="B22" i="6"/>
  <c r="C174" i="5"/>
  <c r="H67" i="3"/>
  <c r="S111" i="3"/>
  <c r="S243" i="3"/>
  <c r="S109" i="3"/>
  <c r="S112" i="3"/>
  <c r="S110" i="3"/>
  <c r="S106" i="3"/>
  <c r="J113" i="3"/>
  <c r="O232" i="5"/>
  <c r="T232" i="5" s="1"/>
  <c r="T129" i="5"/>
  <c r="T124" i="4"/>
  <c r="I282" i="5"/>
  <c r="T89" i="6"/>
  <c r="M141" i="4"/>
  <c r="M151" i="4" s="1"/>
  <c r="L113" i="3"/>
  <c r="L274" i="5"/>
  <c r="L280" i="5"/>
  <c r="L278" i="5"/>
  <c r="L272" i="5"/>
  <c r="L277" i="5"/>
  <c r="L281" i="5"/>
  <c r="L279" i="5"/>
  <c r="K67" i="3"/>
  <c r="H282" i="6"/>
  <c r="H283" i="6" s="1"/>
  <c r="H216" i="5"/>
  <c r="S218" i="3"/>
  <c r="L282" i="7"/>
  <c r="L283" i="7" s="1"/>
  <c r="M165" i="5"/>
  <c r="M162" i="5"/>
  <c r="M164" i="5"/>
  <c r="M163" i="5"/>
  <c r="M173" i="5"/>
  <c r="M161" i="5"/>
  <c r="M283" i="5"/>
  <c r="H216" i="6"/>
  <c r="N17" i="9"/>
  <c r="S27" i="6"/>
  <c r="I27" i="6" s="1"/>
  <c r="I28" i="6" s="1"/>
  <c r="J27" i="6"/>
  <c r="J28" i="6" s="1"/>
  <c r="I67" i="4"/>
  <c r="T138" i="6"/>
  <c r="H241" i="6"/>
  <c r="T241" i="6" s="1"/>
  <c r="T232" i="4"/>
  <c r="L224" i="5"/>
  <c r="N96" i="9"/>
  <c r="N121" i="6"/>
  <c r="J121" i="6"/>
  <c r="O121" i="6"/>
  <c r="Q121" i="6"/>
  <c r="L121" i="6"/>
  <c r="M121" i="6"/>
  <c r="P121" i="6"/>
  <c r="S121" i="6"/>
  <c r="K121" i="6"/>
  <c r="R121" i="6"/>
  <c r="E121" i="7"/>
  <c r="H121" i="6"/>
  <c r="I121" i="6"/>
  <c r="H225" i="5"/>
  <c r="T122" i="5"/>
  <c r="H218" i="3"/>
  <c r="T129" i="4"/>
  <c r="O100" i="7"/>
  <c r="I100" i="7"/>
  <c r="R77" i="9"/>
  <c r="P100" i="7"/>
  <c r="Q77" i="9" s="1"/>
  <c r="K100" i="7"/>
  <c r="S100" i="7"/>
  <c r="J100" i="7"/>
  <c r="L100" i="7"/>
  <c r="N100" i="7"/>
  <c r="M100" i="7"/>
  <c r="Q100" i="7"/>
  <c r="H100" i="7"/>
  <c r="R100" i="7"/>
  <c r="J166" i="7"/>
  <c r="Q243" i="4"/>
  <c r="Q112" i="4"/>
  <c r="Q109" i="4"/>
  <c r="Q106" i="4"/>
  <c r="Q110" i="4"/>
  <c r="Q111" i="4"/>
  <c r="S67" i="4"/>
  <c r="T141" i="3"/>
  <c r="G55" i="2" s="1"/>
  <c r="M190" i="7"/>
  <c r="M191" i="7"/>
  <c r="M188" i="7"/>
  <c r="M189" i="7"/>
  <c r="M138" i="7"/>
  <c r="M241" i="7" s="1"/>
  <c r="S138" i="7"/>
  <c r="S241" i="7" s="1"/>
  <c r="O138" i="7"/>
  <c r="O241" i="7" s="1"/>
  <c r="K138" i="7"/>
  <c r="K241" i="7" s="1"/>
  <c r="Q113" i="9"/>
  <c r="N138" i="7"/>
  <c r="N241" i="7" s="1"/>
  <c r="L138" i="7"/>
  <c r="L241" i="7" s="1"/>
  <c r="Q138" i="7"/>
  <c r="Q241" i="7" s="1"/>
  <c r="J138" i="7"/>
  <c r="J241" i="7" s="1"/>
  <c r="H138" i="7"/>
  <c r="P138" i="7"/>
  <c r="P241" i="7" s="1"/>
  <c r="I138" i="7"/>
  <c r="I241" i="7" s="1"/>
  <c r="R138" i="7"/>
  <c r="R241" i="7" s="1"/>
  <c r="E137" i="7"/>
  <c r="N112" i="9"/>
  <c r="Q137" i="6"/>
  <c r="Q240" i="6" s="1"/>
  <c r="H137" i="6"/>
  <c r="M137" i="6"/>
  <c r="M240" i="6" s="1"/>
  <c r="I137" i="6"/>
  <c r="I240" i="6" s="1"/>
  <c r="J137" i="6"/>
  <c r="J240" i="6" s="1"/>
  <c r="L137" i="6"/>
  <c r="L240" i="6" s="1"/>
  <c r="N137" i="6"/>
  <c r="N240" i="6" s="1"/>
  <c r="S137" i="6"/>
  <c r="S240" i="6" s="1"/>
  <c r="R137" i="6"/>
  <c r="R240" i="6" s="1"/>
  <c r="K137" i="6"/>
  <c r="K240" i="6" s="1"/>
  <c r="O137" i="6"/>
  <c r="O240" i="6" s="1"/>
  <c r="P137" i="6"/>
  <c r="P240" i="6" s="1"/>
  <c r="E107" i="6"/>
  <c r="P107" i="5"/>
  <c r="L107" i="5"/>
  <c r="H107" i="5"/>
  <c r="R107" i="5"/>
  <c r="M107" i="5"/>
  <c r="K84" i="9"/>
  <c r="Q107" i="5"/>
  <c r="K107" i="5"/>
  <c r="J107" i="5"/>
  <c r="S107" i="5"/>
  <c r="I107" i="5"/>
  <c r="N107" i="5"/>
  <c r="O107" i="5"/>
  <c r="L240" i="4"/>
  <c r="L141" i="4"/>
  <c r="L151" i="4" s="1"/>
  <c r="E136" i="6"/>
  <c r="S136" i="5"/>
  <c r="S239" i="5" s="1"/>
  <c r="P136" i="5"/>
  <c r="P239" i="5" s="1"/>
  <c r="L136" i="5"/>
  <c r="L239" i="5" s="1"/>
  <c r="H136" i="5"/>
  <c r="H141" i="5" s="1"/>
  <c r="R136" i="5"/>
  <c r="R239" i="5" s="1"/>
  <c r="O136" i="5"/>
  <c r="O239" i="5" s="1"/>
  <c r="K136" i="5"/>
  <c r="K239" i="5" s="1"/>
  <c r="I136" i="5"/>
  <c r="I239" i="5" s="1"/>
  <c r="N136" i="5"/>
  <c r="N239" i="5" s="1"/>
  <c r="Q136" i="5"/>
  <c r="Q239" i="5" s="1"/>
  <c r="M136" i="5"/>
  <c r="M239" i="5" s="1"/>
  <c r="J136" i="5"/>
  <c r="J239" i="5" s="1"/>
  <c r="K111" i="9"/>
  <c r="I237" i="4"/>
  <c r="T237" i="4" s="1"/>
  <c r="T134" i="4"/>
  <c r="I233" i="4"/>
  <c r="T130" i="4"/>
  <c r="I141" i="4"/>
  <c r="Q233" i="4"/>
  <c r="Q141" i="4"/>
  <c r="Q151" i="4" s="1"/>
  <c r="G93" i="6"/>
  <c r="E93" i="6"/>
  <c r="M70" i="9"/>
  <c r="O225" i="5"/>
  <c r="T127" i="5"/>
  <c r="H230" i="5"/>
  <c r="P227" i="4"/>
  <c r="P141" i="4"/>
  <c r="P151" i="4" s="1"/>
  <c r="H224" i="5"/>
  <c r="T121" i="5"/>
  <c r="P224" i="5"/>
  <c r="S230" i="5"/>
  <c r="N11" i="9"/>
  <c r="E15" i="7"/>
  <c r="Q11" i="9" s="1"/>
  <c r="K125" i="9"/>
  <c r="D176" i="6"/>
  <c r="E218" i="7"/>
  <c r="Q158" i="9" s="1"/>
  <c r="N158" i="9"/>
  <c r="T66" i="4"/>
  <c r="H33" i="2" s="1"/>
  <c r="F196" i="7"/>
  <c r="S140" i="9" s="1"/>
  <c r="P140" i="9"/>
  <c r="P110" i="4"/>
  <c r="P111" i="4"/>
  <c r="P109" i="4"/>
  <c r="P243" i="4"/>
  <c r="P106" i="4"/>
  <c r="P112" i="4"/>
  <c r="T172" i="6"/>
  <c r="L127" i="9"/>
  <c r="E179" i="6"/>
  <c r="Q66" i="9"/>
  <c r="L89" i="7"/>
  <c r="P89" i="7"/>
  <c r="R89" i="7"/>
  <c r="J89" i="7"/>
  <c r="Q89" i="7"/>
  <c r="S89" i="7"/>
  <c r="H89" i="7"/>
  <c r="K89" i="7"/>
  <c r="O89" i="7"/>
  <c r="M89" i="7"/>
  <c r="N89" i="7"/>
  <c r="I89" i="7"/>
  <c r="J282" i="7"/>
  <c r="J283" i="7" s="1"/>
  <c r="L165" i="5"/>
  <c r="L163" i="5"/>
  <c r="L164" i="5"/>
  <c r="L162" i="5"/>
  <c r="L161" i="5"/>
  <c r="L173" i="5"/>
  <c r="L256" i="3"/>
  <c r="L266" i="3"/>
  <c r="L268" i="3" s="1"/>
  <c r="H67" i="4"/>
  <c r="S205" i="7"/>
  <c r="S56" i="7"/>
  <c r="S46" i="7"/>
  <c r="S213" i="7"/>
  <c r="S63" i="7"/>
  <c r="N84" i="5"/>
  <c r="N251" i="5"/>
  <c r="N186" i="5"/>
  <c r="N203" i="5"/>
  <c r="N44" i="5"/>
  <c r="N144" i="5"/>
  <c r="N27" i="5"/>
  <c r="N28" i="5" s="1"/>
  <c r="N19" i="5"/>
  <c r="N20" i="5" s="1"/>
  <c r="O4" i="5"/>
  <c r="N11" i="5"/>
  <c r="N12" i="5" s="1"/>
  <c r="N118" i="5"/>
  <c r="N53" i="5"/>
  <c r="M207" i="5"/>
  <c r="M58" i="5"/>
  <c r="M218" i="5" s="1"/>
  <c r="M48" i="5"/>
  <c r="M65" i="5"/>
  <c r="H245" i="5"/>
  <c r="M164" i="7"/>
  <c r="M165" i="7"/>
  <c r="M161" i="7"/>
  <c r="M163" i="7"/>
  <c r="M162" i="7"/>
  <c r="M173" i="7"/>
  <c r="M213" i="7"/>
  <c r="M205" i="7"/>
  <c r="M56" i="7"/>
  <c r="M63" i="7"/>
  <c r="M46" i="7"/>
  <c r="K216" i="7"/>
  <c r="T126" i="5"/>
  <c r="I229" i="5"/>
  <c r="T229" i="5" s="1"/>
  <c r="I220" i="3"/>
  <c r="I74" i="3"/>
  <c r="F95" i="6"/>
  <c r="N95" i="5"/>
  <c r="K95" i="5"/>
  <c r="I95" i="5"/>
  <c r="J95" i="5"/>
  <c r="H95" i="5"/>
  <c r="L72" i="9"/>
  <c r="M95" i="5"/>
  <c r="S95" i="5"/>
  <c r="Q95" i="5"/>
  <c r="L95" i="5"/>
  <c r="R95" i="5"/>
  <c r="P95" i="5"/>
  <c r="O95" i="5"/>
  <c r="E174" i="7"/>
  <c r="O124" i="9"/>
  <c r="L109" i="4"/>
  <c r="L106" i="4"/>
  <c r="L111" i="4"/>
  <c r="L243" i="4"/>
  <c r="L110" i="4"/>
  <c r="L112" i="4"/>
  <c r="S109" i="4"/>
  <c r="S106" i="4"/>
  <c r="S111" i="4"/>
  <c r="S112" i="4"/>
  <c r="S110" i="4"/>
  <c r="S243" i="4"/>
  <c r="J282" i="5"/>
  <c r="J283" i="5" s="1"/>
  <c r="I216" i="4"/>
  <c r="I282" i="4"/>
  <c r="T137" i="5"/>
  <c r="H240" i="5"/>
  <c r="T240" i="5" s="1"/>
  <c r="T137" i="4"/>
  <c r="I240" i="4"/>
  <c r="T240" i="4" s="1"/>
  <c r="I238" i="4"/>
  <c r="T238" i="4" s="1"/>
  <c r="T135" i="4"/>
  <c r="F126" i="7"/>
  <c r="K126" i="6"/>
  <c r="K229" i="6" s="1"/>
  <c r="H126" i="6"/>
  <c r="L126" i="6"/>
  <c r="L229" i="6" s="1"/>
  <c r="R126" i="6"/>
  <c r="R229" i="6" s="1"/>
  <c r="Q126" i="6"/>
  <c r="Q229" i="6" s="1"/>
  <c r="P126" i="6"/>
  <c r="P229" i="6" s="1"/>
  <c r="O126" i="6"/>
  <c r="O229" i="6" s="1"/>
  <c r="J126" i="6"/>
  <c r="J229" i="6" s="1"/>
  <c r="I126" i="6"/>
  <c r="I229" i="6" s="1"/>
  <c r="S126" i="6"/>
  <c r="S229" i="6" s="1"/>
  <c r="M126" i="6"/>
  <c r="M229" i="6" s="1"/>
  <c r="N126" i="6"/>
  <c r="N229" i="6" s="1"/>
  <c r="O101" i="9"/>
  <c r="L162" i="3"/>
  <c r="L173" i="3"/>
  <c r="L165" i="3"/>
  <c r="L177" i="3"/>
  <c r="L161" i="3"/>
  <c r="L175" i="3"/>
  <c r="L174" i="3" s="1"/>
  <c r="L163" i="3"/>
  <c r="L164" i="3"/>
  <c r="O112" i="9"/>
  <c r="F137" i="7"/>
  <c r="R112" i="9" s="1"/>
  <c r="L72" i="3"/>
  <c r="L71" i="3"/>
  <c r="L70" i="3"/>
  <c r="L73" i="3"/>
  <c r="I224" i="5"/>
  <c r="I141" i="5"/>
  <c r="I151" i="5" s="1"/>
  <c r="J224" i="5"/>
  <c r="J141" i="5"/>
  <c r="J151" i="5" s="1"/>
  <c r="R224" i="5"/>
  <c r="J84" i="6"/>
  <c r="J251" i="6"/>
  <c r="J186" i="6"/>
  <c r="J53" i="6"/>
  <c r="K4" i="6"/>
  <c r="K27" i="6" s="1"/>
  <c r="K28" i="6" s="1"/>
  <c r="J203" i="6"/>
  <c r="J118" i="6"/>
  <c r="J144" i="6"/>
  <c r="J44" i="6"/>
  <c r="J11" i="6"/>
  <c r="N102" i="4"/>
  <c r="K112" i="4"/>
  <c r="K243" i="4"/>
  <c r="K106" i="4"/>
  <c r="K111" i="4"/>
  <c r="K109" i="4"/>
  <c r="K110" i="4"/>
  <c r="E243" i="6"/>
  <c r="K183" i="9"/>
  <c r="H242" i="5"/>
  <c r="T242" i="5" s="1"/>
  <c r="T139" i="5"/>
  <c r="R243" i="3"/>
  <c r="T243" i="3" s="1"/>
  <c r="R111" i="3"/>
  <c r="T111" i="3" s="1"/>
  <c r="R109" i="3"/>
  <c r="T109" i="3" s="1"/>
  <c r="R106" i="3"/>
  <c r="R112" i="3"/>
  <c r="T112" i="3" s="1"/>
  <c r="R110" i="3"/>
  <c r="T110" i="3" s="1"/>
  <c r="T105" i="5"/>
  <c r="M129" i="6"/>
  <c r="M232" i="6" s="1"/>
  <c r="L129" i="6"/>
  <c r="L232" i="6" s="1"/>
  <c r="O104" i="9"/>
  <c r="Q129" i="6"/>
  <c r="Q232" i="6" s="1"/>
  <c r="H129" i="6"/>
  <c r="N129" i="6"/>
  <c r="N232" i="6" s="1"/>
  <c r="F129" i="7"/>
  <c r="I129" i="6"/>
  <c r="I232" i="6" s="1"/>
  <c r="K129" i="6"/>
  <c r="K232" i="6" s="1"/>
  <c r="J129" i="6"/>
  <c r="J232" i="6" s="1"/>
  <c r="S129" i="6"/>
  <c r="S232" i="6" s="1"/>
  <c r="R129" i="6"/>
  <c r="R232" i="6" s="1"/>
  <c r="P129" i="6"/>
  <c r="P232" i="6" s="1"/>
  <c r="O129" i="6"/>
  <c r="O232" i="6" s="1"/>
  <c r="R69" i="9"/>
  <c r="T102" i="3"/>
  <c r="G49" i="2" s="1"/>
  <c r="K141" i="4"/>
  <c r="K151" i="4" s="1"/>
  <c r="J218" i="3"/>
  <c r="L12" i="5"/>
  <c r="Q113" i="3"/>
  <c r="P113" i="3"/>
  <c r="H216" i="4"/>
  <c r="E16" i="6"/>
  <c r="S20" i="5"/>
  <c r="L19" i="5"/>
  <c r="L20" i="5" s="1"/>
  <c r="K19" i="5"/>
  <c r="K20" i="5" s="1"/>
  <c r="H19" i="5"/>
  <c r="I19" i="5"/>
  <c r="I20" i="5" s="1"/>
  <c r="J19" i="5"/>
  <c r="J20" i="5" s="1"/>
  <c r="I216" i="6"/>
  <c r="I12" i="7"/>
  <c r="M205" i="5"/>
  <c r="M213" i="5"/>
  <c r="M46" i="5"/>
  <c r="M63" i="5"/>
  <c r="M56" i="5"/>
  <c r="H282" i="7"/>
  <c r="I266" i="3"/>
  <c r="I256" i="3"/>
  <c r="J207" i="5"/>
  <c r="J48" i="5"/>
  <c r="J65" i="5"/>
  <c r="J58" i="5"/>
  <c r="J218" i="5" s="1"/>
  <c r="T124" i="7"/>
  <c r="H227" i="7"/>
  <c r="T227" i="7" s="1"/>
  <c r="H216" i="7"/>
  <c r="I218" i="4"/>
  <c r="H58" i="5"/>
  <c r="H65" i="5"/>
  <c r="H48" i="5"/>
  <c r="H207" i="5"/>
  <c r="M282" i="7"/>
  <c r="M283" i="7" s="1"/>
  <c r="T128" i="6"/>
  <c r="J216" i="7"/>
  <c r="O115" i="4" l="1"/>
  <c r="O150" i="4" s="1"/>
  <c r="O244" i="4"/>
  <c r="O64" i="9"/>
  <c r="F87" i="7"/>
  <c r="R64" i="9" s="1"/>
  <c r="T89" i="7"/>
  <c r="E130" i="7"/>
  <c r="I130" i="6"/>
  <c r="I233" i="6" s="1"/>
  <c r="N105" i="9"/>
  <c r="P130" i="6"/>
  <c r="P233" i="6" s="1"/>
  <c r="L130" i="6"/>
  <c r="L233" i="6" s="1"/>
  <c r="M130" i="6"/>
  <c r="M233" i="6" s="1"/>
  <c r="S130" i="6"/>
  <c r="S233" i="6" s="1"/>
  <c r="H130" i="6"/>
  <c r="K130" i="6"/>
  <c r="K233" i="6" s="1"/>
  <c r="O130" i="6"/>
  <c r="O233" i="6" s="1"/>
  <c r="R130" i="6"/>
  <c r="R233" i="6" s="1"/>
  <c r="J130" i="6"/>
  <c r="J233" i="6" s="1"/>
  <c r="Q130" i="6"/>
  <c r="Q233" i="6" s="1"/>
  <c r="N130" i="6"/>
  <c r="N233" i="6" s="1"/>
  <c r="T92" i="5"/>
  <c r="H155" i="3"/>
  <c r="H256" i="3"/>
  <c r="H266" i="3"/>
  <c r="H268" i="3" s="1"/>
  <c r="K188" i="4"/>
  <c r="K190" i="4"/>
  <c r="K189" i="4"/>
  <c r="K191" i="4"/>
  <c r="O133" i="6"/>
  <c r="O236" i="6" s="1"/>
  <c r="M133" i="6"/>
  <c r="M236" i="6" s="1"/>
  <c r="Q133" i="6"/>
  <c r="Q236" i="6" s="1"/>
  <c r="J133" i="6"/>
  <c r="J236" i="6" s="1"/>
  <c r="P133" i="6"/>
  <c r="P236" i="6" s="1"/>
  <c r="S133" i="6"/>
  <c r="S236" i="6" s="1"/>
  <c r="R133" i="6"/>
  <c r="R236" i="6" s="1"/>
  <c r="I133" i="6"/>
  <c r="I236" i="6" s="1"/>
  <c r="L133" i="6"/>
  <c r="L236" i="6" s="1"/>
  <c r="N108" i="9"/>
  <c r="K133" i="6"/>
  <c r="K236" i="6" s="1"/>
  <c r="N133" i="6"/>
  <c r="N236" i="6" s="1"/>
  <c r="E133" i="7"/>
  <c r="H133" i="6"/>
  <c r="K88" i="6"/>
  <c r="M141" i="5"/>
  <c r="M151" i="5" s="1"/>
  <c r="I88" i="6"/>
  <c r="J282" i="4"/>
  <c r="J283" i="4" s="1"/>
  <c r="K63" i="4"/>
  <c r="K205" i="4"/>
  <c r="K213" i="4"/>
  <c r="K56" i="4"/>
  <c r="K216" i="4" s="1"/>
  <c r="K46" i="4"/>
  <c r="H234" i="5"/>
  <c r="T234" i="5" s="1"/>
  <c r="T131" i="5"/>
  <c r="N107" i="9"/>
  <c r="E132" i="7"/>
  <c r="Q132" i="6"/>
  <c r="Q235" i="6" s="1"/>
  <c r="J132" i="6"/>
  <c r="J235" i="6" s="1"/>
  <c r="P132" i="6"/>
  <c r="P235" i="6" s="1"/>
  <c r="O132" i="6"/>
  <c r="O235" i="6" s="1"/>
  <c r="R132" i="6"/>
  <c r="R235" i="6" s="1"/>
  <c r="N132" i="6"/>
  <c r="N235" i="6" s="1"/>
  <c r="K132" i="6"/>
  <c r="K235" i="6" s="1"/>
  <c r="I132" i="6"/>
  <c r="I235" i="6" s="1"/>
  <c r="H132" i="6"/>
  <c r="S132" i="6"/>
  <c r="S235" i="6" s="1"/>
  <c r="M132" i="6"/>
  <c r="M235" i="6" s="1"/>
  <c r="L132" i="6"/>
  <c r="L235" i="6" s="1"/>
  <c r="E230" i="7"/>
  <c r="Q170" i="9" s="1"/>
  <c r="N170" i="9"/>
  <c r="I88" i="7"/>
  <c r="L88" i="7"/>
  <c r="O88" i="7"/>
  <c r="Q65" i="9"/>
  <c r="J88" i="6"/>
  <c r="P113" i="4"/>
  <c r="P244" i="4" s="1"/>
  <c r="O141" i="5"/>
  <c r="O151" i="5" s="1"/>
  <c r="T227" i="4"/>
  <c r="N102" i="5"/>
  <c r="K57" i="4"/>
  <c r="K217" i="4" s="1"/>
  <c r="K206" i="4"/>
  <c r="K47" i="4"/>
  <c r="K64" i="4"/>
  <c r="T133" i="5"/>
  <c r="K236" i="5"/>
  <c r="M123" i="6"/>
  <c r="M226" i="6" s="1"/>
  <c r="Q123" i="6"/>
  <c r="Q226" i="6" s="1"/>
  <c r="K123" i="6"/>
  <c r="K226" i="6" s="1"/>
  <c r="N123" i="6"/>
  <c r="N226" i="6" s="1"/>
  <c r="N98" i="9"/>
  <c r="R123" i="6"/>
  <c r="R226" i="6" s="1"/>
  <c r="E123" i="7"/>
  <c r="P123" i="6"/>
  <c r="P226" i="6" s="1"/>
  <c r="S123" i="6"/>
  <c r="S226" i="6" s="1"/>
  <c r="J123" i="6"/>
  <c r="J226" i="6" s="1"/>
  <c r="H123" i="6"/>
  <c r="O123" i="6"/>
  <c r="O226" i="6" s="1"/>
  <c r="I123" i="6"/>
  <c r="I226" i="6" s="1"/>
  <c r="L123" i="6"/>
  <c r="L226" i="6" s="1"/>
  <c r="L88" i="6"/>
  <c r="I87" i="6"/>
  <c r="S87" i="6"/>
  <c r="J87" i="6"/>
  <c r="H87" i="6"/>
  <c r="L87" i="6"/>
  <c r="P87" i="6"/>
  <c r="Q87" i="6"/>
  <c r="R87" i="6"/>
  <c r="N87" i="6"/>
  <c r="K87" i="6"/>
  <c r="E87" i="7"/>
  <c r="M87" i="6"/>
  <c r="O87" i="6"/>
  <c r="N64" i="9"/>
  <c r="M4" i="4"/>
  <c r="L186" i="4"/>
  <c r="L118" i="4"/>
  <c r="L53" i="4"/>
  <c r="L203" i="4"/>
  <c r="L251" i="4"/>
  <c r="L84" i="4"/>
  <c r="L27" i="4"/>
  <c r="L28" i="4" s="1"/>
  <c r="L19" i="4"/>
  <c r="L20" i="4" s="1"/>
  <c r="L57" i="4" s="1"/>
  <c r="L44" i="4"/>
  <c r="L144" i="4"/>
  <c r="L11" i="4"/>
  <c r="L12" i="4" s="1"/>
  <c r="H235" i="5"/>
  <c r="T235" i="5" s="1"/>
  <c r="T132" i="5"/>
  <c r="H226" i="5"/>
  <c r="T226" i="5" s="1"/>
  <c r="T123" i="5"/>
  <c r="R88" i="6"/>
  <c r="K134" i="6"/>
  <c r="K237" i="6" s="1"/>
  <c r="R134" i="6"/>
  <c r="R237" i="6" s="1"/>
  <c r="L134" i="6"/>
  <c r="L237" i="6" s="1"/>
  <c r="Q134" i="6"/>
  <c r="Q237" i="6" s="1"/>
  <c r="H134" i="6"/>
  <c r="P134" i="6"/>
  <c r="P237" i="6" s="1"/>
  <c r="O134" i="6"/>
  <c r="O237" i="6" s="1"/>
  <c r="S134" i="6"/>
  <c r="S237" i="6" s="1"/>
  <c r="M134" i="6"/>
  <c r="M237" i="6" s="1"/>
  <c r="N134" i="6"/>
  <c r="N237" i="6" s="1"/>
  <c r="F134" i="7"/>
  <c r="O109" i="9"/>
  <c r="J134" i="6"/>
  <c r="J237" i="6" s="1"/>
  <c r="I134" i="6"/>
  <c r="I237" i="6" s="1"/>
  <c r="Q92" i="6"/>
  <c r="N92" i="6"/>
  <c r="P92" i="6"/>
  <c r="O92" i="6"/>
  <c r="M92" i="6"/>
  <c r="I92" i="6"/>
  <c r="N69" i="9"/>
  <c r="L92" i="6"/>
  <c r="H92" i="6"/>
  <c r="E92" i="7"/>
  <c r="K92" i="6"/>
  <c r="J92" i="6"/>
  <c r="R92" i="6"/>
  <c r="S92" i="6"/>
  <c r="T88" i="5"/>
  <c r="N94" i="6"/>
  <c r="S94" i="6"/>
  <c r="O94" i="6"/>
  <c r="N71" i="9"/>
  <c r="M94" i="6"/>
  <c r="J94" i="6"/>
  <c r="I94" i="6"/>
  <c r="H94" i="6"/>
  <c r="Q94" i="6"/>
  <c r="E94" i="7"/>
  <c r="L94" i="6"/>
  <c r="R94" i="6"/>
  <c r="P94" i="6"/>
  <c r="K94" i="6"/>
  <c r="T236" i="5"/>
  <c r="E91" i="7"/>
  <c r="N91" i="6"/>
  <c r="I91" i="6"/>
  <c r="H91" i="6"/>
  <c r="L91" i="6"/>
  <c r="P91" i="6"/>
  <c r="J91" i="6"/>
  <c r="N68" i="9"/>
  <c r="R91" i="6"/>
  <c r="M91" i="6"/>
  <c r="K91" i="6"/>
  <c r="O91" i="6"/>
  <c r="Q91" i="6"/>
  <c r="S91" i="6"/>
  <c r="P88" i="6"/>
  <c r="P141" i="5"/>
  <c r="P151" i="5" s="1"/>
  <c r="H233" i="5"/>
  <c r="T233" i="5" s="1"/>
  <c r="T130" i="5"/>
  <c r="H228" i="6"/>
  <c r="T125" i="6"/>
  <c r="F127" i="7"/>
  <c r="R102" i="9" s="1"/>
  <c r="O102" i="9"/>
  <c r="K58" i="4"/>
  <c r="K218" i="4" s="1"/>
  <c r="K65" i="4"/>
  <c r="K48" i="4"/>
  <c r="K207" i="4"/>
  <c r="C172" i="6"/>
  <c r="B14" i="7"/>
  <c r="C206" i="6"/>
  <c r="O88" i="6"/>
  <c r="R102" i="5"/>
  <c r="I113" i="4"/>
  <c r="I244" i="4" s="1"/>
  <c r="T228" i="6"/>
  <c r="J266" i="3"/>
  <c r="J268" i="3" s="1"/>
  <c r="J256" i="3"/>
  <c r="H237" i="5"/>
  <c r="T237" i="5" s="1"/>
  <c r="T134" i="5"/>
  <c r="L207" i="5"/>
  <c r="L48" i="5"/>
  <c r="L65" i="5"/>
  <c r="L58" i="5"/>
  <c r="L218" i="5" s="1"/>
  <c r="T90" i="5"/>
  <c r="F121" i="7"/>
  <c r="R96" i="9" s="1"/>
  <c r="O96" i="9"/>
  <c r="Q131" i="6"/>
  <c r="Q234" i="6" s="1"/>
  <c r="O131" i="6"/>
  <c r="O234" i="6" s="1"/>
  <c r="I131" i="6"/>
  <c r="I234" i="6" s="1"/>
  <c r="N131" i="6"/>
  <c r="N234" i="6" s="1"/>
  <c r="H131" i="6"/>
  <c r="S131" i="6"/>
  <c r="S234" i="6" s="1"/>
  <c r="E131" i="7"/>
  <c r="N106" i="9"/>
  <c r="K131" i="6"/>
  <c r="K234" i="6" s="1"/>
  <c r="P131" i="6"/>
  <c r="P234" i="6" s="1"/>
  <c r="J131" i="6"/>
  <c r="J234" i="6" s="1"/>
  <c r="M131" i="6"/>
  <c r="M234" i="6" s="1"/>
  <c r="L131" i="6"/>
  <c r="L234" i="6" s="1"/>
  <c r="R131" i="6"/>
  <c r="R234" i="6" s="1"/>
  <c r="T139" i="7"/>
  <c r="L125" i="7"/>
  <c r="L228" i="7" s="1"/>
  <c r="J125" i="7"/>
  <c r="J228" i="7" s="1"/>
  <c r="Q125" i="7"/>
  <c r="Q228" i="7" s="1"/>
  <c r="O125" i="7"/>
  <c r="O228" i="7" s="1"/>
  <c r="I125" i="7"/>
  <c r="I228" i="7" s="1"/>
  <c r="H125" i="7"/>
  <c r="M125" i="7"/>
  <c r="M228" i="7" s="1"/>
  <c r="Q100" i="9"/>
  <c r="N125" i="7"/>
  <c r="N228" i="7" s="1"/>
  <c r="R125" i="7"/>
  <c r="R228" i="7" s="1"/>
  <c r="P125" i="7"/>
  <c r="P228" i="7" s="1"/>
  <c r="S125" i="7"/>
  <c r="S228" i="7" s="1"/>
  <c r="K125" i="7"/>
  <c r="K228" i="7" s="1"/>
  <c r="O65" i="9"/>
  <c r="F88" i="7"/>
  <c r="R65" i="9" s="1"/>
  <c r="S207" i="5"/>
  <c r="S58" i="5"/>
  <c r="S218" i="5" s="1"/>
  <c r="S65" i="5"/>
  <c r="S48" i="5"/>
  <c r="T91" i="5"/>
  <c r="M88" i="6"/>
  <c r="R113" i="3"/>
  <c r="R244" i="3" s="1"/>
  <c r="N175" i="9"/>
  <c r="E235" i="7"/>
  <c r="Q175" i="9" s="1"/>
  <c r="K173" i="4"/>
  <c r="K163" i="4"/>
  <c r="K165" i="4"/>
  <c r="K162" i="4"/>
  <c r="K164" i="4"/>
  <c r="K161" i="4"/>
  <c r="H88" i="6"/>
  <c r="T87" i="5"/>
  <c r="L90" i="6"/>
  <c r="P90" i="6"/>
  <c r="E90" i="7"/>
  <c r="S90" i="6"/>
  <c r="N90" i="6"/>
  <c r="M90" i="6"/>
  <c r="O90" i="6"/>
  <c r="N67" i="9"/>
  <c r="H90" i="6"/>
  <c r="R90" i="6"/>
  <c r="Q90" i="6"/>
  <c r="J90" i="6"/>
  <c r="I90" i="6"/>
  <c r="K90" i="6"/>
  <c r="K278" i="4"/>
  <c r="K281" i="4"/>
  <c r="K279" i="4"/>
  <c r="K280" i="4"/>
  <c r="K274" i="4"/>
  <c r="K272" i="4"/>
  <c r="K277" i="4"/>
  <c r="N16" i="9"/>
  <c r="E23" i="7"/>
  <c r="Q16" i="9" s="1"/>
  <c r="N88" i="6"/>
  <c r="K58" i="6"/>
  <c r="K218" i="6" s="1"/>
  <c r="K48" i="6"/>
  <c r="K65" i="6"/>
  <c r="K207" i="6"/>
  <c r="S19" i="6"/>
  <c r="H19" i="6" s="1"/>
  <c r="N12" i="9"/>
  <c r="J19" i="6"/>
  <c r="J20" i="6" s="1"/>
  <c r="K19" i="6"/>
  <c r="K20" i="6" s="1"/>
  <c r="H229" i="6"/>
  <c r="T229" i="6" s="1"/>
  <c r="T126" i="6"/>
  <c r="H112" i="4"/>
  <c r="H243" i="4"/>
  <c r="H109" i="4"/>
  <c r="H111" i="4"/>
  <c r="H110" i="4"/>
  <c r="H106" i="4"/>
  <c r="T102" i="4"/>
  <c r="H49" i="2" s="1"/>
  <c r="H230" i="6"/>
  <c r="T230" i="6" s="1"/>
  <c r="T127" i="6"/>
  <c r="I39" i="3"/>
  <c r="J38" i="3"/>
  <c r="N279" i="7"/>
  <c r="N274" i="7"/>
  <c r="N280" i="7"/>
  <c r="N277" i="7"/>
  <c r="N281" i="7"/>
  <c r="N272" i="7"/>
  <c r="N278" i="7"/>
  <c r="I268" i="3"/>
  <c r="H283" i="7"/>
  <c r="M67" i="5"/>
  <c r="K206" i="5"/>
  <c r="K47" i="5"/>
  <c r="K57" i="5"/>
  <c r="K64" i="5"/>
  <c r="K67" i="5" s="1"/>
  <c r="L205" i="5"/>
  <c r="L56" i="5"/>
  <c r="L213" i="5"/>
  <c r="L63" i="5"/>
  <c r="L46" i="5"/>
  <c r="N129" i="7"/>
  <c r="N232" i="7" s="1"/>
  <c r="R129" i="7"/>
  <c r="R232" i="7" s="1"/>
  <c r="H129" i="7"/>
  <c r="O129" i="7"/>
  <c r="O232" i="7" s="1"/>
  <c r="Q129" i="7"/>
  <c r="Q232" i="7" s="1"/>
  <c r="M129" i="7"/>
  <c r="M232" i="7" s="1"/>
  <c r="S129" i="7"/>
  <c r="S232" i="7" s="1"/>
  <c r="J129" i="7"/>
  <c r="J232" i="7" s="1"/>
  <c r="I129" i="7"/>
  <c r="I232" i="7" s="1"/>
  <c r="L129" i="7"/>
  <c r="L232" i="7" s="1"/>
  <c r="R104" i="9"/>
  <c r="K129" i="7"/>
  <c r="K232" i="7" s="1"/>
  <c r="P129" i="7"/>
  <c r="P232" i="7" s="1"/>
  <c r="R141" i="5"/>
  <c r="R151" i="5" s="1"/>
  <c r="L221" i="3"/>
  <c r="S113" i="4"/>
  <c r="L113" i="4"/>
  <c r="T95" i="5"/>
  <c r="M216" i="7"/>
  <c r="O251" i="5"/>
  <c r="O11" i="5"/>
  <c r="P4" i="5"/>
  <c r="O44" i="5"/>
  <c r="O144" i="5"/>
  <c r="O118" i="5"/>
  <c r="O53" i="5"/>
  <c r="O84" i="5"/>
  <c r="O27" i="5"/>
  <c r="O186" i="5"/>
  <c r="O203" i="5"/>
  <c r="O19" i="5"/>
  <c r="O20" i="5" s="1"/>
  <c r="D176" i="7"/>
  <c r="Q125" i="9" s="1"/>
  <c r="N125" i="9"/>
  <c r="S141" i="5"/>
  <c r="S151" i="5" s="1"/>
  <c r="H151" i="5"/>
  <c r="T233" i="4"/>
  <c r="H239" i="5"/>
  <c r="T239" i="5" s="1"/>
  <c r="T136" i="5"/>
  <c r="N111" i="9"/>
  <c r="I136" i="6"/>
  <c r="I239" i="6" s="1"/>
  <c r="N136" i="6"/>
  <c r="N239" i="6" s="1"/>
  <c r="E136" i="7"/>
  <c r="S136" i="6"/>
  <c r="S239" i="6" s="1"/>
  <c r="R136" i="6"/>
  <c r="R239" i="6" s="1"/>
  <c r="H136" i="6"/>
  <c r="O136" i="6"/>
  <c r="O239" i="6" s="1"/>
  <c r="P136" i="6"/>
  <c r="P239" i="6" s="1"/>
  <c r="L136" i="6"/>
  <c r="L239" i="6" s="1"/>
  <c r="Q136" i="6"/>
  <c r="Q239" i="6" s="1"/>
  <c r="M136" i="6"/>
  <c r="M239" i="6" s="1"/>
  <c r="J136" i="6"/>
  <c r="J239" i="6" s="1"/>
  <c r="K136" i="6"/>
  <c r="K239" i="6" s="1"/>
  <c r="E107" i="7"/>
  <c r="N84" i="9"/>
  <c r="Q107" i="6"/>
  <c r="L107" i="6"/>
  <c r="P107" i="6"/>
  <c r="R107" i="6"/>
  <c r="J107" i="6"/>
  <c r="O107" i="6"/>
  <c r="I107" i="6"/>
  <c r="K107" i="6"/>
  <c r="S107" i="6"/>
  <c r="N107" i="6"/>
  <c r="H107" i="6"/>
  <c r="M107" i="6"/>
  <c r="H241" i="7"/>
  <c r="T241" i="7" s="1"/>
  <c r="T138" i="7"/>
  <c r="M121" i="7"/>
  <c r="N121" i="7"/>
  <c r="H121" i="7"/>
  <c r="K121" i="7"/>
  <c r="P121" i="7"/>
  <c r="S121" i="7"/>
  <c r="I121" i="7"/>
  <c r="O121" i="7"/>
  <c r="Q96" i="9"/>
  <c r="Q121" i="7"/>
  <c r="L121" i="7"/>
  <c r="J121" i="7"/>
  <c r="P224" i="6"/>
  <c r="O224" i="6"/>
  <c r="L141" i="5"/>
  <c r="L151" i="5" s="1"/>
  <c r="L282" i="5"/>
  <c r="L244" i="3"/>
  <c r="L115" i="3"/>
  <c r="L150" i="3" s="1"/>
  <c r="Q43" i="9"/>
  <c r="L73" i="9"/>
  <c r="I48" i="2"/>
  <c r="M113" i="4"/>
  <c r="K141" i="5"/>
  <c r="K151" i="5" s="1"/>
  <c r="I166" i="6"/>
  <c r="Q141" i="5"/>
  <c r="Q151" i="5" s="1"/>
  <c r="T93" i="5"/>
  <c r="H102" i="5"/>
  <c r="S102" i="5"/>
  <c r="P102" i="5"/>
  <c r="H49" i="3"/>
  <c r="H176" i="3"/>
  <c r="H41" i="3"/>
  <c r="H59" i="3"/>
  <c r="H208" i="3"/>
  <c r="H238" i="5"/>
  <c r="T238" i="5" s="1"/>
  <c r="T135" i="5"/>
  <c r="N205" i="7"/>
  <c r="N63" i="7"/>
  <c r="N213" i="7"/>
  <c r="N56" i="7"/>
  <c r="N46" i="7"/>
  <c r="S66" i="6"/>
  <c r="N66" i="6"/>
  <c r="K66" i="6"/>
  <c r="I66" i="6"/>
  <c r="L66" i="6"/>
  <c r="O66" i="6"/>
  <c r="E66" i="7"/>
  <c r="P66" i="6"/>
  <c r="J66" i="6"/>
  <c r="Q66" i="6"/>
  <c r="H66" i="6"/>
  <c r="M66" i="6"/>
  <c r="N45" i="9"/>
  <c r="R66" i="6"/>
  <c r="N53" i="3"/>
  <c r="N118" i="3"/>
  <c r="N203" i="3"/>
  <c r="N84" i="3"/>
  <c r="O4" i="3"/>
  <c r="N251" i="3"/>
  <c r="N44" i="3"/>
  <c r="N186" i="3"/>
  <c r="N144" i="3"/>
  <c r="N19" i="3"/>
  <c r="N20" i="3" s="1"/>
  <c r="N11" i="3"/>
  <c r="N12" i="3" s="1"/>
  <c r="N27" i="3"/>
  <c r="N28" i="3" s="1"/>
  <c r="T99" i="5"/>
  <c r="R113" i="4"/>
  <c r="M216" i="5"/>
  <c r="K53" i="6"/>
  <c r="K144" i="6"/>
  <c r="K44" i="6"/>
  <c r="K118" i="6"/>
  <c r="K84" i="6"/>
  <c r="K203" i="6"/>
  <c r="K11" i="6"/>
  <c r="K12" i="6" s="1"/>
  <c r="K251" i="6"/>
  <c r="L4" i="6"/>
  <c r="K186" i="6"/>
  <c r="L220" i="3"/>
  <c r="L74" i="3"/>
  <c r="R124" i="9"/>
  <c r="N46" i="5"/>
  <c r="N56" i="5"/>
  <c r="N213" i="5"/>
  <c r="N205" i="5"/>
  <c r="N63" i="5"/>
  <c r="E179" i="7"/>
  <c r="O127" i="9"/>
  <c r="P70" i="9"/>
  <c r="G93" i="7"/>
  <c r="S70" i="9" s="1"/>
  <c r="E93" i="7"/>
  <c r="T137" i="6"/>
  <c r="H240" i="6"/>
  <c r="T240" i="6" s="1"/>
  <c r="H224" i="6"/>
  <c r="T121" i="6"/>
  <c r="J48" i="6"/>
  <c r="J207" i="6"/>
  <c r="J65" i="6"/>
  <c r="J58" i="6"/>
  <c r="J218" i="6" s="1"/>
  <c r="N112" i="5"/>
  <c r="N111" i="5"/>
  <c r="N109" i="5"/>
  <c r="N243" i="5"/>
  <c r="N106" i="5"/>
  <c r="N110" i="5"/>
  <c r="L64" i="4"/>
  <c r="H115" i="3"/>
  <c r="H244" i="3"/>
  <c r="M28" i="3"/>
  <c r="I56" i="7"/>
  <c r="I46" i="7"/>
  <c r="I63" i="7"/>
  <c r="I205" i="7"/>
  <c r="I213" i="7"/>
  <c r="J57" i="5"/>
  <c r="J47" i="5"/>
  <c r="J64" i="5"/>
  <c r="J67" i="5" s="1"/>
  <c r="J206" i="5"/>
  <c r="L64" i="5"/>
  <c r="L206" i="5"/>
  <c r="L47" i="5"/>
  <c r="L57" i="5"/>
  <c r="L217" i="5" s="1"/>
  <c r="P115" i="3"/>
  <c r="P150" i="3" s="1"/>
  <c r="P244" i="3"/>
  <c r="E243" i="7"/>
  <c r="Q183" i="9" s="1"/>
  <c r="N183" i="9"/>
  <c r="N111" i="4"/>
  <c r="N109" i="4"/>
  <c r="N110" i="4"/>
  <c r="N243" i="4"/>
  <c r="N106" i="4"/>
  <c r="N112" i="4"/>
  <c r="J162" i="6"/>
  <c r="J164" i="6"/>
  <c r="J173" i="6"/>
  <c r="J163" i="6"/>
  <c r="J165" i="6"/>
  <c r="J161" i="6"/>
  <c r="J190" i="6"/>
  <c r="J191" i="6"/>
  <c r="J188" i="6"/>
  <c r="J189" i="6"/>
  <c r="L222" i="3"/>
  <c r="R101" i="9"/>
  <c r="K126" i="7"/>
  <c r="K229" i="7" s="1"/>
  <c r="M126" i="7"/>
  <c r="M229" i="7" s="1"/>
  <c r="S126" i="7"/>
  <c r="S229" i="7" s="1"/>
  <c r="L126" i="7"/>
  <c r="L229" i="7" s="1"/>
  <c r="O126" i="7"/>
  <c r="O229" i="7" s="1"/>
  <c r="R126" i="7"/>
  <c r="R229" i="7" s="1"/>
  <c r="H126" i="7"/>
  <c r="Q126" i="7"/>
  <c r="Q229" i="7" s="1"/>
  <c r="I126" i="7"/>
  <c r="I229" i="7" s="1"/>
  <c r="P126" i="7"/>
  <c r="P229" i="7" s="1"/>
  <c r="N126" i="7"/>
  <c r="N229" i="7" s="1"/>
  <c r="J126" i="7"/>
  <c r="J229" i="7" s="1"/>
  <c r="O72" i="9"/>
  <c r="J95" i="6"/>
  <c r="S95" i="6"/>
  <c r="I95" i="6"/>
  <c r="L95" i="6"/>
  <c r="F95" i="7"/>
  <c r="R95" i="6"/>
  <c r="H95" i="6"/>
  <c r="P95" i="6"/>
  <c r="M95" i="6"/>
  <c r="O95" i="6"/>
  <c r="Q95" i="6"/>
  <c r="N95" i="6"/>
  <c r="K95" i="6"/>
  <c r="N206" i="5"/>
  <c r="N57" i="5"/>
  <c r="N217" i="5" s="1"/>
  <c r="N64" i="5"/>
  <c r="N47" i="5"/>
  <c r="T230" i="5"/>
  <c r="T107" i="5"/>
  <c r="Q113" i="4"/>
  <c r="T225" i="5"/>
  <c r="R224" i="6"/>
  <c r="M224" i="6"/>
  <c r="J224" i="6"/>
  <c r="J141" i="6"/>
  <c r="J151" i="6" s="1"/>
  <c r="M166" i="5"/>
  <c r="M245" i="5" s="1"/>
  <c r="L283" i="5"/>
  <c r="S113" i="3"/>
  <c r="I283" i="5"/>
  <c r="C207" i="6"/>
  <c r="B22" i="7"/>
  <c r="C174" i="6"/>
  <c r="R127" i="7"/>
  <c r="R230" i="7" s="1"/>
  <c r="Q102" i="9"/>
  <c r="Q102" i="5"/>
  <c r="I102" i="5"/>
  <c r="M102" i="5"/>
  <c r="R135" i="6"/>
  <c r="R238" i="6" s="1"/>
  <c r="M135" i="6"/>
  <c r="M238" i="6" s="1"/>
  <c r="O110" i="9"/>
  <c r="S135" i="6"/>
  <c r="S238" i="6" s="1"/>
  <c r="H135" i="6"/>
  <c r="F135" i="7"/>
  <c r="I135" i="6"/>
  <c r="I238" i="6" s="1"/>
  <c r="L135" i="6"/>
  <c r="L238" i="6" s="1"/>
  <c r="J135" i="6"/>
  <c r="J238" i="6" s="1"/>
  <c r="K135" i="6"/>
  <c r="K238" i="6" s="1"/>
  <c r="Q135" i="6"/>
  <c r="Q238" i="6" s="1"/>
  <c r="O135" i="6"/>
  <c r="O238" i="6" s="1"/>
  <c r="P135" i="6"/>
  <c r="P238" i="6" s="1"/>
  <c r="N135" i="6"/>
  <c r="N238" i="6" s="1"/>
  <c r="K171" i="3"/>
  <c r="N165" i="7"/>
  <c r="N161" i="7"/>
  <c r="N164" i="7"/>
  <c r="N173" i="7"/>
  <c r="N162" i="7"/>
  <c r="N163" i="7"/>
  <c r="T105" i="6"/>
  <c r="T66" i="5"/>
  <c r="I33" i="2" s="1"/>
  <c r="O122" i="7"/>
  <c r="O225" i="7" s="1"/>
  <c r="P122" i="7"/>
  <c r="P225" i="7" s="1"/>
  <c r="M122" i="7"/>
  <c r="M225" i="7" s="1"/>
  <c r="N122" i="7"/>
  <c r="N225" i="7" s="1"/>
  <c r="H122" i="7"/>
  <c r="R122" i="7"/>
  <c r="R225" i="7" s="1"/>
  <c r="S122" i="7"/>
  <c r="S225" i="7" s="1"/>
  <c r="J122" i="7"/>
  <c r="J225" i="7" s="1"/>
  <c r="K122" i="7"/>
  <c r="K225" i="7" s="1"/>
  <c r="L122" i="7"/>
  <c r="L225" i="7" s="1"/>
  <c r="R97" i="9"/>
  <c r="Q122" i="7"/>
  <c r="Q225" i="7" s="1"/>
  <c r="I122" i="7"/>
  <c r="I225" i="7" s="1"/>
  <c r="T122" i="6"/>
  <c r="H225" i="6"/>
  <c r="T225" i="6" s="1"/>
  <c r="M12" i="3"/>
  <c r="M278" i="3"/>
  <c r="M281" i="3"/>
  <c r="M280" i="3"/>
  <c r="M279" i="3"/>
  <c r="M274" i="3"/>
  <c r="M277" i="3"/>
  <c r="M272" i="3"/>
  <c r="I115" i="4"/>
  <c r="I150" i="4" s="1"/>
  <c r="L207" i="4"/>
  <c r="L65" i="4"/>
  <c r="L48" i="4"/>
  <c r="L58" i="4"/>
  <c r="H20" i="5"/>
  <c r="L166" i="3"/>
  <c r="L245" i="3" s="1"/>
  <c r="N281" i="5"/>
  <c r="N272" i="5"/>
  <c r="N279" i="5"/>
  <c r="N280" i="5"/>
  <c r="N277" i="5"/>
  <c r="N274" i="5"/>
  <c r="N278" i="5"/>
  <c r="S216" i="7"/>
  <c r="L166" i="5"/>
  <c r="S224" i="6"/>
  <c r="S141" i="6"/>
  <c r="S151" i="6" s="1"/>
  <c r="Q224" i="6"/>
  <c r="I65" i="6"/>
  <c r="I207" i="6"/>
  <c r="I58" i="6"/>
  <c r="I218" i="6" s="1"/>
  <c r="I48" i="6"/>
  <c r="R112" i="5"/>
  <c r="R109" i="5"/>
  <c r="R111" i="5"/>
  <c r="R106" i="5"/>
  <c r="R110" i="5"/>
  <c r="R243" i="5"/>
  <c r="K102" i="5"/>
  <c r="O44" i="7"/>
  <c r="O118" i="7"/>
  <c r="O11" i="7"/>
  <c r="O53" i="7"/>
  <c r="P4" i="7"/>
  <c r="O186" i="7"/>
  <c r="O84" i="7"/>
  <c r="O251" i="7"/>
  <c r="O203" i="7"/>
  <c r="O144" i="7"/>
  <c r="Q82" i="9"/>
  <c r="P105" i="7"/>
  <c r="K105" i="7"/>
  <c r="O105" i="7"/>
  <c r="S105" i="7"/>
  <c r="J105" i="7"/>
  <c r="H105" i="7"/>
  <c r="I105" i="7"/>
  <c r="N105" i="7"/>
  <c r="Q105" i="7"/>
  <c r="M105" i="7"/>
  <c r="L105" i="7"/>
  <c r="R105" i="7"/>
  <c r="M175" i="3"/>
  <c r="M162" i="3"/>
  <c r="M177" i="3"/>
  <c r="M164" i="3"/>
  <c r="M161" i="3"/>
  <c r="M163" i="3"/>
  <c r="M165" i="3"/>
  <c r="M173" i="3"/>
  <c r="P76" i="9"/>
  <c r="M99" i="6"/>
  <c r="N76" i="9" s="1"/>
  <c r="F99" i="7"/>
  <c r="J99" i="6"/>
  <c r="L99" i="6"/>
  <c r="R99" i="6"/>
  <c r="O99" i="6"/>
  <c r="P99" i="6"/>
  <c r="H99" i="6"/>
  <c r="I99" i="6"/>
  <c r="K99" i="6"/>
  <c r="N99" i="6"/>
  <c r="Q99" i="6"/>
  <c r="S99" i="6"/>
  <c r="H218" i="5"/>
  <c r="I47" i="5"/>
  <c r="I57" i="5"/>
  <c r="I206" i="5"/>
  <c r="I64" i="5"/>
  <c r="I67" i="5" s="1"/>
  <c r="S206" i="5"/>
  <c r="S64" i="5"/>
  <c r="S67" i="5" s="1"/>
  <c r="S57" i="5"/>
  <c r="S47" i="5"/>
  <c r="Q244" i="3"/>
  <c r="Q115" i="3"/>
  <c r="Q150" i="3" s="1"/>
  <c r="H232" i="6"/>
  <c r="T232" i="6" s="1"/>
  <c r="T129" i="6"/>
  <c r="K113" i="4"/>
  <c r="J12" i="6"/>
  <c r="J279" i="6"/>
  <c r="J281" i="6"/>
  <c r="J274" i="6"/>
  <c r="J280" i="6"/>
  <c r="J278" i="6"/>
  <c r="J277" i="6"/>
  <c r="J272" i="6"/>
  <c r="L223" i="3"/>
  <c r="M166" i="7"/>
  <c r="M245" i="7" s="1"/>
  <c r="N162" i="5"/>
  <c r="N163" i="5"/>
  <c r="N173" i="5"/>
  <c r="N164" i="5"/>
  <c r="N161" i="5"/>
  <c r="N165" i="5"/>
  <c r="N65" i="5"/>
  <c r="N58" i="5"/>
  <c r="N218" i="5" s="1"/>
  <c r="N207" i="5"/>
  <c r="N48" i="5"/>
  <c r="N189" i="5"/>
  <c r="N190" i="5"/>
  <c r="N188" i="5"/>
  <c r="N191" i="5"/>
  <c r="I283" i="4"/>
  <c r="T224" i="5"/>
  <c r="N70" i="9"/>
  <c r="Q93" i="6"/>
  <c r="Q102" i="6" s="1"/>
  <c r="R93" i="6"/>
  <c r="K93" i="6"/>
  <c r="I93" i="6"/>
  <c r="L93" i="6"/>
  <c r="J93" i="6"/>
  <c r="O93" i="6"/>
  <c r="P93" i="6"/>
  <c r="H93" i="6"/>
  <c r="S93" i="6"/>
  <c r="N93" i="6"/>
  <c r="M93" i="6"/>
  <c r="I151" i="4"/>
  <c r="T151" i="4" s="1"/>
  <c r="T141" i="4"/>
  <c r="H55" i="2" s="1"/>
  <c r="Q112" i="9"/>
  <c r="N137" i="7"/>
  <c r="N240" i="7" s="1"/>
  <c r="M137" i="7"/>
  <c r="M240" i="7" s="1"/>
  <c r="L137" i="7"/>
  <c r="L240" i="7" s="1"/>
  <c r="S137" i="7"/>
  <c r="S240" i="7" s="1"/>
  <c r="H137" i="7"/>
  <c r="J137" i="7"/>
  <c r="J240" i="7" s="1"/>
  <c r="Q137" i="7"/>
  <c r="Q240" i="7" s="1"/>
  <c r="K137" i="7"/>
  <c r="K240" i="7" s="1"/>
  <c r="P137" i="7"/>
  <c r="P240" i="7" s="1"/>
  <c r="R137" i="7"/>
  <c r="R240" i="7" s="1"/>
  <c r="I137" i="7"/>
  <c r="I240" i="7" s="1"/>
  <c r="O137" i="7"/>
  <c r="O240" i="7" s="1"/>
  <c r="L213" i="4"/>
  <c r="L63" i="4"/>
  <c r="L46" i="4"/>
  <c r="L205" i="4"/>
  <c r="L56" i="4"/>
  <c r="J245" i="7"/>
  <c r="T100" i="7"/>
  <c r="I224" i="6"/>
  <c r="K224" i="6"/>
  <c r="L224" i="6"/>
  <c r="N224" i="6"/>
  <c r="E24" i="7"/>
  <c r="S28" i="6"/>
  <c r="H27" i="6"/>
  <c r="J244" i="3"/>
  <c r="J115" i="3"/>
  <c r="J150" i="3" s="1"/>
  <c r="F93" i="7"/>
  <c r="O70" i="9"/>
  <c r="F96" i="6"/>
  <c r="N141" i="5"/>
  <c r="N151" i="5" s="1"/>
  <c r="L102" i="5"/>
  <c r="J102" i="5"/>
  <c r="O102" i="5"/>
  <c r="N188" i="7"/>
  <c r="N189" i="7"/>
  <c r="N190" i="7"/>
  <c r="N191" i="7"/>
  <c r="T106" i="3"/>
  <c r="O125" i="9"/>
  <c r="E176" i="7"/>
  <c r="I177" i="6"/>
  <c r="J177" i="6"/>
  <c r="M20" i="3"/>
  <c r="M199" i="3"/>
  <c r="M190" i="3"/>
  <c r="M197" i="3"/>
  <c r="M196" i="3"/>
  <c r="M189" i="3"/>
  <c r="M188" i="3"/>
  <c r="M191" i="3"/>
  <c r="M194" i="3"/>
  <c r="M195" i="3"/>
  <c r="M198" i="3"/>
  <c r="M73" i="3"/>
  <c r="M223" i="3" s="1"/>
  <c r="M71" i="3"/>
  <c r="M221" i="3" s="1"/>
  <c r="M72" i="3"/>
  <c r="M222" i="3" s="1"/>
  <c r="M70" i="3"/>
  <c r="J113" i="4"/>
  <c r="I87" i="7" l="1"/>
  <c r="R87" i="7"/>
  <c r="S87" i="7"/>
  <c r="H87" i="7"/>
  <c r="Q87" i="7"/>
  <c r="K87" i="7"/>
  <c r="J87" i="7"/>
  <c r="P87" i="7"/>
  <c r="M87" i="7"/>
  <c r="O87" i="7"/>
  <c r="Q64" i="9"/>
  <c r="N87" i="7"/>
  <c r="L87" i="7"/>
  <c r="L102" i="6"/>
  <c r="K127" i="7"/>
  <c r="K230" i="7" s="1"/>
  <c r="L206" i="4"/>
  <c r="I90" i="7"/>
  <c r="R90" i="7"/>
  <c r="N90" i="7"/>
  <c r="P90" i="7"/>
  <c r="O90" i="7"/>
  <c r="H90" i="7"/>
  <c r="Q67" i="9"/>
  <c r="Q90" i="7"/>
  <c r="M90" i="7"/>
  <c r="L90" i="7"/>
  <c r="S90" i="7"/>
  <c r="K90" i="7"/>
  <c r="J90" i="7"/>
  <c r="M127" i="7"/>
  <c r="M230" i="7" s="1"/>
  <c r="Q127" i="7"/>
  <c r="Q230" i="7" s="1"/>
  <c r="N113" i="5"/>
  <c r="N244" i="5" s="1"/>
  <c r="T112" i="4"/>
  <c r="S94" i="7"/>
  <c r="R94" i="7"/>
  <c r="K94" i="7"/>
  <c r="P94" i="7"/>
  <c r="N94" i="7"/>
  <c r="H94" i="7"/>
  <c r="Q94" i="7"/>
  <c r="I94" i="7"/>
  <c r="O94" i="7"/>
  <c r="J94" i="7"/>
  <c r="L94" i="7"/>
  <c r="M94" i="7"/>
  <c r="Q71" i="9"/>
  <c r="Q88" i="7"/>
  <c r="J88" i="7"/>
  <c r="H254" i="3"/>
  <c r="H261" i="3"/>
  <c r="I155" i="3"/>
  <c r="T94" i="6"/>
  <c r="R141" i="6"/>
  <c r="R151" i="6" s="1"/>
  <c r="R121" i="7"/>
  <c r="T88" i="6"/>
  <c r="K88" i="7"/>
  <c r="Q141" i="6"/>
  <c r="Q151" i="6" s="1"/>
  <c r="P127" i="7"/>
  <c r="P230" i="7" s="1"/>
  <c r="K166" i="4"/>
  <c r="K245" i="4" s="1"/>
  <c r="H228" i="7"/>
  <c r="T228" i="7" s="1"/>
  <c r="T125" i="7"/>
  <c r="L280" i="4"/>
  <c r="L281" i="4"/>
  <c r="L279" i="4"/>
  <c r="L274" i="4"/>
  <c r="L277" i="4"/>
  <c r="L278" i="4"/>
  <c r="L282" i="4" s="1"/>
  <c r="L272" i="4"/>
  <c r="L283" i="4" s="1"/>
  <c r="T123" i="6"/>
  <c r="H226" i="6"/>
  <c r="T226" i="6" s="1"/>
  <c r="N88" i="7"/>
  <c r="L127" i="7"/>
  <c r="L230" i="7" s="1"/>
  <c r="R102" i="6"/>
  <c r="J127" i="7"/>
  <c r="J230" i="7" s="1"/>
  <c r="K282" i="4"/>
  <c r="K283" i="4" s="1"/>
  <c r="T90" i="6"/>
  <c r="C206" i="7"/>
  <c r="C172" i="7"/>
  <c r="T91" i="6"/>
  <c r="Q69" i="9"/>
  <c r="O92" i="7"/>
  <c r="J92" i="7"/>
  <c r="Q92" i="7"/>
  <c r="I92" i="7"/>
  <c r="K92" i="7"/>
  <c r="H92" i="7"/>
  <c r="M92" i="7"/>
  <c r="L92" i="7"/>
  <c r="P92" i="7"/>
  <c r="N92" i="7"/>
  <c r="S92" i="7"/>
  <c r="R92" i="7"/>
  <c r="K67" i="4"/>
  <c r="H88" i="7"/>
  <c r="Q107" i="9"/>
  <c r="N132" i="7"/>
  <c r="N235" i="7" s="1"/>
  <c r="S132" i="7"/>
  <c r="S235" i="7" s="1"/>
  <c r="Q132" i="7"/>
  <c r="Q235" i="7" s="1"/>
  <c r="M132" i="7"/>
  <c r="M235" i="7" s="1"/>
  <c r="I132" i="7"/>
  <c r="I235" i="7" s="1"/>
  <c r="L132" i="7"/>
  <c r="L235" i="7" s="1"/>
  <c r="P132" i="7"/>
  <c r="P235" i="7" s="1"/>
  <c r="K132" i="7"/>
  <c r="K235" i="7" s="1"/>
  <c r="J132" i="7"/>
  <c r="J235" i="7" s="1"/>
  <c r="O132" i="7"/>
  <c r="O235" i="7" s="1"/>
  <c r="R132" i="7"/>
  <c r="R235" i="7" s="1"/>
  <c r="H132" i="7"/>
  <c r="H141" i="7" s="1"/>
  <c r="L130" i="7"/>
  <c r="L233" i="7" s="1"/>
  <c r="H130" i="7"/>
  <c r="Q105" i="9"/>
  <c r="S130" i="7"/>
  <c r="S233" i="7" s="1"/>
  <c r="N130" i="7"/>
  <c r="N233" i="7" s="1"/>
  <c r="P130" i="7"/>
  <c r="P233" i="7" s="1"/>
  <c r="J130" i="7"/>
  <c r="J233" i="7" s="1"/>
  <c r="K130" i="7"/>
  <c r="K233" i="7" s="1"/>
  <c r="O130" i="7"/>
  <c r="O233" i="7" s="1"/>
  <c r="I130" i="7"/>
  <c r="I233" i="7" s="1"/>
  <c r="Q130" i="7"/>
  <c r="Q233" i="7" s="1"/>
  <c r="M130" i="7"/>
  <c r="M233" i="7" s="1"/>
  <c r="R130" i="7"/>
  <c r="R233" i="7" s="1"/>
  <c r="S102" i="6"/>
  <c r="S127" i="7"/>
  <c r="S230" i="7" s="1"/>
  <c r="R115" i="3"/>
  <c r="R150" i="3" s="1"/>
  <c r="H131" i="7"/>
  <c r="R131" i="7"/>
  <c r="R234" i="7" s="1"/>
  <c r="M131" i="7"/>
  <c r="M234" i="7" s="1"/>
  <c r="Q131" i="7"/>
  <c r="Q234" i="7" s="1"/>
  <c r="I131" i="7"/>
  <c r="I234" i="7" s="1"/>
  <c r="O131" i="7"/>
  <c r="O234" i="7" s="1"/>
  <c r="L131" i="7"/>
  <c r="L234" i="7" s="1"/>
  <c r="J131" i="7"/>
  <c r="J234" i="7" s="1"/>
  <c r="S131" i="7"/>
  <c r="S234" i="7" s="1"/>
  <c r="N131" i="7"/>
  <c r="N234" i="7" s="1"/>
  <c r="Q106" i="9"/>
  <c r="K131" i="7"/>
  <c r="K234" i="7" s="1"/>
  <c r="P131" i="7"/>
  <c r="P234" i="7" s="1"/>
  <c r="T92" i="6"/>
  <c r="J134" i="7"/>
  <c r="J237" i="7" s="1"/>
  <c r="N134" i="7"/>
  <c r="N237" i="7" s="1"/>
  <c r="I134" i="7"/>
  <c r="I237" i="7" s="1"/>
  <c r="M134" i="7"/>
  <c r="M237" i="7" s="1"/>
  <c r="K134" i="7"/>
  <c r="K237" i="7" s="1"/>
  <c r="H134" i="7"/>
  <c r="S134" i="7"/>
  <c r="S237" i="7" s="1"/>
  <c r="L134" i="7"/>
  <c r="L237" i="7" s="1"/>
  <c r="P134" i="7"/>
  <c r="P237" i="7" s="1"/>
  <c r="R109" i="9"/>
  <c r="O134" i="7"/>
  <c r="O237" i="7" s="1"/>
  <c r="Q134" i="7"/>
  <c r="Q237" i="7" s="1"/>
  <c r="R134" i="7"/>
  <c r="R237" i="7" s="1"/>
  <c r="S88" i="7"/>
  <c r="H236" i="6"/>
  <c r="T236" i="6" s="1"/>
  <c r="T133" i="6"/>
  <c r="N127" i="7"/>
  <c r="N230" i="7" s="1"/>
  <c r="L163" i="4"/>
  <c r="L162" i="4"/>
  <c r="L173" i="4"/>
  <c r="L177" i="4"/>
  <c r="L164" i="4"/>
  <c r="L165" i="4"/>
  <c r="L161" i="4"/>
  <c r="L166" i="4" s="1"/>
  <c r="L245" i="4" s="1"/>
  <c r="M88" i="7"/>
  <c r="I133" i="7"/>
  <c r="I236" i="7" s="1"/>
  <c r="N133" i="7"/>
  <c r="N236" i="7" s="1"/>
  <c r="R133" i="7"/>
  <c r="R236" i="7" s="1"/>
  <c r="O133" i="7"/>
  <c r="O236" i="7" s="1"/>
  <c r="Q108" i="9"/>
  <c r="K133" i="7"/>
  <c r="K236" i="7" s="1"/>
  <c r="H133" i="7"/>
  <c r="Q133" i="7"/>
  <c r="Q236" i="7" s="1"/>
  <c r="J133" i="7"/>
  <c r="J236" i="7" s="1"/>
  <c r="S133" i="7"/>
  <c r="S236" i="7" s="1"/>
  <c r="M133" i="7"/>
  <c r="M236" i="7" s="1"/>
  <c r="L133" i="7"/>
  <c r="L236" i="7" s="1"/>
  <c r="P133" i="7"/>
  <c r="P236" i="7" s="1"/>
  <c r="H237" i="6"/>
  <c r="T237" i="6" s="1"/>
  <c r="T134" i="6"/>
  <c r="N102" i="6"/>
  <c r="N106" i="6" s="1"/>
  <c r="P102" i="6"/>
  <c r="O127" i="7"/>
  <c r="O230" i="7" s="1"/>
  <c r="H234" i="6"/>
  <c r="T234" i="6" s="1"/>
  <c r="T131" i="6"/>
  <c r="P91" i="7"/>
  <c r="Q91" i="7"/>
  <c r="L91" i="7"/>
  <c r="R91" i="7"/>
  <c r="S91" i="7"/>
  <c r="N91" i="7"/>
  <c r="I91" i="7"/>
  <c r="K91" i="7"/>
  <c r="H91" i="7"/>
  <c r="Q68" i="9"/>
  <c r="J91" i="7"/>
  <c r="M91" i="7"/>
  <c r="O91" i="7"/>
  <c r="L191" i="4"/>
  <c r="L189" i="4"/>
  <c r="L188" i="4"/>
  <c r="L190" i="4"/>
  <c r="T87" i="6"/>
  <c r="N123" i="7"/>
  <c r="N226" i="7" s="1"/>
  <c r="L123" i="7"/>
  <c r="L226" i="7" s="1"/>
  <c r="Q98" i="9"/>
  <c r="S123" i="7"/>
  <c r="S226" i="7" s="1"/>
  <c r="H123" i="7"/>
  <c r="R123" i="7"/>
  <c r="R226" i="7" s="1"/>
  <c r="I123" i="7"/>
  <c r="I226" i="7" s="1"/>
  <c r="J123" i="7"/>
  <c r="J226" i="7" s="1"/>
  <c r="K123" i="7"/>
  <c r="K226" i="7" s="1"/>
  <c r="O123" i="7"/>
  <c r="O226" i="7" s="1"/>
  <c r="M123" i="7"/>
  <c r="M226" i="7" s="1"/>
  <c r="Q123" i="7"/>
  <c r="Q226" i="7" s="1"/>
  <c r="P123" i="7"/>
  <c r="P226" i="7" s="1"/>
  <c r="R88" i="7"/>
  <c r="T132" i="6"/>
  <c r="H235" i="6"/>
  <c r="T235" i="6" s="1"/>
  <c r="K102" i="6"/>
  <c r="H127" i="7"/>
  <c r="P115" i="4"/>
  <c r="P150" i="4" s="1"/>
  <c r="L47" i="4"/>
  <c r="O141" i="6"/>
  <c r="O151" i="6" s="1"/>
  <c r="M53" i="4"/>
  <c r="M11" i="4"/>
  <c r="M12" i="4" s="1"/>
  <c r="M118" i="4"/>
  <c r="M251" i="4"/>
  <c r="M144" i="4"/>
  <c r="N4" i="4"/>
  <c r="M186" i="4"/>
  <c r="M203" i="4"/>
  <c r="M19" i="4"/>
  <c r="M20" i="4" s="1"/>
  <c r="M44" i="4"/>
  <c r="M84" i="4"/>
  <c r="M27" i="4"/>
  <c r="M28" i="4" s="1"/>
  <c r="P88" i="7"/>
  <c r="J102" i="6"/>
  <c r="J112" i="6" s="1"/>
  <c r="I127" i="7"/>
  <c r="I230" i="7" s="1"/>
  <c r="T110" i="4"/>
  <c r="H233" i="6"/>
  <c r="T233" i="6" s="1"/>
  <c r="T130" i="6"/>
  <c r="J110" i="6"/>
  <c r="J111" i="6"/>
  <c r="J109" i="6"/>
  <c r="K244" i="4"/>
  <c r="K115" i="4"/>
  <c r="K150" i="4" s="1"/>
  <c r="N282" i="5"/>
  <c r="N283" i="5" s="1"/>
  <c r="C207" i="7"/>
  <c r="C174" i="7"/>
  <c r="T224" i="6"/>
  <c r="K188" i="6"/>
  <c r="K190" i="6"/>
  <c r="K189" i="6"/>
  <c r="K191" i="6"/>
  <c r="N191" i="3"/>
  <c r="N196" i="3"/>
  <c r="N188" i="3"/>
  <c r="N189" i="3"/>
  <c r="N195" i="3"/>
  <c r="N199" i="3"/>
  <c r="N198" i="3"/>
  <c r="N194" i="3"/>
  <c r="N197" i="3"/>
  <c r="N190" i="3"/>
  <c r="H112" i="5"/>
  <c r="H243" i="5"/>
  <c r="T102" i="5"/>
  <c r="I49" i="2" s="1"/>
  <c r="H110" i="5"/>
  <c r="H106" i="5"/>
  <c r="H111" i="5"/>
  <c r="H109" i="5"/>
  <c r="J224" i="7"/>
  <c r="M224" i="7"/>
  <c r="O57" i="5"/>
  <c r="O217" i="5" s="1"/>
  <c r="O47" i="5"/>
  <c r="O206" i="5"/>
  <c r="O64" i="5"/>
  <c r="H20" i="6"/>
  <c r="J244" i="4"/>
  <c r="J115" i="4"/>
  <c r="J150" i="4" s="1"/>
  <c r="J110" i="5"/>
  <c r="J109" i="5"/>
  <c r="J106" i="5"/>
  <c r="J113" i="5" s="1"/>
  <c r="J244" i="5" s="1"/>
  <c r="J111" i="5"/>
  <c r="K79" i="9"/>
  <c r="J112" i="5"/>
  <c r="J243" i="5"/>
  <c r="O73" i="9"/>
  <c r="J48" i="2"/>
  <c r="S27" i="7"/>
  <c r="S28" i="7" s="1"/>
  <c r="J27" i="7"/>
  <c r="J28" i="7" s="1"/>
  <c r="H27" i="7"/>
  <c r="Q17" i="9"/>
  <c r="N141" i="6"/>
  <c r="N151" i="6" s="1"/>
  <c r="K141" i="6"/>
  <c r="K151" i="6" s="1"/>
  <c r="L216" i="4"/>
  <c r="T93" i="6"/>
  <c r="H102" i="6"/>
  <c r="L243" i="6"/>
  <c r="L106" i="6"/>
  <c r="L111" i="6"/>
  <c r="L110" i="6"/>
  <c r="L112" i="6"/>
  <c r="L109" i="6"/>
  <c r="Q243" i="6"/>
  <c r="Q106" i="6"/>
  <c r="Q110" i="6"/>
  <c r="Q109" i="6"/>
  <c r="Q111" i="6"/>
  <c r="Q112" i="6"/>
  <c r="S217" i="5"/>
  <c r="T99" i="6"/>
  <c r="M166" i="3"/>
  <c r="M245" i="3" s="1"/>
  <c r="P251" i="7"/>
  <c r="P186" i="7"/>
  <c r="P118" i="7"/>
  <c r="P177" i="7" s="1"/>
  <c r="P84" i="7"/>
  <c r="P144" i="7"/>
  <c r="P44" i="7"/>
  <c r="P53" i="7"/>
  <c r="P203" i="7"/>
  <c r="Q4" i="7"/>
  <c r="P11" i="7"/>
  <c r="P12" i="7" s="1"/>
  <c r="H206" i="5"/>
  <c r="H64" i="5"/>
  <c r="H57" i="5"/>
  <c r="H47" i="5"/>
  <c r="H225" i="7"/>
  <c r="T225" i="7" s="1"/>
  <c r="T122" i="7"/>
  <c r="T135" i="6"/>
  <c r="H238" i="6"/>
  <c r="T238" i="6" s="1"/>
  <c r="H230" i="7"/>
  <c r="R72" i="9"/>
  <c r="Q95" i="7"/>
  <c r="J95" i="7"/>
  <c r="H95" i="7"/>
  <c r="M95" i="7"/>
  <c r="O95" i="7"/>
  <c r="N95" i="7"/>
  <c r="P95" i="7"/>
  <c r="K95" i="7"/>
  <c r="R95" i="7"/>
  <c r="L95" i="7"/>
  <c r="S95" i="7"/>
  <c r="I95" i="7"/>
  <c r="T126" i="7"/>
  <c r="H229" i="7"/>
  <c r="T229" i="7" s="1"/>
  <c r="J217" i="5"/>
  <c r="I216" i="7"/>
  <c r="M207" i="3"/>
  <c r="M65" i="3"/>
  <c r="M58" i="3"/>
  <c r="M48" i="3"/>
  <c r="M174" i="3"/>
  <c r="H150" i="3"/>
  <c r="L144" i="6"/>
  <c r="L44" i="6"/>
  <c r="L251" i="6"/>
  <c r="L84" i="6"/>
  <c r="L186" i="6"/>
  <c r="L203" i="6"/>
  <c r="L118" i="6"/>
  <c r="L11" i="6"/>
  <c r="L53" i="6"/>
  <c r="M4" i="6"/>
  <c r="L27" i="6"/>
  <c r="L28" i="6" s="1"/>
  <c r="N205" i="3"/>
  <c r="N213" i="3"/>
  <c r="N56" i="3"/>
  <c r="N46" i="3"/>
  <c r="N63" i="3"/>
  <c r="H209" i="3"/>
  <c r="H50" i="3"/>
  <c r="I245" i="6"/>
  <c r="L224" i="7"/>
  <c r="O224" i="7"/>
  <c r="K224" i="7"/>
  <c r="T151" i="5"/>
  <c r="P203" i="5"/>
  <c r="P186" i="5"/>
  <c r="P53" i="5"/>
  <c r="P19" i="5"/>
  <c r="P20" i="5" s="1"/>
  <c r="P27" i="5"/>
  <c r="P28" i="5" s="1"/>
  <c r="Q4" i="5"/>
  <c r="P84" i="5"/>
  <c r="P44" i="5"/>
  <c r="P144" i="5"/>
  <c r="P11" i="5"/>
  <c r="P12" i="5" s="1"/>
  <c r="P118" i="5"/>
  <c r="P251" i="5"/>
  <c r="T111" i="4"/>
  <c r="K206" i="6"/>
  <c r="K47" i="6"/>
  <c r="K57" i="6"/>
  <c r="K217" i="6" s="1"/>
  <c r="K64" i="6"/>
  <c r="J206" i="6"/>
  <c r="J47" i="6"/>
  <c r="J57" i="6"/>
  <c r="J217" i="6" s="1"/>
  <c r="J64" i="6"/>
  <c r="E16" i="7"/>
  <c r="S20" i="6"/>
  <c r="S48" i="6"/>
  <c r="S58" i="6"/>
  <c r="S218" i="6" s="1"/>
  <c r="S65" i="6"/>
  <c r="S207" i="6"/>
  <c r="S110" i="6"/>
  <c r="S109" i="6"/>
  <c r="S111" i="6"/>
  <c r="S243" i="6"/>
  <c r="S112" i="6"/>
  <c r="S106" i="6"/>
  <c r="J282" i="6"/>
  <c r="O191" i="7"/>
  <c r="O188" i="7"/>
  <c r="O189" i="7"/>
  <c r="O190" i="7"/>
  <c r="O162" i="7"/>
  <c r="O173" i="7"/>
  <c r="O161" i="7"/>
  <c r="O164" i="7"/>
  <c r="O165" i="7"/>
  <c r="O163" i="7"/>
  <c r="Q106" i="5"/>
  <c r="Q111" i="5"/>
  <c r="Q110" i="5"/>
  <c r="Q112" i="5"/>
  <c r="Q243" i="5"/>
  <c r="Q109" i="5"/>
  <c r="N48" i="3"/>
  <c r="N207" i="3"/>
  <c r="N58" i="3"/>
  <c r="N218" i="3" s="1"/>
  <c r="N65" i="3"/>
  <c r="P224" i="7"/>
  <c r="S244" i="4"/>
  <c r="S115" i="4"/>
  <c r="S150" i="4" s="1"/>
  <c r="M220" i="3"/>
  <c r="M74" i="3"/>
  <c r="M200" i="3"/>
  <c r="L110" i="5"/>
  <c r="L106" i="5"/>
  <c r="L243" i="5"/>
  <c r="L111" i="5"/>
  <c r="L112" i="5"/>
  <c r="L109" i="5"/>
  <c r="L67" i="4"/>
  <c r="H240" i="7"/>
  <c r="T240" i="7" s="1"/>
  <c r="T137" i="7"/>
  <c r="M102" i="6"/>
  <c r="P111" i="6"/>
  <c r="P243" i="6"/>
  <c r="P110" i="6"/>
  <c r="P106" i="6"/>
  <c r="P109" i="6"/>
  <c r="P112" i="6"/>
  <c r="I102" i="6"/>
  <c r="O279" i="7"/>
  <c r="O278" i="7"/>
  <c r="O277" i="7"/>
  <c r="O272" i="7"/>
  <c r="O280" i="7"/>
  <c r="O274" i="7"/>
  <c r="O281" i="7"/>
  <c r="K110" i="5"/>
  <c r="K109" i="5"/>
  <c r="K112" i="5"/>
  <c r="K106" i="5"/>
  <c r="K243" i="5"/>
  <c r="K111" i="5"/>
  <c r="R113" i="5"/>
  <c r="M63" i="3"/>
  <c r="M46" i="3"/>
  <c r="M205" i="3"/>
  <c r="M56" i="3"/>
  <c r="M213" i="3"/>
  <c r="M111" i="5"/>
  <c r="M243" i="5"/>
  <c r="M110" i="5"/>
  <c r="M112" i="5"/>
  <c r="M106" i="5"/>
  <c r="M109" i="5"/>
  <c r="M141" i="6"/>
  <c r="M151" i="6" s="1"/>
  <c r="H141" i="6"/>
  <c r="N216" i="5"/>
  <c r="K277" i="6"/>
  <c r="K278" i="6"/>
  <c r="K279" i="6"/>
  <c r="K274" i="6"/>
  <c r="K280" i="6"/>
  <c r="K272" i="6"/>
  <c r="K281" i="6"/>
  <c r="K162" i="6"/>
  <c r="K164" i="6"/>
  <c r="K165" i="6"/>
  <c r="K163" i="6"/>
  <c r="K161" i="6"/>
  <c r="K173" i="6"/>
  <c r="R244" i="4"/>
  <c r="R115" i="4"/>
  <c r="R150" i="4" s="1"/>
  <c r="N47" i="3"/>
  <c r="N206" i="3"/>
  <c r="N64" i="3"/>
  <c r="N57" i="3"/>
  <c r="N217" i="3" s="1"/>
  <c r="N279" i="3"/>
  <c r="N281" i="3"/>
  <c r="N280" i="3"/>
  <c r="N278" i="3"/>
  <c r="N277" i="3"/>
  <c r="N274" i="3"/>
  <c r="N272" i="3"/>
  <c r="N162" i="3"/>
  <c r="N173" i="3"/>
  <c r="N175" i="3"/>
  <c r="N161" i="3"/>
  <c r="N165" i="3"/>
  <c r="N164" i="3"/>
  <c r="N163" i="3"/>
  <c r="N216" i="7"/>
  <c r="H219" i="3"/>
  <c r="H60" i="3"/>
  <c r="P243" i="5"/>
  <c r="P110" i="5"/>
  <c r="P112" i="5"/>
  <c r="P109" i="5"/>
  <c r="P106" i="5"/>
  <c r="P111" i="5"/>
  <c r="P141" i="6"/>
  <c r="P151" i="6" s="1"/>
  <c r="Q224" i="7"/>
  <c r="I224" i="7"/>
  <c r="T121" i="7"/>
  <c r="H224" i="7"/>
  <c r="H136" i="7"/>
  <c r="P136" i="7"/>
  <c r="P239" i="7" s="1"/>
  <c r="N136" i="7"/>
  <c r="N239" i="7" s="1"/>
  <c r="K136" i="7"/>
  <c r="K239" i="7" s="1"/>
  <c r="M136" i="7"/>
  <c r="M239" i="7" s="1"/>
  <c r="L136" i="7"/>
  <c r="L239" i="7" s="1"/>
  <c r="Q111" i="9"/>
  <c r="O136" i="7"/>
  <c r="O239" i="7" s="1"/>
  <c r="I136" i="7"/>
  <c r="I239" i="7" s="1"/>
  <c r="J136" i="7"/>
  <c r="J239" i="7" s="1"/>
  <c r="R136" i="7"/>
  <c r="R239" i="7" s="1"/>
  <c r="Q136" i="7"/>
  <c r="Q239" i="7" s="1"/>
  <c r="S136" i="7"/>
  <c r="S239" i="7" s="1"/>
  <c r="T141" i="5"/>
  <c r="I55" i="2" s="1"/>
  <c r="O188" i="5"/>
  <c r="O191" i="5"/>
  <c r="O189" i="5"/>
  <c r="O190" i="5"/>
  <c r="O173" i="5"/>
  <c r="O163" i="5"/>
  <c r="O165" i="5"/>
  <c r="O161" i="5"/>
  <c r="O164" i="5"/>
  <c r="O162" i="5"/>
  <c r="O177" i="5"/>
  <c r="O12" i="5"/>
  <c r="L216" i="5"/>
  <c r="K217" i="5"/>
  <c r="N282" i="7"/>
  <c r="N283" i="7" s="1"/>
  <c r="K38" i="3"/>
  <c r="J39" i="3"/>
  <c r="T109" i="4"/>
  <c r="L19" i="6"/>
  <c r="L20" i="6" s="1"/>
  <c r="I19" i="6"/>
  <c r="I20" i="6" s="1"/>
  <c r="M206" i="3"/>
  <c r="M64" i="3"/>
  <c r="M47" i="3"/>
  <c r="M57" i="3"/>
  <c r="O110" i="5"/>
  <c r="O112" i="5"/>
  <c r="O106" i="5"/>
  <c r="O243" i="5"/>
  <c r="O109" i="5"/>
  <c r="O111" i="5"/>
  <c r="R111" i="6"/>
  <c r="R243" i="6"/>
  <c r="R112" i="6"/>
  <c r="R110" i="6"/>
  <c r="R106" i="6"/>
  <c r="R109" i="6"/>
  <c r="T105" i="7"/>
  <c r="N166" i="7"/>
  <c r="K135" i="7"/>
  <c r="K238" i="7" s="1"/>
  <c r="L135" i="7"/>
  <c r="L238" i="7" s="1"/>
  <c r="N135" i="7"/>
  <c r="N238" i="7" s="1"/>
  <c r="S135" i="7"/>
  <c r="S238" i="7" s="1"/>
  <c r="O135" i="7"/>
  <c r="O238" i="7" s="1"/>
  <c r="M135" i="7"/>
  <c r="M238" i="7" s="1"/>
  <c r="Q135" i="7"/>
  <c r="Q238" i="7" s="1"/>
  <c r="I135" i="7"/>
  <c r="I238" i="7" s="1"/>
  <c r="R110" i="9"/>
  <c r="R135" i="7"/>
  <c r="R238" i="7" s="1"/>
  <c r="J135" i="7"/>
  <c r="J238" i="7" s="1"/>
  <c r="H135" i="7"/>
  <c r="P135" i="7"/>
  <c r="P238" i="7" s="1"/>
  <c r="H232" i="7"/>
  <c r="T232" i="7" s="1"/>
  <c r="T129" i="7"/>
  <c r="L67" i="5"/>
  <c r="J177" i="7"/>
  <c r="R125" i="9"/>
  <c r="I177" i="7"/>
  <c r="O177" i="7"/>
  <c r="M177" i="7"/>
  <c r="L177" i="7"/>
  <c r="R70" i="9"/>
  <c r="F96" i="7"/>
  <c r="H28" i="6"/>
  <c r="L141" i="6"/>
  <c r="L151" i="6" s="1"/>
  <c r="I141" i="6"/>
  <c r="I151" i="6" s="1"/>
  <c r="N111" i="6"/>
  <c r="O102" i="6"/>
  <c r="K243" i="6"/>
  <c r="K112" i="6"/>
  <c r="K110" i="6"/>
  <c r="K109" i="6"/>
  <c r="K106" i="6"/>
  <c r="K111" i="6"/>
  <c r="N166" i="5"/>
  <c r="N245" i="5" s="1"/>
  <c r="J283" i="6"/>
  <c r="J56" i="6"/>
  <c r="J205" i="6"/>
  <c r="J213" i="6"/>
  <c r="J63" i="6"/>
  <c r="J46" i="6"/>
  <c r="I217" i="5"/>
  <c r="S76" i="9"/>
  <c r="J99" i="7"/>
  <c r="M99" i="7"/>
  <c r="N99" i="7"/>
  <c r="R99" i="7"/>
  <c r="L99" i="7"/>
  <c r="Q99" i="7"/>
  <c r="S99" i="7"/>
  <c r="O99" i="7"/>
  <c r="I99" i="7"/>
  <c r="K99" i="7"/>
  <c r="H99" i="7"/>
  <c r="P99" i="7"/>
  <c r="Q76" i="9" s="1"/>
  <c r="O12" i="7"/>
  <c r="L245" i="5"/>
  <c r="L218" i="4"/>
  <c r="M282" i="3"/>
  <c r="M283" i="3" s="1"/>
  <c r="K170" i="3"/>
  <c r="I109" i="5"/>
  <c r="I111" i="5"/>
  <c r="I110" i="5"/>
  <c r="I112" i="5"/>
  <c r="I243" i="5"/>
  <c r="I106" i="5"/>
  <c r="S244" i="3"/>
  <c r="T244" i="3" s="1"/>
  <c r="S115" i="3"/>
  <c r="S150" i="3" s="1"/>
  <c r="Q244" i="4"/>
  <c r="Q115" i="4"/>
  <c r="Q150" i="4" s="1"/>
  <c r="T95" i="6"/>
  <c r="J166" i="6"/>
  <c r="J245" i="6" s="1"/>
  <c r="N113" i="4"/>
  <c r="T113" i="3"/>
  <c r="G50" i="2" s="1"/>
  <c r="L217" i="4"/>
  <c r="N115" i="5"/>
  <c r="N150" i="5" s="1"/>
  <c r="Q70" i="9"/>
  <c r="N93" i="7"/>
  <c r="R93" i="7"/>
  <c r="H93" i="7"/>
  <c r="P93" i="7"/>
  <c r="S93" i="7"/>
  <c r="S102" i="7" s="1"/>
  <c r="O93" i="7"/>
  <c r="O102" i="7" s="1"/>
  <c r="K93" i="7"/>
  <c r="I93" i="7"/>
  <c r="L93" i="7"/>
  <c r="M93" i="7"/>
  <c r="M102" i="7" s="1"/>
  <c r="Q93" i="7"/>
  <c r="J93" i="7"/>
  <c r="R127" i="9"/>
  <c r="N67" i="5"/>
  <c r="K205" i="6"/>
  <c r="K213" i="6"/>
  <c r="K46" i="6"/>
  <c r="K56" i="6"/>
  <c r="K63" i="6"/>
  <c r="K67" i="6" s="1"/>
  <c r="P4" i="3"/>
  <c r="O53" i="3"/>
  <c r="O11" i="3"/>
  <c r="O44" i="3"/>
  <c r="O144" i="3"/>
  <c r="O186" i="3"/>
  <c r="O251" i="3"/>
  <c r="O84" i="3"/>
  <c r="O27" i="3"/>
  <c r="O118" i="3"/>
  <c r="O203" i="3"/>
  <c r="O19" i="3"/>
  <c r="N73" i="3"/>
  <c r="N223" i="3" s="1"/>
  <c r="N71" i="3"/>
  <c r="N221" i="3" s="1"/>
  <c r="N72" i="3"/>
  <c r="N222" i="3" s="1"/>
  <c r="N70" i="3"/>
  <c r="T66" i="6"/>
  <c r="J33" i="2" s="1"/>
  <c r="H66" i="7"/>
  <c r="Q45" i="9"/>
  <c r="K66" i="7"/>
  <c r="L66" i="7"/>
  <c r="Q66" i="7"/>
  <c r="N66" i="7"/>
  <c r="J66" i="7"/>
  <c r="S66" i="7"/>
  <c r="M66" i="7"/>
  <c r="P66" i="7"/>
  <c r="I66" i="7"/>
  <c r="R66" i="7"/>
  <c r="O66" i="7"/>
  <c r="H78" i="3"/>
  <c r="H147" i="3"/>
  <c r="H77" i="3"/>
  <c r="S106" i="5"/>
  <c r="S112" i="5"/>
  <c r="S110" i="5"/>
  <c r="S243" i="5"/>
  <c r="S109" i="5"/>
  <c r="S111" i="5"/>
  <c r="M244" i="4"/>
  <c r="M115" i="4"/>
  <c r="M150" i="4" s="1"/>
  <c r="R224" i="7"/>
  <c r="S224" i="7"/>
  <c r="S141" i="7"/>
  <c r="S151" i="7" s="1"/>
  <c r="N224" i="7"/>
  <c r="T107" i="6"/>
  <c r="Q84" i="9"/>
  <c r="P107" i="7"/>
  <c r="O107" i="7"/>
  <c r="N107" i="7"/>
  <c r="H107" i="7"/>
  <c r="K107" i="7"/>
  <c r="S107" i="7"/>
  <c r="J107" i="7"/>
  <c r="I107" i="7"/>
  <c r="Q107" i="7"/>
  <c r="L107" i="7"/>
  <c r="R107" i="7"/>
  <c r="M107" i="7"/>
  <c r="H239" i="6"/>
  <c r="T239" i="6" s="1"/>
  <c r="T136" i="6"/>
  <c r="O28" i="5"/>
  <c r="O278" i="5"/>
  <c r="O280" i="5"/>
  <c r="O279" i="5"/>
  <c r="O272" i="5"/>
  <c r="O274" i="5"/>
  <c r="O277" i="5"/>
  <c r="O281" i="5"/>
  <c r="L244" i="4"/>
  <c r="L115" i="4"/>
  <c r="L150" i="4" s="1"/>
  <c r="I208" i="3"/>
  <c r="I209" i="3" s="1"/>
  <c r="I49" i="3"/>
  <c r="I50" i="3" s="1"/>
  <c r="I148" i="3" s="1"/>
  <c r="I41" i="3"/>
  <c r="I176" i="3"/>
  <c r="I59" i="3"/>
  <c r="H113" i="4"/>
  <c r="T106" i="4"/>
  <c r="T243" i="4"/>
  <c r="N141" i="7" l="1"/>
  <c r="N151" i="7" s="1"/>
  <c r="N110" i="6"/>
  <c r="N203" i="4"/>
  <c r="N251" i="4"/>
  <c r="N53" i="4"/>
  <c r="N44" i="4"/>
  <c r="N11" i="4"/>
  <c r="N12" i="4" s="1"/>
  <c r="N118" i="4"/>
  <c r="O4" i="4"/>
  <c r="N144" i="4"/>
  <c r="N27" i="4"/>
  <c r="N28" i="4" s="1"/>
  <c r="N19" i="4"/>
  <c r="N20" i="4" s="1"/>
  <c r="N186" i="4"/>
  <c r="N84" i="4"/>
  <c r="H237" i="7"/>
  <c r="T237" i="7" s="1"/>
  <c r="T134" i="7"/>
  <c r="M278" i="4"/>
  <c r="M274" i="4"/>
  <c r="M277" i="4"/>
  <c r="M281" i="4"/>
  <c r="M272" i="4"/>
  <c r="M280" i="4"/>
  <c r="M279" i="4"/>
  <c r="T88" i="7"/>
  <c r="R102" i="7"/>
  <c r="N109" i="6"/>
  <c r="P113" i="6"/>
  <c r="P244" i="6" s="1"/>
  <c r="K27" i="7"/>
  <c r="K28" i="7" s="1"/>
  <c r="M164" i="4"/>
  <c r="M173" i="4"/>
  <c r="M165" i="4"/>
  <c r="M162" i="4"/>
  <c r="M161" i="4"/>
  <c r="M166" i="4" s="1"/>
  <c r="M245" i="4" s="1"/>
  <c r="M163" i="4"/>
  <c r="M177" i="4"/>
  <c r="T233" i="7"/>
  <c r="N112" i="6"/>
  <c r="N243" i="6"/>
  <c r="P27" i="7"/>
  <c r="P28" i="7" s="1"/>
  <c r="M56" i="4"/>
  <c r="M216" i="4" s="1"/>
  <c r="M46" i="4"/>
  <c r="M205" i="4"/>
  <c r="M63" i="4"/>
  <c r="M213" i="4"/>
  <c r="T132" i="7"/>
  <c r="H235" i="7"/>
  <c r="T235" i="7" s="1"/>
  <c r="K113" i="6"/>
  <c r="K244" i="6" s="1"/>
  <c r="O27" i="7"/>
  <c r="O28" i="7" s="1"/>
  <c r="M65" i="4"/>
  <c r="M58" i="4"/>
  <c r="M218" i="4" s="1"/>
  <c r="M48" i="4"/>
  <c r="M207" i="4"/>
  <c r="N27" i="7"/>
  <c r="N28" i="7" s="1"/>
  <c r="T90" i="7"/>
  <c r="Q102" i="7"/>
  <c r="I27" i="7"/>
  <c r="I28" i="7" s="1"/>
  <c r="J243" i="6"/>
  <c r="H234" i="7"/>
  <c r="T234" i="7" s="1"/>
  <c r="T131" i="7"/>
  <c r="T87" i="7"/>
  <c r="T127" i="7"/>
  <c r="Q27" i="7"/>
  <c r="Q28" i="7" s="1"/>
  <c r="M57" i="4"/>
  <c r="M217" i="4" s="1"/>
  <c r="M47" i="4"/>
  <c r="M206" i="4"/>
  <c r="M64" i="4"/>
  <c r="M67" i="4" s="1"/>
  <c r="T91" i="7"/>
  <c r="I254" i="3"/>
  <c r="I261" i="3"/>
  <c r="J155" i="3"/>
  <c r="T94" i="7"/>
  <c r="K102" i="7"/>
  <c r="T230" i="7"/>
  <c r="M27" i="7"/>
  <c r="M28" i="7" s="1"/>
  <c r="J106" i="6"/>
  <c r="H226" i="7"/>
  <c r="T226" i="7" s="1"/>
  <c r="T123" i="7"/>
  <c r="T133" i="7"/>
  <c r="H236" i="7"/>
  <c r="T236" i="7" s="1"/>
  <c r="T92" i="7"/>
  <c r="L27" i="7"/>
  <c r="L28" i="7" s="1"/>
  <c r="M191" i="4"/>
  <c r="M190" i="4"/>
  <c r="M188" i="4"/>
  <c r="M189" i="4"/>
  <c r="H233" i="7"/>
  <c r="T130" i="7"/>
  <c r="N166" i="3"/>
  <c r="N245" i="3" s="1"/>
  <c r="O110" i="7"/>
  <c r="O109" i="7"/>
  <c r="O243" i="7"/>
  <c r="O111" i="7"/>
  <c r="O112" i="7"/>
  <c r="O106" i="7"/>
  <c r="O113" i="5"/>
  <c r="H246" i="3"/>
  <c r="S19" i="7"/>
  <c r="S20" i="7" s="1"/>
  <c r="O19" i="7"/>
  <c r="O20" i="7" s="1"/>
  <c r="K19" i="7"/>
  <c r="K20" i="7" s="1"/>
  <c r="Q12" i="9"/>
  <c r="H148" i="3"/>
  <c r="N216" i="3"/>
  <c r="L281" i="6"/>
  <c r="L278" i="6"/>
  <c r="L277" i="6"/>
  <c r="L280" i="6"/>
  <c r="L272" i="6"/>
  <c r="L279" i="6"/>
  <c r="L274" i="6"/>
  <c r="H28" i="7"/>
  <c r="T107" i="7"/>
  <c r="S113" i="5"/>
  <c r="O274" i="3"/>
  <c r="O281" i="3"/>
  <c r="O280" i="3"/>
  <c r="O279" i="3"/>
  <c r="O278" i="3"/>
  <c r="O272" i="3"/>
  <c r="O277" i="3"/>
  <c r="O12" i="3"/>
  <c r="L102" i="7"/>
  <c r="S111" i="7"/>
  <c r="S109" i="7"/>
  <c r="S110" i="7"/>
  <c r="S243" i="7"/>
  <c r="S112" i="7"/>
  <c r="S106" i="7"/>
  <c r="N102" i="7"/>
  <c r="T99" i="7"/>
  <c r="O109" i="6"/>
  <c r="O110" i="6"/>
  <c r="O112" i="6"/>
  <c r="O111" i="6"/>
  <c r="O106" i="6"/>
  <c r="O243" i="6"/>
  <c r="L57" i="6"/>
  <c r="L217" i="6" s="1"/>
  <c r="L47" i="6"/>
  <c r="L206" i="6"/>
  <c r="L64" i="6"/>
  <c r="T136" i="7"/>
  <c r="H239" i="7"/>
  <c r="T239" i="7" s="1"/>
  <c r="I141" i="7"/>
  <c r="I151" i="7" s="1"/>
  <c r="P113" i="5"/>
  <c r="K282" i="6"/>
  <c r="K283" i="6" s="1"/>
  <c r="H151" i="6"/>
  <c r="T151" i="6" s="1"/>
  <c r="T141" i="6"/>
  <c r="J55" i="2" s="1"/>
  <c r="R244" i="5"/>
  <c r="R115" i="5"/>
  <c r="R150" i="5" s="1"/>
  <c r="K113" i="5"/>
  <c r="O282" i="7"/>
  <c r="O283" i="7" s="1"/>
  <c r="P115" i="6"/>
  <c r="P150" i="6" s="1"/>
  <c r="Q113" i="5"/>
  <c r="S113" i="6"/>
  <c r="P65" i="5"/>
  <c r="P58" i="5"/>
  <c r="P218" i="5" s="1"/>
  <c r="P207" i="5"/>
  <c r="P48" i="5"/>
  <c r="O141" i="7"/>
  <c r="O151" i="7" s="1"/>
  <c r="N67" i="3"/>
  <c r="M144" i="6"/>
  <c r="M53" i="6"/>
  <c r="M251" i="6"/>
  <c r="N4" i="6"/>
  <c r="M44" i="6"/>
  <c r="M203" i="6"/>
  <c r="M186" i="6"/>
  <c r="M84" i="6"/>
  <c r="M118" i="6"/>
  <c r="M11" i="6"/>
  <c r="M12" i="6" s="1"/>
  <c r="M27" i="6"/>
  <c r="M28" i="6" s="1"/>
  <c r="M19" i="6"/>
  <c r="M20" i="6" s="1"/>
  <c r="P162" i="7"/>
  <c r="P163" i="7"/>
  <c r="P165" i="7"/>
  <c r="P173" i="7"/>
  <c r="P164" i="7"/>
  <c r="P161" i="7"/>
  <c r="M65" i="7"/>
  <c r="M58" i="7"/>
  <c r="M218" i="7" s="1"/>
  <c r="M48" i="7"/>
  <c r="M207" i="7"/>
  <c r="J48" i="7"/>
  <c r="J58" i="7"/>
  <c r="J218" i="7" s="1"/>
  <c r="J65" i="7"/>
  <c r="J207" i="7"/>
  <c r="S207" i="7"/>
  <c r="S48" i="7"/>
  <c r="S65" i="7"/>
  <c r="S58" i="7"/>
  <c r="S218" i="7" s="1"/>
  <c r="H47" i="6"/>
  <c r="H57" i="6"/>
  <c r="H206" i="6"/>
  <c r="H64" i="6"/>
  <c r="J141" i="7"/>
  <c r="J151" i="7" s="1"/>
  <c r="T243" i="5"/>
  <c r="N220" i="3"/>
  <c r="N74" i="3"/>
  <c r="M109" i="7"/>
  <c r="M111" i="7"/>
  <c r="M243" i="7"/>
  <c r="M110" i="7"/>
  <c r="M112" i="7"/>
  <c r="M106" i="7"/>
  <c r="M113" i="7" s="1"/>
  <c r="M244" i="7" s="1"/>
  <c r="O213" i="7"/>
  <c r="O56" i="7"/>
  <c r="O63" i="7"/>
  <c r="O205" i="7"/>
  <c r="O46" i="7"/>
  <c r="L38" i="3"/>
  <c r="K39" i="3"/>
  <c r="I243" i="6"/>
  <c r="I110" i="6"/>
  <c r="I111" i="6"/>
  <c r="I112" i="6"/>
  <c r="I106" i="6"/>
  <c r="I109" i="6"/>
  <c r="M111" i="6"/>
  <c r="M106" i="6"/>
  <c r="M109" i="6"/>
  <c r="M110" i="6"/>
  <c r="N79" i="9"/>
  <c r="M112" i="6"/>
  <c r="M243" i="6"/>
  <c r="Q53" i="5"/>
  <c r="Q251" i="5"/>
  <c r="Q186" i="5"/>
  <c r="Q27" i="5"/>
  <c r="Q144" i="5"/>
  <c r="Q84" i="5"/>
  <c r="Q44" i="5"/>
  <c r="Q203" i="5"/>
  <c r="Q11" i="5"/>
  <c r="Q12" i="5" s="1"/>
  <c r="Q118" i="5"/>
  <c r="R4" i="5"/>
  <c r="Q19" i="5"/>
  <c r="L48" i="6"/>
  <c r="L58" i="6"/>
  <c r="L218" i="6" s="1"/>
  <c r="L65" i="6"/>
  <c r="L207" i="6"/>
  <c r="H110" i="6"/>
  <c r="H243" i="6"/>
  <c r="H111" i="6"/>
  <c r="H109" i="6"/>
  <c r="T109" i="6" s="1"/>
  <c r="H112" i="6"/>
  <c r="T102" i="6"/>
  <c r="J49" i="2" s="1"/>
  <c r="H106" i="6"/>
  <c r="Q65" i="7"/>
  <c r="Q207" i="7"/>
  <c r="Q48" i="7"/>
  <c r="Q58" i="7"/>
  <c r="Q218" i="7" s="1"/>
  <c r="T111" i="5"/>
  <c r="I77" i="3"/>
  <c r="I78" i="3"/>
  <c r="I147" i="3"/>
  <c r="O207" i="5"/>
  <c r="O58" i="5"/>
  <c r="O65" i="5"/>
  <c r="O48" i="5"/>
  <c r="T66" i="7"/>
  <c r="K33" i="2" s="1"/>
  <c r="O162" i="3"/>
  <c r="O175" i="3"/>
  <c r="O177" i="3"/>
  <c r="O173" i="3"/>
  <c r="O161" i="3"/>
  <c r="O163" i="3"/>
  <c r="O164" i="3"/>
  <c r="O165" i="3"/>
  <c r="O199" i="3"/>
  <c r="O196" i="3"/>
  <c r="O191" i="3"/>
  <c r="O189" i="3"/>
  <c r="O198" i="3"/>
  <c r="O188" i="3"/>
  <c r="O195" i="3"/>
  <c r="O194" i="3"/>
  <c r="O190" i="3"/>
  <c r="O197" i="3"/>
  <c r="O72" i="3"/>
  <c r="O71" i="3"/>
  <c r="O221" i="3" s="1"/>
  <c r="O70" i="3"/>
  <c r="O73" i="3"/>
  <c r="O223" i="3" s="1"/>
  <c r="J102" i="7"/>
  <c r="I102" i="7"/>
  <c r="P102" i="7"/>
  <c r="I113" i="5"/>
  <c r="N113" i="6"/>
  <c r="H58" i="6"/>
  <c r="H48" i="6"/>
  <c r="H207" i="6"/>
  <c r="H65" i="6"/>
  <c r="H238" i="7"/>
  <c r="T238" i="7" s="1"/>
  <c r="T135" i="7"/>
  <c r="N245" i="7"/>
  <c r="O213" i="5"/>
  <c r="O205" i="5"/>
  <c r="O46" i="5"/>
  <c r="O56" i="5"/>
  <c r="O63" i="5"/>
  <c r="O166" i="5"/>
  <c r="O245" i="5" s="1"/>
  <c r="T224" i="7"/>
  <c r="N282" i="3"/>
  <c r="N283" i="3" s="1"/>
  <c r="K166" i="6"/>
  <c r="K245" i="6" s="1"/>
  <c r="M113" i="5"/>
  <c r="L113" i="5"/>
  <c r="N174" i="3"/>
  <c r="O166" i="7"/>
  <c r="O245" i="7" s="1"/>
  <c r="P274" i="5"/>
  <c r="P281" i="5"/>
  <c r="P280" i="5"/>
  <c r="P278" i="5"/>
  <c r="P272" i="5"/>
  <c r="P277" i="5"/>
  <c r="P279" i="5"/>
  <c r="P206" i="5"/>
  <c r="P57" i="5"/>
  <c r="P217" i="5" s="1"/>
  <c r="P64" i="5"/>
  <c r="P47" i="5"/>
  <c r="H248" i="3"/>
  <c r="L190" i="6"/>
  <c r="L188" i="6"/>
  <c r="L189" i="6"/>
  <c r="L191" i="6"/>
  <c r="T115" i="3"/>
  <c r="G52" i="2" s="1"/>
  <c r="H217" i="5"/>
  <c r="P213" i="7"/>
  <c r="P46" i="7"/>
  <c r="P205" i="7"/>
  <c r="P63" i="7"/>
  <c r="P56" i="7"/>
  <c r="P189" i="7"/>
  <c r="Q130" i="9"/>
  <c r="P191" i="7"/>
  <c r="Q135" i="9" s="1"/>
  <c r="P188" i="7"/>
  <c r="P190" i="7"/>
  <c r="Q134" i="9" s="1"/>
  <c r="L113" i="6"/>
  <c r="N207" i="7"/>
  <c r="N48" i="7"/>
  <c r="N58" i="7"/>
  <c r="N218" i="7" s="1"/>
  <c r="N65" i="7"/>
  <c r="L65" i="7"/>
  <c r="L48" i="7"/>
  <c r="L58" i="7"/>
  <c r="L218" i="7" s="1"/>
  <c r="L207" i="7"/>
  <c r="K58" i="7"/>
  <c r="K218" i="7" s="1"/>
  <c r="K65" i="7"/>
  <c r="K48" i="7"/>
  <c r="K207" i="7"/>
  <c r="J115" i="5"/>
  <c r="J150" i="5" s="1"/>
  <c r="H113" i="5"/>
  <c r="T106" i="5"/>
  <c r="T112" i="5"/>
  <c r="I219" i="3"/>
  <c r="I246" i="3" s="1"/>
  <c r="I255" i="3" s="1"/>
  <c r="I60" i="3"/>
  <c r="O20" i="3"/>
  <c r="R243" i="7"/>
  <c r="R112" i="7"/>
  <c r="R109" i="7"/>
  <c r="R110" i="7"/>
  <c r="R111" i="7"/>
  <c r="R106" i="7"/>
  <c r="N244" i="4"/>
  <c r="N115" i="4"/>
  <c r="N150" i="4" s="1"/>
  <c r="J67" i="6"/>
  <c r="R73" i="9"/>
  <c r="K48" i="2"/>
  <c r="I206" i="6"/>
  <c r="I47" i="6"/>
  <c r="I57" i="6"/>
  <c r="I64" i="6"/>
  <c r="I67" i="6" s="1"/>
  <c r="P213" i="5"/>
  <c r="P205" i="5"/>
  <c r="P46" i="5"/>
  <c r="P56" i="5"/>
  <c r="P63" i="5"/>
  <c r="P67" i="5" s="1"/>
  <c r="P188" i="5"/>
  <c r="P191" i="5"/>
  <c r="P189" i="5"/>
  <c r="P190" i="5"/>
  <c r="L163" i="6"/>
  <c r="L161" i="6"/>
  <c r="L165" i="6"/>
  <c r="L164" i="6"/>
  <c r="L162" i="6"/>
  <c r="L173" i="6"/>
  <c r="L177" i="6"/>
  <c r="O58" i="7"/>
  <c r="O218" i="7" s="1"/>
  <c r="O48" i="7"/>
  <c r="O207" i="7"/>
  <c r="O65" i="7"/>
  <c r="H244" i="4"/>
  <c r="T244" i="4" s="1"/>
  <c r="T113" i="4"/>
  <c r="H50" i="2" s="1"/>
  <c r="H115" i="4"/>
  <c r="O282" i="5"/>
  <c r="R141" i="7"/>
  <c r="R151" i="7" s="1"/>
  <c r="H79" i="3"/>
  <c r="H81" i="3" s="1"/>
  <c r="O28" i="3"/>
  <c r="Q4" i="3"/>
  <c r="P53" i="3"/>
  <c r="P44" i="3"/>
  <c r="P251" i="3"/>
  <c r="P144" i="3"/>
  <c r="P118" i="3"/>
  <c r="P203" i="3"/>
  <c r="P84" i="3"/>
  <c r="P11" i="3"/>
  <c r="P12" i="3" s="1"/>
  <c r="P186" i="3"/>
  <c r="P19" i="3"/>
  <c r="P20" i="3" s="1"/>
  <c r="P27" i="3"/>
  <c r="P28" i="3" s="1"/>
  <c r="K216" i="6"/>
  <c r="Q110" i="7"/>
  <c r="Q109" i="7"/>
  <c r="Q243" i="7"/>
  <c r="Q112" i="7"/>
  <c r="Q111" i="7"/>
  <c r="Q106" i="7"/>
  <c r="K109" i="7"/>
  <c r="K243" i="7"/>
  <c r="K110" i="7"/>
  <c r="K112" i="7"/>
  <c r="K111" i="7"/>
  <c r="K106" i="7"/>
  <c r="T93" i="7"/>
  <c r="H102" i="7"/>
  <c r="L171" i="3"/>
  <c r="J216" i="6"/>
  <c r="R113" i="6"/>
  <c r="M217" i="3"/>
  <c r="J49" i="3"/>
  <c r="J50" i="3" s="1"/>
  <c r="J148" i="3" s="1"/>
  <c r="J59" i="3"/>
  <c r="J176" i="3"/>
  <c r="K177" i="3" s="1"/>
  <c r="J208" i="3"/>
  <c r="J209" i="3" s="1"/>
  <c r="J41" i="3"/>
  <c r="H151" i="7"/>
  <c r="Q141" i="7"/>
  <c r="Q151" i="7" s="1"/>
  <c r="M216" i="3"/>
  <c r="M67" i="3"/>
  <c r="M266" i="3"/>
  <c r="M256" i="3"/>
  <c r="P141" i="7"/>
  <c r="P151" i="7" s="1"/>
  <c r="S206" i="6"/>
  <c r="S47" i="6"/>
  <c r="S57" i="6"/>
  <c r="S64" i="6"/>
  <c r="S67" i="6" s="1"/>
  <c r="P165" i="5"/>
  <c r="P164" i="5"/>
  <c r="P161" i="5"/>
  <c r="P162" i="5"/>
  <c r="P173" i="5"/>
  <c r="P163" i="5"/>
  <c r="P177" i="5"/>
  <c r="K141" i="7"/>
  <c r="K151" i="7" s="1"/>
  <c r="L141" i="7"/>
  <c r="L151" i="7" s="1"/>
  <c r="L12" i="6"/>
  <c r="T150" i="3"/>
  <c r="M218" i="3"/>
  <c r="T95" i="7"/>
  <c r="H67" i="5"/>
  <c r="Q251" i="7"/>
  <c r="Q11" i="7"/>
  <c r="R4" i="7"/>
  <c r="R19" i="7" s="1"/>
  <c r="R20" i="7" s="1"/>
  <c r="Q203" i="7"/>
  <c r="Q84" i="7"/>
  <c r="Q53" i="7"/>
  <c r="Q44" i="7"/>
  <c r="Q118" i="7"/>
  <c r="Q144" i="7"/>
  <c r="Q186" i="7"/>
  <c r="P278" i="7"/>
  <c r="P279" i="7"/>
  <c r="P277" i="7"/>
  <c r="P281" i="7"/>
  <c r="P272" i="7"/>
  <c r="P274" i="7"/>
  <c r="P280" i="7"/>
  <c r="Q113" i="6"/>
  <c r="I207" i="7"/>
  <c r="I65" i="7"/>
  <c r="I48" i="7"/>
  <c r="I58" i="7"/>
  <c r="I218" i="7" s="1"/>
  <c r="P207" i="7"/>
  <c r="P48" i="7"/>
  <c r="P65" i="7"/>
  <c r="P58" i="7"/>
  <c r="P218" i="7" s="1"/>
  <c r="M141" i="7"/>
  <c r="M151" i="7" s="1"/>
  <c r="T109" i="5"/>
  <c r="T110" i="5"/>
  <c r="N200" i="3"/>
  <c r="J113" i="6"/>
  <c r="N64" i="4" l="1"/>
  <c r="N57" i="4"/>
  <c r="N217" i="4" s="1"/>
  <c r="N47" i="4"/>
  <c r="N206" i="4"/>
  <c r="N207" i="4"/>
  <c r="N58" i="4"/>
  <c r="N218" i="4" s="1"/>
  <c r="N48" i="4"/>
  <c r="N65" i="4"/>
  <c r="J261" i="3"/>
  <c r="J254" i="3"/>
  <c r="K155" i="3"/>
  <c r="M283" i="4"/>
  <c r="O19" i="4"/>
  <c r="O20" i="4" s="1"/>
  <c r="P4" i="4"/>
  <c r="O44" i="4"/>
  <c r="O118" i="4"/>
  <c r="O144" i="4"/>
  <c r="O53" i="4"/>
  <c r="O27" i="4"/>
  <c r="O28" i="4" s="1"/>
  <c r="O84" i="4"/>
  <c r="O186" i="4"/>
  <c r="O251" i="4"/>
  <c r="O203" i="4"/>
  <c r="O11" i="4"/>
  <c r="O12" i="4" s="1"/>
  <c r="N173" i="4"/>
  <c r="N164" i="4"/>
  <c r="N161" i="4"/>
  <c r="N163" i="4"/>
  <c r="N165" i="4"/>
  <c r="N162" i="4"/>
  <c r="M282" i="4"/>
  <c r="N56" i="4"/>
  <c r="N216" i="4" s="1"/>
  <c r="N213" i="4"/>
  <c r="N63" i="4"/>
  <c r="N67" i="4" s="1"/>
  <c r="N205" i="4"/>
  <c r="N46" i="4"/>
  <c r="T112" i="6"/>
  <c r="N280" i="4"/>
  <c r="N277" i="4"/>
  <c r="N281" i="4"/>
  <c r="N274" i="4"/>
  <c r="N272" i="4"/>
  <c r="N278" i="4"/>
  <c r="N279" i="4"/>
  <c r="R113" i="7"/>
  <c r="R244" i="7" s="1"/>
  <c r="K115" i="6"/>
  <c r="K150" i="6" s="1"/>
  <c r="N190" i="4"/>
  <c r="N191" i="4"/>
  <c r="N188" i="4"/>
  <c r="N189" i="4"/>
  <c r="I248" i="3"/>
  <c r="I262" i="3" s="1"/>
  <c r="H149" i="3"/>
  <c r="Q272" i="7"/>
  <c r="Q278" i="7"/>
  <c r="Q274" i="7"/>
  <c r="Q281" i="7"/>
  <c r="Q279" i="7"/>
  <c r="Q280" i="7"/>
  <c r="Q277" i="7"/>
  <c r="L170" i="3"/>
  <c r="O57" i="3"/>
  <c r="O47" i="3"/>
  <c r="O206" i="3"/>
  <c r="O64" i="3"/>
  <c r="O67" i="5"/>
  <c r="H218" i="6"/>
  <c r="I244" i="5"/>
  <c r="I115" i="5"/>
  <c r="I150" i="5" s="1"/>
  <c r="O222" i="3"/>
  <c r="M115" i="7"/>
  <c r="M150" i="7" s="1"/>
  <c r="M47" i="6"/>
  <c r="M57" i="6"/>
  <c r="M217" i="6" s="1"/>
  <c r="M206" i="6"/>
  <c r="M64" i="6"/>
  <c r="N11" i="6"/>
  <c r="N144" i="6"/>
  <c r="N84" i="6"/>
  <c r="N186" i="6"/>
  <c r="N203" i="6"/>
  <c r="N53" i="6"/>
  <c r="N118" i="6"/>
  <c r="N251" i="6"/>
  <c r="O4" i="6"/>
  <c r="N44" i="6"/>
  <c r="N27" i="6"/>
  <c r="N19" i="6"/>
  <c r="N20" i="6" s="1"/>
  <c r="S244" i="6"/>
  <c r="S115" i="6"/>
  <c r="S150" i="6" s="1"/>
  <c r="O282" i="3"/>
  <c r="O283" i="3" s="1"/>
  <c r="S244" i="5"/>
  <c r="S115" i="5"/>
  <c r="S150" i="5" s="1"/>
  <c r="R57" i="7"/>
  <c r="R217" i="7" s="1"/>
  <c r="R206" i="7"/>
  <c r="R47" i="7"/>
  <c r="R64" i="7"/>
  <c r="K57" i="7"/>
  <c r="K47" i="7"/>
  <c r="K206" i="7"/>
  <c r="K64" i="7"/>
  <c r="K67" i="7" s="1"/>
  <c r="O57" i="7"/>
  <c r="O217" i="7" s="1"/>
  <c r="O47" i="7"/>
  <c r="O206" i="7"/>
  <c r="O64" i="7"/>
  <c r="S57" i="7"/>
  <c r="S47" i="7"/>
  <c r="S206" i="7"/>
  <c r="S64" i="7"/>
  <c r="S67" i="7" s="1"/>
  <c r="N266" i="3"/>
  <c r="N268" i="3" s="1"/>
  <c r="N256" i="3"/>
  <c r="P282" i="7"/>
  <c r="J147" i="3"/>
  <c r="J77" i="3"/>
  <c r="J78" i="3"/>
  <c r="R244" i="6"/>
  <c r="R115" i="6"/>
  <c r="R150" i="6" s="1"/>
  <c r="P57" i="3"/>
  <c r="P217" i="3" s="1"/>
  <c r="P64" i="3"/>
  <c r="P206" i="3"/>
  <c r="P47" i="3"/>
  <c r="O207" i="3"/>
  <c r="O58" i="3"/>
  <c r="O174" i="3"/>
  <c r="O65" i="3"/>
  <c r="O48" i="3"/>
  <c r="L244" i="6"/>
  <c r="L115" i="6"/>
  <c r="L150" i="6" s="1"/>
  <c r="Q133" i="9"/>
  <c r="T106" i="6"/>
  <c r="H113" i="6"/>
  <c r="R118" i="5"/>
  <c r="R251" i="5"/>
  <c r="R11" i="5"/>
  <c r="R12" i="5" s="1"/>
  <c r="R186" i="5"/>
  <c r="R203" i="5"/>
  <c r="R53" i="5"/>
  <c r="R144" i="5"/>
  <c r="R19" i="5"/>
  <c r="R20" i="5" s="1"/>
  <c r="R27" i="5"/>
  <c r="R28" i="5" s="1"/>
  <c r="S4" i="5"/>
  <c r="R44" i="5"/>
  <c r="R84" i="5"/>
  <c r="Q188" i="5"/>
  <c r="Q191" i="5"/>
  <c r="Q189" i="5"/>
  <c r="Q190" i="5"/>
  <c r="Q165" i="7"/>
  <c r="Q161" i="7"/>
  <c r="Q162" i="7"/>
  <c r="Q163" i="7"/>
  <c r="Q164" i="7"/>
  <c r="Q173" i="7"/>
  <c r="L205" i="6"/>
  <c r="L63" i="6"/>
  <c r="L213" i="6"/>
  <c r="L46" i="6"/>
  <c r="L56" i="6"/>
  <c r="S217" i="6"/>
  <c r="H110" i="7"/>
  <c r="H243" i="7"/>
  <c r="H111" i="7"/>
  <c r="H109" i="7"/>
  <c r="H112" i="7"/>
  <c r="T102" i="7"/>
  <c r="K49" i="2" s="1"/>
  <c r="H106" i="7"/>
  <c r="P189" i="3"/>
  <c r="P194" i="3"/>
  <c r="P197" i="3"/>
  <c r="P196" i="3"/>
  <c r="P191" i="3"/>
  <c r="P188" i="3"/>
  <c r="P199" i="3"/>
  <c r="P198" i="3"/>
  <c r="P190" i="3"/>
  <c r="P195" i="3"/>
  <c r="P162" i="3"/>
  <c r="P175" i="3"/>
  <c r="P174" i="3" s="1"/>
  <c r="P177" i="3"/>
  <c r="P161" i="3"/>
  <c r="P165" i="3"/>
  <c r="P173" i="3"/>
  <c r="P163" i="3"/>
  <c r="P164" i="3"/>
  <c r="P72" i="3"/>
  <c r="P222" i="3" s="1"/>
  <c r="P73" i="3"/>
  <c r="P71" i="3"/>
  <c r="P70" i="3"/>
  <c r="P216" i="5"/>
  <c r="I81" i="3"/>
  <c r="I149" i="3" s="1"/>
  <c r="I152" i="3" s="1"/>
  <c r="I157" i="3" s="1"/>
  <c r="E11" i="10"/>
  <c r="P282" i="5"/>
  <c r="O216" i="5"/>
  <c r="N244" i="6"/>
  <c r="N115" i="6"/>
  <c r="N150" i="6" s="1"/>
  <c r="Q79" i="9"/>
  <c r="P112" i="7"/>
  <c r="P109" i="7"/>
  <c r="P110" i="7"/>
  <c r="P111" i="7"/>
  <c r="P243" i="7"/>
  <c r="P106" i="7"/>
  <c r="O200" i="3"/>
  <c r="O218" i="5"/>
  <c r="I79" i="3"/>
  <c r="T111" i="6"/>
  <c r="Q161" i="5"/>
  <c r="Q162" i="5"/>
  <c r="Q173" i="5"/>
  <c r="Q164" i="5"/>
  <c r="Q165" i="5"/>
  <c r="Q163" i="5"/>
  <c r="Q277" i="5"/>
  <c r="Q279" i="5"/>
  <c r="Q272" i="5"/>
  <c r="Q281" i="5"/>
  <c r="Q278" i="5"/>
  <c r="Q280" i="5"/>
  <c r="Q274" i="5"/>
  <c r="M113" i="6"/>
  <c r="I113" i="6"/>
  <c r="O67" i="7"/>
  <c r="H67" i="6"/>
  <c r="H217" i="6"/>
  <c r="M207" i="6"/>
  <c r="M65" i="6"/>
  <c r="M48" i="6"/>
  <c r="M58" i="6"/>
  <c r="M218" i="6" s="1"/>
  <c r="M189" i="6"/>
  <c r="N133" i="9" s="1"/>
  <c r="N130" i="9"/>
  <c r="M190" i="6"/>
  <c r="N134" i="9" s="1"/>
  <c r="M191" i="6"/>
  <c r="N135" i="9" s="1"/>
  <c r="M188" i="6"/>
  <c r="M278" i="6"/>
  <c r="M279" i="6"/>
  <c r="M277" i="6"/>
  <c r="M280" i="6"/>
  <c r="M274" i="6"/>
  <c r="M281" i="6"/>
  <c r="M272" i="6"/>
  <c r="N111" i="7"/>
  <c r="N243" i="7"/>
  <c r="N109" i="7"/>
  <c r="N110" i="7"/>
  <c r="N112" i="7"/>
  <c r="N106" i="7"/>
  <c r="L110" i="7"/>
  <c r="L111" i="7"/>
  <c r="L112" i="7"/>
  <c r="L109" i="7"/>
  <c r="L243" i="7"/>
  <c r="L106" i="7"/>
  <c r="H65" i="7"/>
  <c r="H58" i="7"/>
  <c r="H48" i="7"/>
  <c r="H207" i="7"/>
  <c r="L282" i="6"/>
  <c r="Q19" i="7"/>
  <c r="Q20" i="7" s="1"/>
  <c r="P19" i="7"/>
  <c r="P20" i="7" s="1"/>
  <c r="L19" i="7"/>
  <c r="L20" i="7" s="1"/>
  <c r="O244" i="5"/>
  <c r="O115" i="5"/>
  <c r="O150" i="5" s="1"/>
  <c r="J244" i="6"/>
  <c r="J115" i="6"/>
  <c r="J150" i="6" s="1"/>
  <c r="Q244" i="6"/>
  <c r="Q115" i="6"/>
  <c r="Q150" i="6" s="1"/>
  <c r="P283" i="7"/>
  <c r="R11" i="7"/>
  <c r="R12" i="7" s="1"/>
  <c r="R203" i="7"/>
  <c r="R186" i="7"/>
  <c r="R118" i="7"/>
  <c r="R144" i="7"/>
  <c r="R44" i="7"/>
  <c r="S4" i="7"/>
  <c r="R53" i="7"/>
  <c r="R251" i="7"/>
  <c r="R84" i="7"/>
  <c r="R27" i="7"/>
  <c r="T141" i="7"/>
  <c r="K55" i="2" s="1"/>
  <c r="Q113" i="7"/>
  <c r="P213" i="3"/>
  <c r="P46" i="3"/>
  <c r="P205" i="3"/>
  <c r="P63" i="3"/>
  <c r="P56" i="3"/>
  <c r="Q118" i="3"/>
  <c r="Q11" i="3"/>
  <c r="Q12" i="3" s="1"/>
  <c r="Q186" i="3"/>
  <c r="Q203" i="3"/>
  <c r="Q84" i="3"/>
  <c r="R4" i="3"/>
  <c r="Q53" i="3"/>
  <c r="Q44" i="3"/>
  <c r="Q251" i="3"/>
  <c r="Q144" i="3"/>
  <c r="Q27" i="3"/>
  <c r="Q28" i="3" s="1"/>
  <c r="Q19" i="3"/>
  <c r="Q20" i="3" s="1"/>
  <c r="T115" i="4"/>
  <c r="H52" i="2" s="1"/>
  <c r="H150" i="4"/>
  <c r="T150" i="4" s="1"/>
  <c r="L166" i="6"/>
  <c r="R115" i="7"/>
  <c r="R150" i="7" s="1"/>
  <c r="T113" i="5"/>
  <c r="I50" i="2" s="1"/>
  <c r="H244" i="5"/>
  <c r="H115" i="5"/>
  <c r="Q132" i="9"/>
  <c r="P216" i="7"/>
  <c r="H262" i="3"/>
  <c r="P283" i="5"/>
  <c r="I111" i="7"/>
  <c r="I109" i="7"/>
  <c r="I112" i="7"/>
  <c r="I243" i="7"/>
  <c r="I110" i="7"/>
  <c r="I106" i="7"/>
  <c r="O220" i="3"/>
  <c r="O74" i="3"/>
  <c r="O166" i="3"/>
  <c r="O245" i="3" s="1"/>
  <c r="T243" i="6"/>
  <c r="Q63" i="5"/>
  <c r="Q205" i="5"/>
  <c r="Q213" i="5"/>
  <c r="Q56" i="5"/>
  <c r="Q46" i="5"/>
  <c r="K49" i="3"/>
  <c r="K50" i="3" s="1"/>
  <c r="K148" i="3" s="1"/>
  <c r="K176" i="3"/>
  <c r="K59" i="3"/>
  <c r="K41" i="3"/>
  <c r="K208" i="3"/>
  <c r="O216" i="7"/>
  <c r="P166" i="7"/>
  <c r="M205" i="6"/>
  <c r="M63" i="6"/>
  <c r="M46" i="6"/>
  <c r="M56" i="6"/>
  <c r="M213" i="6"/>
  <c r="P244" i="5"/>
  <c r="P115" i="5"/>
  <c r="P150" i="5" s="1"/>
  <c r="S113" i="7"/>
  <c r="O283" i="5"/>
  <c r="N19" i="7"/>
  <c r="N20" i="7" s="1"/>
  <c r="M19" i="7"/>
  <c r="M20" i="7" s="1"/>
  <c r="I19" i="7"/>
  <c r="I20" i="7" s="1"/>
  <c r="H255" i="3"/>
  <c r="O113" i="7"/>
  <c r="Q190" i="7"/>
  <c r="Q188" i="7"/>
  <c r="Q191" i="7"/>
  <c r="Q189" i="7"/>
  <c r="Q12" i="7"/>
  <c r="P166" i="5"/>
  <c r="P245" i="5" s="1"/>
  <c r="M268" i="3"/>
  <c r="T151" i="7"/>
  <c r="J219" i="3"/>
  <c r="J246" i="3" s="1"/>
  <c r="J255" i="3" s="1"/>
  <c r="J60" i="3"/>
  <c r="K113" i="7"/>
  <c r="P58" i="3"/>
  <c r="P218" i="3" s="1"/>
  <c r="P48" i="3"/>
  <c r="P207" i="3"/>
  <c r="P65" i="3"/>
  <c r="P280" i="3"/>
  <c r="P279" i="3"/>
  <c r="P274" i="3"/>
  <c r="P281" i="3"/>
  <c r="P278" i="3"/>
  <c r="P272" i="3"/>
  <c r="P277" i="3"/>
  <c r="I217" i="6"/>
  <c r="L244" i="5"/>
  <c r="L115" i="5"/>
  <c r="L150" i="5" s="1"/>
  <c r="M244" i="5"/>
  <c r="M115" i="5"/>
  <c r="M150" i="5" s="1"/>
  <c r="J112" i="7"/>
  <c r="J110" i="7"/>
  <c r="J243" i="7"/>
  <c r="J111" i="7"/>
  <c r="J109" i="7"/>
  <c r="J106" i="7"/>
  <c r="T110" i="6"/>
  <c r="Q20" i="5"/>
  <c r="T19" i="5"/>
  <c r="Q28" i="5"/>
  <c r="T27" i="5"/>
  <c r="L39" i="3"/>
  <c r="M38" i="3"/>
  <c r="M165" i="6"/>
  <c r="M163" i="6"/>
  <c r="M173" i="6"/>
  <c r="M164" i="6"/>
  <c r="M161" i="6"/>
  <c r="M162" i="6"/>
  <c r="M177" i="6"/>
  <c r="Q244" i="5"/>
  <c r="Q115" i="5"/>
  <c r="Q150" i="5" s="1"/>
  <c r="K244" i="5"/>
  <c r="K115" i="5"/>
  <c r="K150" i="5" s="1"/>
  <c r="T11" i="5"/>
  <c r="O113" i="6"/>
  <c r="O56" i="3"/>
  <c r="O205" i="3"/>
  <c r="O63" i="3"/>
  <c r="O213" i="3"/>
  <c r="O46" i="3"/>
  <c r="L283" i="6"/>
  <c r="J19" i="7"/>
  <c r="J20" i="7" s="1"/>
  <c r="H19" i="7"/>
  <c r="K254" i="3" l="1"/>
  <c r="K261" i="3"/>
  <c r="L155" i="3"/>
  <c r="O277" i="4"/>
  <c r="O281" i="4"/>
  <c r="O274" i="4"/>
  <c r="O278" i="4"/>
  <c r="O280" i="4"/>
  <c r="O272" i="4"/>
  <c r="O279" i="4"/>
  <c r="O189" i="4"/>
  <c r="O191" i="4"/>
  <c r="O190" i="4"/>
  <c r="O188" i="4"/>
  <c r="T111" i="7"/>
  <c r="O207" i="4"/>
  <c r="O58" i="4"/>
  <c r="O218" i="4" s="1"/>
  <c r="O48" i="4"/>
  <c r="O65" i="4"/>
  <c r="O177" i="4"/>
  <c r="O162" i="4"/>
  <c r="O164" i="4"/>
  <c r="O165" i="4"/>
  <c r="O173" i="4"/>
  <c r="O163" i="4"/>
  <c r="O161" i="4"/>
  <c r="O213" i="4"/>
  <c r="O63" i="4"/>
  <c r="O205" i="4"/>
  <c r="O56" i="4"/>
  <c r="O216" i="4" s="1"/>
  <c r="O46" i="4"/>
  <c r="N282" i="4"/>
  <c r="N283" i="4" s="1"/>
  <c r="N166" i="4"/>
  <c r="N245" i="4" s="1"/>
  <c r="P67" i="3"/>
  <c r="P44" i="4"/>
  <c r="P53" i="4"/>
  <c r="P186" i="4"/>
  <c r="Q4" i="4"/>
  <c r="P27" i="4"/>
  <c r="P11" i="4"/>
  <c r="P12" i="4" s="1"/>
  <c r="P118" i="4"/>
  <c r="P251" i="4"/>
  <c r="P203" i="4"/>
  <c r="P19" i="4"/>
  <c r="P20" i="4" s="1"/>
  <c r="P144" i="4"/>
  <c r="P84" i="4"/>
  <c r="O64" i="4"/>
  <c r="O206" i="4"/>
  <c r="O47" i="4"/>
  <c r="O57" i="4"/>
  <c r="O217" i="4" s="1"/>
  <c r="H20" i="7"/>
  <c r="T19" i="7"/>
  <c r="M166" i="6"/>
  <c r="M245" i="6" s="1"/>
  <c r="M47" i="7"/>
  <c r="M57" i="7"/>
  <c r="M206" i="7"/>
  <c r="M64" i="7"/>
  <c r="M67" i="7" s="1"/>
  <c r="Q280" i="3"/>
  <c r="Q281" i="3"/>
  <c r="Q279" i="3"/>
  <c r="Q278" i="3"/>
  <c r="Q272" i="3"/>
  <c r="Q277" i="3"/>
  <c r="Q274" i="3"/>
  <c r="Q164" i="3"/>
  <c r="Q175" i="3"/>
  <c r="Q174" i="3" s="1"/>
  <c r="Q161" i="3"/>
  <c r="Q165" i="3"/>
  <c r="Q162" i="3"/>
  <c r="Q163" i="3"/>
  <c r="Q173" i="3"/>
  <c r="R279" i="7"/>
  <c r="R272" i="7"/>
  <c r="R274" i="7"/>
  <c r="R278" i="7"/>
  <c r="R280" i="7"/>
  <c r="R277" i="7"/>
  <c r="R281" i="7"/>
  <c r="P47" i="7"/>
  <c r="P57" i="7"/>
  <c r="P206" i="7"/>
  <c r="P64" i="7"/>
  <c r="P67" i="7" s="1"/>
  <c r="M244" i="6"/>
  <c r="M115" i="6"/>
  <c r="M150" i="6" s="1"/>
  <c r="T110" i="7"/>
  <c r="L216" i="6"/>
  <c r="L67" i="6"/>
  <c r="R58" i="5"/>
  <c r="R218" i="5" s="1"/>
  <c r="R207" i="5"/>
  <c r="R65" i="5"/>
  <c r="R48" i="5"/>
  <c r="R162" i="5"/>
  <c r="R164" i="5"/>
  <c r="R173" i="5"/>
  <c r="R165" i="5"/>
  <c r="R161" i="5"/>
  <c r="R163" i="5"/>
  <c r="R177" i="5"/>
  <c r="P4" i="6"/>
  <c r="O44" i="6"/>
  <c r="O118" i="6"/>
  <c r="O84" i="6"/>
  <c r="O11" i="6"/>
  <c r="O12" i="6" s="1"/>
  <c r="O53" i="6"/>
  <c r="O203" i="6"/>
  <c r="O186" i="6"/>
  <c r="O251" i="6"/>
  <c r="O144" i="6"/>
  <c r="O27" i="6"/>
  <c r="O28" i="6" s="1"/>
  <c r="O19" i="6"/>
  <c r="N12" i="6"/>
  <c r="J47" i="7"/>
  <c r="J57" i="7"/>
  <c r="J206" i="7"/>
  <c r="J64" i="7"/>
  <c r="J67" i="7" s="1"/>
  <c r="O216" i="3"/>
  <c r="L49" i="3"/>
  <c r="L176" i="3"/>
  <c r="L208" i="3"/>
  <c r="L209" i="3" s="1"/>
  <c r="L59" i="3"/>
  <c r="L41" i="3"/>
  <c r="Q207" i="5"/>
  <c r="T207" i="5" s="1"/>
  <c r="Q48" i="5"/>
  <c r="Q58" i="5"/>
  <c r="Q65" i="5"/>
  <c r="T28" i="5"/>
  <c r="I11" i="2" s="1"/>
  <c r="I180" i="3"/>
  <c r="I181" i="3" s="1"/>
  <c r="I183" i="3" s="1"/>
  <c r="J113" i="7"/>
  <c r="P282" i="3"/>
  <c r="P283" i="3" s="1"/>
  <c r="K244" i="7"/>
  <c r="K115" i="7"/>
  <c r="K150" i="7" s="1"/>
  <c r="T11" i="7"/>
  <c r="N47" i="7"/>
  <c r="N206" i="7"/>
  <c r="N57" i="7"/>
  <c r="N64" i="7"/>
  <c r="N67" i="7" s="1"/>
  <c r="M216" i="6"/>
  <c r="P245" i="7"/>
  <c r="T244" i="5"/>
  <c r="L245" i="6"/>
  <c r="Q206" i="3"/>
  <c r="Q47" i="3"/>
  <c r="Q64" i="3"/>
  <c r="Q57" i="3"/>
  <c r="Q217" i="3" s="1"/>
  <c r="Q244" i="7"/>
  <c r="Q115" i="7"/>
  <c r="Q150" i="7" s="1"/>
  <c r="R163" i="7"/>
  <c r="R165" i="7"/>
  <c r="R164" i="7"/>
  <c r="R173" i="7"/>
  <c r="R162" i="7"/>
  <c r="R161" i="7"/>
  <c r="R177" i="7"/>
  <c r="Q57" i="7"/>
  <c r="Q217" i="7" s="1"/>
  <c r="Q47" i="7"/>
  <c r="Q206" i="7"/>
  <c r="Q64" i="7"/>
  <c r="N113" i="7"/>
  <c r="M282" i="6"/>
  <c r="M283" i="6" s="1"/>
  <c r="N132" i="9"/>
  <c r="Q282" i="5"/>
  <c r="P113" i="7"/>
  <c r="P223" i="3"/>
  <c r="T106" i="7"/>
  <c r="H113" i="7"/>
  <c r="J248" i="3"/>
  <c r="Q166" i="7"/>
  <c r="Q245" i="7" s="1"/>
  <c r="R57" i="5"/>
  <c r="R217" i="5" s="1"/>
  <c r="R47" i="5"/>
  <c r="R206" i="5"/>
  <c r="R64" i="5"/>
  <c r="R189" i="5"/>
  <c r="R188" i="5"/>
  <c r="R190" i="5"/>
  <c r="R191" i="5"/>
  <c r="T113" i="6"/>
  <c r="J50" i="2" s="1"/>
  <c r="H244" i="6"/>
  <c r="H115" i="6"/>
  <c r="S217" i="7"/>
  <c r="N206" i="6"/>
  <c r="N47" i="6"/>
  <c r="N57" i="6"/>
  <c r="N64" i="6"/>
  <c r="N281" i="6"/>
  <c r="N280" i="6"/>
  <c r="N277" i="6"/>
  <c r="N274" i="6"/>
  <c r="N272" i="6"/>
  <c r="N278" i="6"/>
  <c r="N279" i="6"/>
  <c r="N190" i="6"/>
  <c r="N188" i="6"/>
  <c r="N191" i="6"/>
  <c r="N189" i="6"/>
  <c r="Q166" i="5"/>
  <c r="Q245" i="5" s="1"/>
  <c r="T109" i="7"/>
  <c r="Q205" i="7"/>
  <c r="Q213" i="7"/>
  <c r="Q63" i="7"/>
  <c r="Q56" i="7"/>
  <c r="Q46" i="7"/>
  <c r="T12" i="7"/>
  <c r="K7" i="2" s="1"/>
  <c r="O244" i="7"/>
  <c r="O115" i="7"/>
  <c r="O150" i="7" s="1"/>
  <c r="K209" i="3"/>
  <c r="Q58" i="3"/>
  <c r="Q218" i="3" s="1"/>
  <c r="Q207" i="3"/>
  <c r="Q48" i="3"/>
  <c r="Q65" i="3"/>
  <c r="Q73" i="3"/>
  <c r="Q223" i="3" s="1"/>
  <c r="Q72" i="3"/>
  <c r="Q222" i="3" s="1"/>
  <c r="Q70" i="3"/>
  <c r="Q71" i="3"/>
  <c r="Q221" i="3" s="1"/>
  <c r="Q191" i="3"/>
  <c r="Q189" i="3"/>
  <c r="Q196" i="3"/>
  <c r="Q199" i="3"/>
  <c r="Q190" i="3"/>
  <c r="Q195" i="3"/>
  <c r="Q197" i="3"/>
  <c r="Q198" i="3"/>
  <c r="Q194" i="3"/>
  <c r="Q188" i="3"/>
  <c r="R28" i="7"/>
  <c r="T27" i="7"/>
  <c r="S44" i="7"/>
  <c r="S251" i="7"/>
  <c r="S144" i="7"/>
  <c r="S118" i="7"/>
  <c r="S53" i="7"/>
  <c r="S186" i="7"/>
  <c r="S84" i="7"/>
  <c r="S203" i="7"/>
  <c r="R191" i="7"/>
  <c r="R189" i="7"/>
  <c r="R190" i="7"/>
  <c r="R188" i="7"/>
  <c r="H218" i="7"/>
  <c r="L113" i="7"/>
  <c r="R63" i="5"/>
  <c r="R67" i="5" s="1"/>
  <c r="R205" i="5"/>
  <c r="T205" i="5" s="1"/>
  <c r="R56" i="5"/>
  <c r="T56" i="5" s="1"/>
  <c r="I25" i="2" s="1"/>
  <c r="R213" i="5"/>
  <c r="T213" i="5" s="1"/>
  <c r="R46" i="5"/>
  <c r="T12" i="5"/>
  <c r="I7" i="2" s="1"/>
  <c r="O218" i="3"/>
  <c r="K217" i="7"/>
  <c r="N28" i="6"/>
  <c r="N165" i="6"/>
  <c r="N173" i="6"/>
  <c r="N163" i="6"/>
  <c r="N161" i="6"/>
  <c r="N162" i="6"/>
  <c r="N164" i="6"/>
  <c r="M171" i="3"/>
  <c r="N38" i="3"/>
  <c r="M39" i="3"/>
  <c r="K219" i="3"/>
  <c r="K246" i="3" s="1"/>
  <c r="K255" i="3" s="1"/>
  <c r="K60" i="3"/>
  <c r="Q216" i="5"/>
  <c r="H150" i="5"/>
  <c r="T150" i="5" s="1"/>
  <c r="T115" i="5"/>
  <c r="I52" i="2" s="1"/>
  <c r="R56" i="7"/>
  <c r="R63" i="7"/>
  <c r="R205" i="7"/>
  <c r="R46" i="7"/>
  <c r="R213" i="7"/>
  <c r="P221" i="3"/>
  <c r="O67" i="3"/>
  <c r="O244" i="6"/>
  <c r="O115" i="6"/>
  <c r="O150" i="6" s="1"/>
  <c r="Q64" i="5"/>
  <c r="T64" i="5" s="1"/>
  <c r="I31" i="2" s="1"/>
  <c r="Q206" i="5"/>
  <c r="T206" i="5" s="1"/>
  <c r="Q47" i="5"/>
  <c r="T47" i="5" s="1"/>
  <c r="Q57" i="5"/>
  <c r="T20" i="5"/>
  <c r="I9" i="2" s="1"/>
  <c r="I206" i="7"/>
  <c r="I47" i="7"/>
  <c r="I57" i="7"/>
  <c r="I64" i="7"/>
  <c r="I67" i="7" s="1"/>
  <c r="S244" i="7"/>
  <c r="S115" i="7"/>
  <c r="S150" i="7" s="1"/>
  <c r="M67" i="6"/>
  <c r="K77" i="3"/>
  <c r="K79" i="3" s="1"/>
  <c r="K147" i="3"/>
  <c r="K78" i="3"/>
  <c r="I113" i="7"/>
  <c r="F11" i="10"/>
  <c r="S4" i="3"/>
  <c r="R53" i="3"/>
  <c r="R118" i="3"/>
  <c r="R186" i="3"/>
  <c r="R203" i="3"/>
  <c r="R84" i="3"/>
  <c r="R11" i="3"/>
  <c r="R44" i="3"/>
  <c r="R144" i="3"/>
  <c r="R251" i="3"/>
  <c r="R27" i="3"/>
  <c r="R19" i="3"/>
  <c r="Q56" i="3"/>
  <c r="Q205" i="3"/>
  <c r="Q213" i="3"/>
  <c r="Q46" i="3"/>
  <c r="Q63" i="3"/>
  <c r="Q67" i="3" s="1"/>
  <c r="P216" i="3"/>
  <c r="L47" i="7"/>
  <c r="L57" i="7"/>
  <c r="L206" i="7"/>
  <c r="L64" i="7"/>
  <c r="L67" i="7" s="1"/>
  <c r="I244" i="6"/>
  <c r="I115" i="6"/>
  <c r="I150" i="6" s="1"/>
  <c r="Q283" i="5"/>
  <c r="O256" i="3"/>
  <c r="O266" i="3"/>
  <c r="P74" i="3"/>
  <c r="P220" i="3"/>
  <c r="P166" i="3"/>
  <c r="P245" i="3" s="1"/>
  <c r="P200" i="3"/>
  <c r="T112" i="7"/>
  <c r="T243" i="7"/>
  <c r="S203" i="5"/>
  <c r="S84" i="5"/>
  <c r="S53" i="5"/>
  <c r="S144" i="5"/>
  <c r="S118" i="5"/>
  <c r="S186" i="5"/>
  <c r="S44" i="5"/>
  <c r="S251" i="5"/>
  <c r="R278" i="5"/>
  <c r="R281" i="5"/>
  <c r="R279" i="5"/>
  <c r="R274" i="5"/>
  <c r="R280" i="5"/>
  <c r="R272" i="5"/>
  <c r="R277" i="5"/>
  <c r="J79" i="3"/>
  <c r="O217" i="3"/>
  <c r="Q282" i="7"/>
  <c r="Q283" i="7" s="1"/>
  <c r="H152" i="3"/>
  <c r="T48" i="5" l="1"/>
  <c r="P206" i="4"/>
  <c r="P57" i="4"/>
  <c r="P217" i="4" s="1"/>
  <c r="P64" i="4"/>
  <c r="P47" i="4"/>
  <c r="P279" i="4"/>
  <c r="P281" i="4"/>
  <c r="P274" i="4"/>
  <c r="P277" i="4"/>
  <c r="P282" i="4" s="1"/>
  <c r="P283" i="4" s="1"/>
  <c r="P272" i="4"/>
  <c r="P280" i="4"/>
  <c r="P278" i="4"/>
  <c r="P165" i="4"/>
  <c r="P173" i="4"/>
  <c r="P163" i="4"/>
  <c r="P164" i="4"/>
  <c r="P161" i="4"/>
  <c r="P166" i="4" s="1"/>
  <c r="P245" i="4" s="1"/>
  <c r="P177" i="4"/>
  <c r="P162" i="4"/>
  <c r="P56" i="4"/>
  <c r="P216" i="4" s="1"/>
  <c r="P46" i="4"/>
  <c r="P63" i="4"/>
  <c r="P205" i="4"/>
  <c r="P213" i="4"/>
  <c r="O67" i="4"/>
  <c r="P28" i="4"/>
  <c r="O282" i="4"/>
  <c r="O283" i="4" s="1"/>
  <c r="Q11" i="4"/>
  <c r="Q27" i="4"/>
  <c r="Q28" i="4" s="1"/>
  <c r="Q118" i="4"/>
  <c r="Q19" i="4"/>
  <c r="Q20" i="4" s="1"/>
  <c r="Q53" i="4"/>
  <c r="Q251" i="4"/>
  <c r="R4" i="4"/>
  <c r="Q144" i="4"/>
  <c r="Q203" i="4"/>
  <c r="Q44" i="4"/>
  <c r="Q84" i="4"/>
  <c r="Q186" i="4"/>
  <c r="O166" i="4"/>
  <c r="O245" i="4" s="1"/>
  <c r="M155" i="3"/>
  <c r="L261" i="3"/>
  <c r="L254" i="3"/>
  <c r="P191" i="4"/>
  <c r="P190" i="4"/>
  <c r="P189" i="4"/>
  <c r="P188" i="4"/>
  <c r="T63" i="5"/>
  <c r="I30" i="2" s="1"/>
  <c r="N166" i="6"/>
  <c r="N245" i="6" s="1"/>
  <c r="R282" i="5"/>
  <c r="I253" i="3"/>
  <c r="I257" i="3" s="1"/>
  <c r="I260" i="3"/>
  <c r="I263" i="3" s="1"/>
  <c r="I286" i="3" s="1"/>
  <c r="S272" i="5"/>
  <c r="S279" i="5"/>
  <c r="T279" i="5" s="1"/>
  <c r="S278" i="5"/>
  <c r="T278" i="5" s="1"/>
  <c r="S277" i="5"/>
  <c r="S280" i="5"/>
  <c r="T280" i="5" s="1"/>
  <c r="S281" i="5"/>
  <c r="T281" i="5" s="1"/>
  <c r="S274" i="5"/>
  <c r="T274" i="5" s="1"/>
  <c r="I111" i="2" s="1"/>
  <c r="L217" i="7"/>
  <c r="R12" i="3"/>
  <c r="T11" i="3"/>
  <c r="Q218" i="5"/>
  <c r="T218" i="5" s="1"/>
  <c r="T58" i="5"/>
  <c r="I27" i="2" s="1"/>
  <c r="R279" i="3"/>
  <c r="R278" i="3"/>
  <c r="R280" i="3"/>
  <c r="R281" i="3"/>
  <c r="R277" i="3"/>
  <c r="R274" i="3"/>
  <c r="R272" i="3"/>
  <c r="R73" i="3"/>
  <c r="R70" i="3"/>
  <c r="R72" i="3"/>
  <c r="R222" i="3" s="1"/>
  <c r="R71" i="3"/>
  <c r="R221" i="3" s="1"/>
  <c r="I244" i="7"/>
  <c r="I115" i="7"/>
  <c r="I150" i="7" s="1"/>
  <c r="K81" i="3"/>
  <c r="K149" i="3" s="1"/>
  <c r="K152" i="3" s="1"/>
  <c r="K157" i="3" s="1"/>
  <c r="M176" i="3"/>
  <c r="N177" i="3" s="1"/>
  <c r="M208" i="3"/>
  <c r="M59" i="3"/>
  <c r="M49" i="3"/>
  <c r="M50" i="3" s="1"/>
  <c r="M148" i="3" s="1"/>
  <c r="M41" i="3"/>
  <c r="N48" i="6"/>
  <c r="N58" i="6"/>
  <c r="N65" i="6"/>
  <c r="N207" i="6"/>
  <c r="S191" i="7"/>
  <c r="T191" i="7" s="1"/>
  <c r="S188" i="7"/>
  <c r="S189" i="7"/>
  <c r="T189" i="7" s="1"/>
  <c r="S190" i="7"/>
  <c r="T190" i="7" s="1"/>
  <c r="S277" i="7"/>
  <c r="T277" i="7" s="1"/>
  <c r="S274" i="7"/>
  <c r="T274" i="7" s="1"/>
  <c r="K111" i="2" s="1"/>
  <c r="S280" i="7"/>
  <c r="T280" i="7" s="1"/>
  <c r="S281" i="7"/>
  <c r="T281" i="7" s="1"/>
  <c r="S278" i="7"/>
  <c r="T278" i="7" s="1"/>
  <c r="S279" i="7"/>
  <c r="T279" i="7" s="1"/>
  <c r="S272" i="7"/>
  <c r="Q74" i="3"/>
  <c r="Q220" i="3"/>
  <c r="T46" i="7"/>
  <c r="T213" i="7"/>
  <c r="T244" i="6"/>
  <c r="J262" i="3"/>
  <c r="R166" i="7"/>
  <c r="R245" i="7" s="1"/>
  <c r="N217" i="7"/>
  <c r="J244" i="7"/>
  <c r="J115" i="7"/>
  <c r="J150" i="7" s="1"/>
  <c r="L60" i="3"/>
  <c r="L219" i="3"/>
  <c r="L246" i="3" s="1"/>
  <c r="N46" i="6"/>
  <c r="N205" i="6"/>
  <c r="N63" i="6"/>
  <c r="N213" i="6"/>
  <c r="N56" i="6"/>
  <c r="O281" i="6"/>
  <c r="O277" i="6"/>
  <c r="O272" i="6"/>
  <c r="O280" i="6"/>
  <c r="O274" i="6"/>
  <c r="O279" i="6"/>
  <c r="O278" i="6"/>
  <c r="O213" i="6"/>
  <c r="O46" i="6"/>
  <c r="O63" i="6"/>
  <c r="O56" i="6"/>
  <c r="O205" i="6"/>
  <c r="P203" i="6"/>
  <c r="P84" i="6"/>
  <c r="P44" i="6"/>
  <c r="P251" i="6"/>
  <c r="Q4" i="6"/>
  <c r="P144" i="6"/>
  <c r="P11" i="6"/>
  <c r="P53" i="6"/>
  <c r="P118" i="6"/>
  <c r="P186" i="6"/>
  <c r="P27" i="6"/>
  <c r="P19" i="6"/>
  <c r="P20" i="6" s="1"/>
  <c r="P217" i="7"/>
  <c r="H206" i="7"/>
  <c r="H57" i="7"/>
  <c r="H47" i="7"/>
  <c r="T20" i="7"/>
  <c r="K9" i="2" s="1"/>
  <c r="H64" i="7"/>
  <c r="R28" i="3"/>
  <c r="T27" i="3"/>
  <c r="G11" i="10"/>
  <c r="T46" i="5"/>
  <c r="Q67" i="7"/>
  <c r="T63" i="7"/>
  <c r="K30" i="2" s="1"/>
  <c r="L78" i="3"/>
  <c r="L147" i="3"/>
  <c r="L77" i="3"/>
  <c r="J217" i="7"/>
  <c r="R283" i="5"/>
  <c r="T272" i="5"/>
  <c r="I109" i="2" s="1"/>
  <c r="S191" i="5"/>
  <c r="T191" i="5" s="1"/>
  <c r="S190" i="5"/>
  <c r="T190" i="5" s="1"/>
  <c r="S188" i="5"/>
  <c r="S189" i="5"/>
  <c r="T189" i="5" s="1"/>
  <c r="O268" i="3"/>
  <c r="Q216" i="3"/>
  <c r="S53" i="3"/>
  <c r="S186" i="3"/>
  <c r="S251" i="3"/>
  <c r="S44" i="3"/>
  <c r="S144" i="3"/>
  <c r="S118" i="3"/>
  <c r="S84" i="3"/>
  <c r="S203" i="3"/>
  <c r="Q67" i="5"/>
  <c r="T67" i="5" s="1"/>
  <c r="I34" i="2" s="1"/>
  <c r="Q217" i="5"/>
  <c r="T217" i="5" s="1"/>
  <c r="T57" i="5"/>
  <c r="I26" i="2" s="1"/>
  <c r="R216" i="7"/>
  <c r="O38" i="3"/>
  <c r="N39" i="3"/>
  <c r="M170" i="3"/>
  <c r="R216" i="5"/>
  <c r="L244" i="7"/>
  <c r="L115" i="7"/>
  <c r="L150" i="7" s="1"/>
  <c r="Q200" i="3"/>
  <c r="Q216" i="7"/>
  <c r="T56" i="7"/>
  <c r="K25" i="2" s="1"/>
  <c r="T205" i="7"/>
  <c r="H244" i="7"/>
  <c r="T113" i="7"/>
  <c r="K50" i="2" s="1"/>
  <c r="H115" i="7"/>
  <c r="O20" i="6"/>
  <c r="O190" i="6"/>
  <c r="O191" i="6"/>
  <c r="O189" i="6"/>
  <c r="O188" i="6"/>
  <c r="T65" i="5"/>
  <c r="I32" i="2" s="1"/>
  <c r="M217" i="7"/>
  <c r="R164" i="3"/>
  <c r="R173" i="3"/>
  <c r="R175" i="3"/>
  <c r="R177" i="3"/>
  <c r="R165" i="3"/>
  <c r="R161" i="3"/>
  <c r="R162" i="3"/>
  <c r="R163" i="3"/>
  <c r="R207" i="7"/>
  <c r="T207" i="7" s="1"/>
  <c r="R48" i="7"/>
  <c r="T48" i="7" s="1"/>
  <c r="R65" i="7"/>
  <c r="T65" i="7" s="1"/>
  <c r="K32" i="2" s="1"/>
  <c r="R58" i="7"/>
  <c r="T28" i="7"/>
  <c r="K11" i="2" s="1"/>
  <c r="H150" i="6"/>
  <c r="T150" i="6" s="1"/>
  <c r="T115" i="6"/>
  <c r="J52" i="2" s="1"/>
  <c r="L50" i="3"/>
  <c r="R282" i="7"/>
  <c r="R283" i="7" s="1"/>
  <c r="H157" i="3"/>
  <c r="S163" i="5"/>
  <c r="T163" i="5" s="1"/>
  <c r="S173" i="5"/>
  <c r="T173" i="5" s="1"/>
  <c r="S161" i="5"/>
  <c r="S164" i="5"/>
  <c r="T164" i="5" s="1"/>
  <c r="S162" i="5"/>
  <c r="T162" i="5" s="1"/>
  <c r="S165" i="5"/>
  <c r="T165" i="5" s="1"/>
  <c r="S177" i="5"/>
  <c r="P256" i="3"/>
  <c r="P266" i="3"/>
  <c r="P268" i="3" s="1"/>
  <c r="R20" i="3"/>
  <c r="T19" i="3"/>
  <c r="R195" i="3"/>
  <c r="R189" i="3"/>
  <c r="R188" i="3"/>
  <c r="R194" i="3"/>
  <c r="R191" i="3"/>
  <c r="R198" i="3"/>
  <c r="R197" i="3"/>
  <c r="R196" i="3"/>
  <c r="R190" i="3"/>
  <c r="R199" i="3"/>
  <c r="I217" i="7"/>
  <c r="J81" i="3"/>
  <c r="T216" i="5"/>
  <c r="S173" i="7"/>
  <c r="T173" i="7" s="1"/>
  <c r="S162" i="7"/>
  <c r="T162" i="7" s="1"/>
  <c r="S163" i="7"/>
  <c r="T163" i="7" s="1"/>
  <c r="S164" i="7"/>
  <c r="T164" i="7" s="1"/>
  <c r="S161" i="7"/>
  <c r="S165" i="7"/>
  <c r="T165" i="7" s="1"/>
  <c r="S177" i="7"/>
  <c r="K248" i="3"/>
  <c r="K262" i="3" s="1"/>
  <c r="N282" i="6"/>
  <c r="N283" i="6" s="1"/>
  <c r="N217" i="6"/>
  <c r="P244" i="7"/>
  <c r="P115" i="7"/>
  <c r="P150" i="7" s="1"/>
  <c r="N244" i="7"/>
  <c r="N115" i="7"/>
  <c r="N150" i="7" s="1"/>
  <c r="O58" i="6"/>
  <c r="O218" i="6" s="1"/>
  <c r="O65" i="6"/>
  <c r="O48" i="6"/>
  <c r="O207" i="6"/>
  <c r="O163" i="6"/>
  <c r="O165" i="6"/>
  <c r="O164" i="6"/>
  <c r="O162" i="6"/>
  <c r="O161" i="6"/>
  <c r="O173" i="6"/>
  <c r="O177" i="6"/>
  <c r="R166" i="5"/>
  <c r="R245" i="5" s="1"/>
  <c r="Q166" i="3"/>
  <c r="Q245" i="3" s="1"/>
  <c r="Q282" i="3"/>
  <c r="Q283" i="3" s="1"/>
  <c r="Q47" i="4" l="1"/>
  <c r="Q57" i="4"/>
  <c r="Q64" i="4"/>
  <c r="Q206" i="4"/>
  <c r="Q279" i="4"/>
  <c r="Q277" i="4"/>
  <c r="Q280" i="4"/>
  <c r="Q272" i="4"/>
  <c r="Q281" i="4"/>
  <c r="Q278" i="4"/>
  <c r="Q274" i="4"/>
  <c r="Q164" i="4"/>
  <c r="Q173" i="4"/>
  <c r="Q163" i="4"/>
  <c r="Q165" i="4"/>
  <c r="Q162" i="4"/>
  <c r="Q161" i="4"/>
  <c r="M261" i="3"/>
  <c r="M254" i="3"/>
  <c r="N155" i="3"/>
  <c r="Q65" i="4"/>
  <c r="Q58" i="4"/>
  <c r="Q218" i="4" s="1"/>
  <c r="Q207" i="4"/>
  <c r="Q48" i="4"/>
  <c r="Q12" i="4"/>
  <c r="Q190" i="4"/>
  <c r="Q191" i="4"/>
  <c r="Q188" i="4"/>
  <c r="Q189" i="4"/>
  <c r="P207" i="4"/>
  <c r="P58" i="4"/>
  <c r="P65" i="4"/>
  <c r="P48" i="4"/>
  <c r="R19" i="4"/>
  <c r="R20" i="4" s="1"/>
  <c r="T20" i="4" s="1"/>
  <c r="H9" i="2" s="1"/>
  <c r="R186" i="4"/>
  <c r="R144" i="4"/>
  <c r="R53" i="4"/>
  <c r="R11" i="4"/>
  <c r="R12" i="4" s="1"/>
  <c r="R251" i="4"/>
  <c r="R27" i="4"/>
  <c r="R28" i="4" s="1"/>
  <c r="R203" i="4"/>
  <c r="R44" i="4"/>
  <c r="S4" i="4"/>
  <c r="R118" i="4"/>
  <c r="R84" i="4"/>
  <c r="T19" i="4"/>
  <c r="S166" i="7"/>
  <c r="S245" i="7" s="1"/>
  <c r="T245" i="7" s="1"/>
  <c r="T161" i="7"/>
  <c r="O47" i="6"/>
  <c r="O57" i="6"/>
  <c r="O206" i="6"/>
  <c r="O64" i="6"/>
  <c r="H150" i="7"/>
  <c r="T150" i="7" s="1"/>
  <c r="T115" i="7"/>
  <c r="K52" i="2" s="1"/>
  <c r="T216" i="7"/>
  <c r="T188" i="5"/>
  <c r="R65" i="3"/>
  <c r="T65" i="3" s="1"/>
  <c r="G32" i="2" s="1"/>
  <c r="R58" i="3"/>
  <c r="R48" i="3"/>
  <c r="T48" i="3" s="1"/>
  <c r="R207" i="3"/>
  <c r="T207" i="3" s="1"/>
  <c r="R174" i="3"/>
  <c r="T28" i="3"/>
  <c r="G11" i="2" s="1"/>
  <c r="P189" i="6"/>
  <c r="P188" i="6"/>
  <c r="P190" i="6"/>
  <c r="P191" i="6"/>
  <c r="S282" i="5"/>
  <c r="T282" i="5" s="1"/>
  <c r="I112" i="2" s="1"/>
  <c r="T277" i="5"/>
  <c r="R200" i="3"/>
  <c r="R57" i="3"/>
  <c r="R206" i="3"/>
  <c r="T206" i="3" s="1"/>
  <c r="R47" i="3"/>
  <c r="T47" i="3" s="1"/>
  <c r="R64" i="3"/>
  <c r="T64" i="3" s="1"/>
  <c r="G31" i="2" s="1"/>
  <c r="T20" i="3"/>
  <c r="G9" i="2" s="1"/>
  <c r="N176" i="3"/>
  <c r="N208" i="3"/>
  <c r="N209" i="3" s="1"/>
  <c r="N49" i="3"/>
  <c r="N50" i="3" s="1"/>
  <c r="N148" i="3" s="1"/>
  <c r="N59" i="3"/>
  <c r="N41" i="3"/>
  <c r="F170" i="4"/>
  <c r="S173" i="3"/>
  <c r="T173" i="3" s="1"/>
  <c r="F174" i="4"/>
  <c r="S164" i="3"/>
  <c r="T164" i="3" s="1"/>
  <c r="S175" i="3"/>
  <c r="S177" i="3"/>
  <c r="S163" i="3"/>
  <c r="T163" i="3" s="1"/>
  <c r="S161" i="3"/>
  <c r="S165" i="3"/>
  <c r="T165" i="3" s="1"/>
  <c r="S162" i="3"/>
  <c r="T162" i="3" s="1"/>
  <c r="S189" i="3"/>
  <c r="T189" i="3" s="1"/>
  <c r="S194" i="3"/>
  <c r="T194" i="3" s="1"/>
  <c r="S198" i="3"/>
  <c r="T198" i="3" s="1"/>
  <c r="E194" i="4"/>
  <c r="S197" i="3"/>
  <c r="T197" i="3" s="1"/>
  <c r="S195" i="3"/>
  <c r="T195" i="3" s="1"/>
  <c r="S190" i="3"/>
  <c r="T190" i="3" s="1"/>
  <c r="S191" i="3"/>
  <c r="T191" i="3" s="1"/>
  <c r="S188" i="3"/>
  <c r="T188" i="3" s="1"/>
  <c r="E196" i="4"/>
  <c r="E198" i="4"/>
  <c r="S199" i="3"/>
  <c r="T199" i="3" s="1"/>
  <c r="S196" i="3"/>
  <c r="T196" i="3" s="1"/>
  <c r="E195" i="4"/>
  <c r="E199" i="4"/>
  <c r="E197" i="4"/>
  <c r="T64" i="7"/>
  <c r="K31" i="2" s="1"/>
  <c r="H67" i="7"/>
  <c r="H217" i="7"/>
  <c r="T57" i="7"/>
  <c r="K26" i="2" s="1"/>
  <c r="P163" i="6"/>
  <c r="P161" i="6"/>
  <c r="P165" i="6"/>
  <c r="P173" i="6"/>
  <c r="P162" i="6"/>
  <c r="P164" i="6"/>
  <c r="P177" i="6"/>
  <c r="Q186" i="6"/>
  <c r="Q203" i="6"/>
  <c r="Q251" i="6"/>
  <c r="Q53" i="6"/>
  <c r="Q84" i="6"/>
  <c r="Q118" i="6"/>
  <c r="Q44" i="6"/>
  <c r="Q11" i="6"/>
  <c r="Q12" i="6" s="1"/>
  <c r="Q144" i="6"/>
  <c r="R4" i="6"/>
  <c r="Q27" i="6"/>
  <c r="Q28" i="6" s="1"/>
  <c r="Q19" i="6"/>
  <c r="O216" i="6"/>
  <c r="N216" i="6"/>
  <c r="N67" i="6"/>
  <c r="L255" i="3"/>
  <c r="T188" i="7"/>
  <c r="R74" i="3"/>
  <c r="R220" i="3"/>
  <c r="R282" i="3"/>
  <c r="R283" i="3" s="1"/>
  <c r="S166" i="5"/>
  <c r="T161" i="5"/>
  <c r="S280" i="3"/>
  <c r="T280" i="3" s="1"/>
  <c r="S278" i="3"/>
  <c r="T278" i="3" s="1"/>
  <c r="S274" i="3"/>
  <c r="T274" i="3" s="1"/>
  <c r="S279" i="3"/>
  <c r="T279" i="3" s="1"/>
  <c r="S281" i="3"/>
  <c r="T281" i="3" s="1"/>
  <c r="S277" i="3"/>
  <c r="S272" i="3"/>
  <c r="T47" i="7"/>
  <c r="S282" i="7"/>
  <c r="T282" i="7" s="1"/>
  <c r="K112" i="2" s="1"/>
  <c r="M147" i="3"/>
  <c r="M77" i="3"/>
  <c r="M78" i="3"/>
  <c r="K180" i="3"/>
  <c r="K181" i="3" s="1"/>
  <c r="K183" i="3" s="1"/>
  <c r="O166" i="6"/>
  <c r="H11" i="10"/>
  <c r="R218" i="7"/>
  <c r="T218" i="7" s="1"/>
  <c r="T58" i="7"/>
  <c r="K27" i="2" s="1"/>
  <c r="R166" i="3"/>
  <c r="R245" i="3" s="1"/>
  <c r="T161" i="3"/>
  <c r="T244" i="7"/>
  <c r="Q256" i="3"/>
  <c r="Q266" i="3"/>
  <c r="P38" i="3"/>
  <c r="O39" i="3"/>
  <c r="G73" i="4"/>
  <c r="J52" i="9" s="1"/>
  <c r="E70" i="4"/>
  <c r="S71" i="3"/>
  <c r="E71" i="4"/>
  <c r="S72" i="3"/>
  <c r="G72" i="4"/>
  <c r="J51" i="9" s="1"/>
  <c r="S70" i="3"/>
  <c r="G70" i="4"/>
  <c r="J49" i="9" s="1"/>
  <c r="S73" i="3"/>
  <c r="S223" i="3" s="1"/>
  <c r="G71" i="4"/>
  <c r="J50" i="9" s="1"/>
  <c r="E72" i="4"/>
  <c r="E73" i="4"/>
  <c r="F70" i="4"/>
  <c r="F71" i="4"/>
  <c r="F73" i="4"/>
  <c r="F72" i="4"/>
  <c r="T206" i="7"/>
  <c r="P206" i="6"/>
  <c r="P57" i="6"/>
  <c r="P217" i="6" s="1"/>
  <c r="P47" i="6"/>
  <c r="P64" i="6"/>
  <c r="P272" i="6"/>
  <c r="P280" i="6"/>
  <c r="P274" i="6"/>
  <c r="P279" i="6"/>
  <c r="P278" i="6"/>
  <c r="P277" i="6"/>
  <c r="P281" i="6"/>
  <c r="O67" i="6"/>
  <c r="O282" i="6"/>
  <c r="O283" i="6" s="1"/>
  <c r="T272" i="7"/>
  <c r="K109" i="2" s="1"/>
  <c r="N218" i="6"/>
  <c r="M219" i="3"/>
  <c r="M246" i="3" s="1"/>
  <c r="M255" i="3" s="1"/>
  <c r="M60" i="3"/>
  <c r="R223" i="3"/>
  <c r="R63" i="3"/>
  <c r="R205" i="3"/>
  <c r="R56" i="3"/>
  <c r="R46" i="3"/>
  <c r="R213" i="3"/>
  <c r="T213" i="3" s="1"/>
  <c r="T12" i="3"/>
  <c r="G7" i="2" s="1"/>
  <c r="H179" i="3"/>
  <c r="H180" i="3"/>
  <c r="L148" i="3"/>
  <c r="J149" i="3"/>
  <c r="L248" i="3"/>
  <c r="L262" i="3" s="1"/>
  <c r="N171" i="3"/>
  <c r="L79" i="3"/>
  <c r="P28" i="6"/>
  <c r="P12" i="6"/>
  <c r="T166" i="7"/>
  <c r="K68" i="2" s="1"/>
  <c r="I16" i="10" s="1"/>
  <c r="M209" i="3"/>
  <c r="R67" i="7"/>
  <c r="S283" i="5"/>
  <c r="T283" i="5" s="1"/>
  <c r="I114" i="2" s="1"/>
  <c r="S186" i="4" l="1"/>
  <c r="S53" i="4"/>
  <c r="S118" i="4"/>
  <c r="S84" i="4"/>
  <c r="S251" i="4"/>
  <c r="S144" i="4"/>
  <c r="S44" i="4"/>
  <c r="S203" i="4"/>
  <c r="T65" i="4"/>
  <c r="H32" i="2" s="1"/>
  <c r="P218" i="4"/>
  <c r="T218" i="4" s="1"/>
  <c r="T58" i="4"/>
  <c r="H27" i="2" s="1"/>
  <c r="R48" i="4"/>
  <c r="R58" i="4"/>
  <c r="R218" i="4" s="1"/>
  <c r="R207" i="4"/>
  <c r="T207" i="4" s="1"/>
  <c r="R65" i="4"/>
  <c r="T27" i="4"/>
  <c r="O155" i="3"/>
  <c r="N261" i="3"/>
  <c r="N254" i="3"/>
  <c r="R274" i="4"/>
  <c r="R272" i="4"/>
  <c r="R277" i="4"/>
  <c r="R278" i="4"/>
  <c r="R279" i="4"/>
  <c r="R281" i="4"/>
  <c r="R280" i="4"/>
  <c r="R63" i="4"/>
  <c r="R56" i="4"/>
  <c r="R216" i="4" s="1"/>
  <c r="R213" i="4"/>
  <c r="T213" i="4" s="1"/>
  <c r="R205" i="4"/>
  <c r="R46" i="4"/>
  <c r="Q166" i="4"/>
  <c r="Q245" i="4" s="1"/>
  <c r="Q282" i="4"/>
  <c r="Q283" i="4" s="1"/>
  <c r="F170" i="5"/>
  <c r="F170" i="6" s="1"/>
  <c r="R191" i="4"/>
  <c r="R188" i="4"/>
  <c r="R190" i="4"/>
  <c r="R189" i="4"/>
  <c r="T11" i="4"/>
  <c r="R64" i="4"/>
  <c r="T64" i="4" s="1"/>
  <c r="H31" i="2" s="1"/>
  <c r="R57" i="4"/>
  <c r="R217" i="4" s="1"/>
  <c r="R206" i="4"/>
  <c r="T206" i="4" s="1"/>
  <c r="R47" i="4"/>
  <c r="T47" i="4" s="1"/>
  <c r="Q46" i="4"/>
  <c r="T46" i="4" s="1"/>
  <c r="Q213" i="4"/>
  <c r="Q63" i="4"/>
  <c r="T63" i="4" s="1"/>
  <c r="H30" i="2" s="1"/>
  <c r="Q56" i="4"/>
  <c r="Q205" i="4"/>
  <c r="T205" i="4" s="1"/>
  <c r="T12" i="4"/>
  <c r="H7" i="2" s="1"/>
  <c r="T28" i="4"/>
  <c r="H11" i="2" s="1"/>
  <c r="Q217" i="4"/>
  <c r="T57" i="4"/>
  <c r="H26" i="2" s="1"/>
  <c r="R161" i="4"/>
  <c r="R165" i="4"/>
  <c r="R164" i="4"/>
  <c r="R162" i="4"/>
  <c r="R163" i="4"/>
  <c r="R173" i="4"/>
  <c r="R177" i="4"/>
  <c r="T48" i="4"/>
  <c r="P67" i="4"/>
  <c r="K253" i="3"/>
  <c r="K257" i="3" s="1"/>
  <c r="K260" i="3"/>
  <c r="K263" i="3" s="1"/>
  <c r="K286" i="3" s="1"/>
  <c r="R216" i="3"/>
  <c r="T56" i="3"/>
  <c r="G25" i="2" s="1"/>
  <c r="I49" i="9"/>
  <c r="F70" i="5"/>
  <c r="G70" i="5"/>
  <c r="M49" i="9" s="1"/>
  <c r="E70" i="5"/>
  <c r="T223" i="3"/>
  <c r="S222" i="3"/>
  <c r="T222" i="3" s="1"/>
  <c r="T72" i="3"/>
  <c r="G37" i="2" s="1"/>
  <c r="O245" i="6"/>
  <c r="T272" i="3"/>
  <c r="G109" i="2" s="1"/>
  <c r="G111" i="2"/>
  <c r="S245" i="5"/>
  <c r="T245" i="5" s="1"/>
  <c r="T166" i="5"/>
  <c r="I68" i="2" s="1"/>
  <c r="G16" i="10" s="1"/>
  <c r="Q20" i="6"/>
  <c r="Q213" i="6"/>
  <c r="Q63" i="6"/>
  <c r="Q46" i="6"/>
  <c r="Q205" i="6"/>
  <c r="Q56" i="6"/>
  <c r="J199" i="4"/>
  <c r="H199" i="4"/>
  <c r="I143" i="9"/>
  <c r="I199" i="4"/>
  <c r="L199" i="4"/>
  <c r="K199" i="4"/>
  <c r="M199" i="4"/>
  <c r="N199" i="4"/>
  <c r="O199" i="4"/>
  <c r="P199" i="4"/>
  <c r="Q199" i="4"/>
  <c r="R199" i="4"/>
  <c r="E199" i="5"/>
  <c r="S199" i="4"/>
  <c r="I142" i="9"/>
  <c r="J198" i="4"/>
  <c r="L198" i="4"/>
  <c r="I198" i="4"/>
  <c r="H198" i="4"/>
  <c r="K198" i="4"/>
  <c r="M198" i="4"/>
  <c r="N198" i="4"/>
  <c r="O198" i="4"/>
  <c r="P198" i="4"/>
  <c r="Q198" i="4"/>
  <c r="R198" i="4"/>
  <c r="S198" i="4"/>
  <c r="E198" i="5"/>
  <c r="S174" i="3"/>
  <c r="T174" i="3" s="1"/>
  <c r="T175" i="3"/>
  <c r="O217" i="6"/>
  <c r="M248" i="3"/>
  <c r="M262" i="3" s="1"/>
  <c r="P46" i="6"/>
  <c r="P213" i="6"/>
  <c r="P205" i="6"/>
  <c r="P56" i="6"/>
  <c r="P63" i="6"/>
  <c r="I51" i="9"/>
  <c r="G72" i="5"/>
  <c r="M51" i="9" s="1"/>
  <c r="F72" i="5"/>
  <c r="E72" i="5"/>
  <c r="H52" i="9"/>
  <c r="J73" i="4"/>
  <c r="J223" i="4" s="1"/>
  <c r="K73" i="4"/>
  <c r="K223" i="4" s="1"/>
  <c r="M73" i="4"/>
  <c r="M223" i="4" s="1"/>
  <c r="H73" i="4"/>
  <c r="I73" i="4"/>
  <c r="I223" i="4" s="1"/>
  <c r="N73" i="4"/>
  <c r="N223" i="4" s="1"/>
  <c r="O73" i="4"/>
  <c r="O223" i="4" s="1"/>
  <c r="R73" i="4"/>
  <c r="R223" i="4" s="1"/>
  <c r="Q73" i="4"/>
  <c r="Q223" i="4" s="1"/>
  <c r="S73" i="4"/>
  <c r="S223" i="4" s="1"/>
  <c r="L73" i="4"/>
  <c r="L223" i="4" s="1"/>
  <c r="P73" i="4"/>
  <c r="P223" i="4" s="1"/>
  <c r="H50" i="9"/>
  <c r="K71" i="4"/>
  <c r="K221" i="4" s="1"/>
  <c r="I71" i="4"/>
  <c r="I221" i="4" s="1"/>
  <c r="L71" i="4"/>
  <c r="L221" i="4" s="1"/>
  <c r="H71" i="4"/>
  <c r="J71" i="4"/>
  <c r="J221" i="4" s="1"/>
  <c r="M71" i="4"/>
  <c r="M221" i="4" s="1"/>
  <c r="N71" i="4"/>
  <c r="N221" i="4" s="1"/>
  <c r="S71" i="4"/>
  <c r="S221" i="4" s="1"/>
  <c r="Q71" i="4"/>
  <c r="Q221" i="4" s="1"/>
  <c r="R71" i="4"/>
  <c r="R221" i="4" s="1"/>
  <c r="P71" i="4"/>
  <c r="P221" i="4" s="1"/>
  <c r="O71" i="4"/>
  <c r="O221" i="4" s="1"/>
  <c r="S282" i="3"/>
  <c r="T282" i="3" s="1"/>
  <c r="G112" i="2" s="1"/>
  <c r="Q207" i="6"/>
  <c r="Q48" i="6"/>
  <c r="Q65" i="6"/>
  <c r="Q58" i="6"/>
  <c r="Q218" i="6" s="1"/>
  <c r="Q278" i="6"/>
  <c r="Q272" i="6"/>
  <c r="Q280" i="6"/>
  <c r="Q279" i="6"/>
  <c r="Q274" i="6"/>
  <c r="Q277" i="6"/>
  <c r="Q281" i="6"/>
  <c r="P166" i="6"/>
  <c r="P245" i="6" s="1"/>
  <c r="I140" i="9"/>
  <c r="L196" i="4"/>
  <c r="H196" i="4"/>
  <c r="I196" i="4"/>
  <c r="J196" i="4"/>
  <c r="K196" i="4"/>
  <c r="M196" i="4"/>
  <c r="N196" i="4"/>
  <c r="O196" i="4"/>
  <c r="P196" i="4"/>
  <c r="Q196" i="4"/>
  <c r="R196" i="4"/>
  <c r="E196" i="5"/>
  <c r="S196" i="4"/>
  <c r="S166" i="3"/>
  <c r="H181" i="3"/>
  <c r="T205" i="3"/>
  <c r="I139" i="9"/>
  <c r="J195" i="4"/>
  <c r="I195" i="4"/>
  <c r="H195" i="4"/>
  <c r="L195" i="4"/>
  <c r="K195" i="4"/>
  <c r="M195" i="4"/>
  <c r="N195" i="4"/>
  <c r="O195" i="4"/>
  <c r="P195" i="4"/>
  <c r="Q195" i="4"/>
  <c r="R195" i="4"/>
  <c r="S195" i="4"/>
  <c r="E195" i="5"/>
  <c r="I179" i="3"/>
  <c r="J78" i="2"/>
  <c r="H20" i="10" s="1"/>
  <c r="G78" i="2"/>
  <c r="E20" i="10" s="1"/>
  <c r="H78" i="2"/>
  <c r="F20" i="10" s="1"/>
  <c r="I78" i="2"/>
  <c r="G20" i="10" s="1"/>
  <c r="K78" i="2"/>
  <c r="I20" i="10" s="1"/>
  <c r="R67" i="3"/>
  <c r="T67" i="3" s="1"/>
  <c r="G34" i="2" s="1"/>
  <c r="T63" i="3"/>
  <c r="G30" i="2" s="1"/>
  <c r="T73" i="3"/>
  <c r="G38" i="2" s="1"/>
  <c r="S283" i="7"/>
  <c r="T283" i="7" s="1"/>
  <c r="K114" i="2" s="1"/>
  <c r="L81" i="3"/>
  <c r="G73" i="5"/>
  <c r="M52" i="9" s="1"/>
  <c r="F73" i="5"/>
  <c r="I52" i="9"/>
  <c r="E73" i="5"/>
  <c r="H72" i="4"/>
  <c r="H51" i="9"/>
  <c r="J72" i="4"/>
  <c r="J222" i="4" s="1"/>
  <c r="I72" i="4"/>
  <c r="I222" i="4" s="1"/>
  <c r="L72" i="4"/>
  <c r="L222" i="4" s="1"/>
  <c r="O72" i="4"/>
  <c r="O222" i="4" s="1"/>
  <c r="P72" i="4"/>
  <c r="P222" i="4" s="1"/>
  <c r="Q72" i="4"/>
  <c r="Q222" i="4" s="1"/>
  <c r="M72" i="4"/>
  <c r="M222" i="4" s="1"/>
  <c r="R72" i="4"/>
  <c r="R222" i="4" s="1"/>
  <c r="K72" i="4"/>
  <c r="K222" i="4" s="1"/>
  <c r="S72" i="4"/>
  <c r="S222" i="4" s="1"/>
  <c r="N72" i="4"/>
  <c r="N222" i="4" s="1"/>
  <c r="S220" i="3"/>
  <c r="T220" i="3" s="1"/>
  <c r="S74" i="3"/>
  <c r="T74" i="3" s="1"/>
  <c r="G39" i="2" s="1"/>
  <c r="T70" i="3"/>
  <c r="G35" i="2" s="1"/>
  <c r="S221" i="3"/>
  <c r="T221" i="3" s="1"/>
  <c r="T71" i="3"/>
  <c r="G36" i="2" s="1"/>
  <c r="O176" i="3"/>
  <c r="O49" i="3"/>
  <c r="O50" i="3" s="1"/>
  <c r="O59" i="3"/>
  <c r="O208" i="3"/>
  <c r="O41" i="3"/>
  <c r="Q268" i="3"/>
  <c r="M79" i="3"/>
  <c r="M81" i="3" s="1"/>
  <c r="M149" i="3" s="1"/>
  <c r="M152" i="3" s="1"/>
  <c r="M157" i="3" s="1"/>
  <c r="T277" i="3"/>
  <c r="R144" i="6"/>
  <c r="R186" i="6"/>
  <c r="R11" i="6"/>
  <c r="R203" i="6"/>
  <c r="R84" i="6"/>
  <c r="R53" i="6"/>
  <c r="R118" i="6"/>
  <c r="R251" i="6"/>
  <c r="R44" i="6"/>
  <c r="S4" i="6"/>
  <c r="R27" i="6"/>
  <c r="R28" i="6" s="1"/>
  <c r="T28" i="6" s="1"/>
  <c r="J11" i="2" s="1"/>
  <c r="R19" i="6"/>
  <c r="R20" i="6" s="1"/>
  <c r="Q161" i="6"/>
  <c r="Q163" i="6"/>
  <c r="Q162" i="6"/>
  <c r="Q164" i="6"/>
  <c r="Q173" i="6"/>
  <c r="Q165" i="6"/>
  <c r="T217" i="7"/>
  <c r="S200" i="3"/>
  <c r="H175" i="4"/>
  <c r="L175" i="4"/>
  <c r="K175" i="4"/>
  <c r="M175" i="4"/>
  <c r="I175" i="4"/>
  <c r="O175" i="4"/>
  <c r="P175" i="4"/>
  <c r="Q175" i="4"/>
  <c r="R175" i="4"/>
  <c r="F174" i="5"/>
  <c r="S175" i="4"/>
  <c r="N175" i="4"/>
  <c r="N78" i="3"/>
  <c r="N77" i="3"/>
  <c r="N147" i="3"/>
  <c r="R217" i="3"/>
  <c r="T217" i="3" s="1"/>
  <c r="T57" i="3"/>
  <c r="G26" i="2" s="1"/>
  <c r="P207" i="6"/>
  <c r="P48" i="6"/>
  <c r="P58" i="6"/>
  <c r="P65" i="6"/>
  <c r="N170" i="3"/>
  <c r="O171" i="3" s="1"/>
  <c r="J152" i="3"/>
  <c r="T46" i="3"/>
  <c r="P282" i="6"/>
  <c r="P283" i="6" s="1"/>
  <c r="I50" i="9"/>
  <c r="E71" i="5"/>
  <c r="F71" i="5"/>
  <c r="G71" i="5"/>
  <c r="M50" i="9" s="1"/>
  <c r="H49" i="9"/>
  <c r="L70" i="4"/>
  <c r="M70" i="4"/>
  <c r="H70" i="4"/>
  <c r="J70" i="4"/>
  <c r="S70" i="4"/>
  <c r="I70" i="4"/>
  <c r="K70" i="4"/>
  <c r="N70" i="4"/>
  <c r="P70" i="4"/>
  <c r="R70" i="4"/>
  <c r="Q70" i="4"/>
  <c r="O70" i="4"/>
  <c r="P39" i="3"/>
  <c r="Q38" i="3"/>
  <c r="Q190" i="6"/>
  <c r="Q188" i="6"/>
  <c r="Q191" i="6"/>
  <c r="Q189" i="6"/>
  <c r="T67" i="7"/>
  <c r="K34" i="2" s="1"/>
  <c r="I141" i="9"/>
  <c r="J197" i="4"/>
  <c r="H197" i="4"/>
  <c r="I197" i="4"/>
  <c r="K197" i="4"/>
  <c r="L197" i="4"/>
  <c r="M197" i="4"/>
  <c r="N197" i="4"/>
  <c r="O197" i="4"/>
  <c r="P197" i="4"/>
  <c r="Q197" i="4"/>
  <c r="R197" i="4"/>
  <c r="S197" i="4"/>
  <c r="E197" i="5"/>
  <c r="I138" i="9"/>
  <c r="J194" i="4"/>
  <c r="H194" i="4"/>
  <c r="I194" i="4"/>
  <c r="L194" i="4"/>
  <c r="L200" i="4" s="1"/>
  <c r="K194" i="4"/>
  <c r="M194" i="4"/>
  <c r="N194" i="4"/>
  <c r="O194" i="4"/>
  <c r="P194" i="4"/>
  <c r="Q194" i="4"/>
  <c r="R194" i="4"/>
  <c r="S194" i="4"/>
  <c r="E194" i="5"/>
  <c r="N219" i="3"/>
  <c r="N246" i="3" s="1"/>
  <c r="N255" i="3" s="1"/>
  <c r="N60" i="3"/>
  <c r="R256" i="3"/>
  <c r="R266" i="3"/>
  <c r="R268" i="3" s="1"/>
  <c r="R218" i="3"/>
  <c r="T218" i="3" s="1"/>
  <c r="T58" i="3"/>
  <c r="G27" i="2" s="1"/>
  <c r="I11" i="10"/>
  <c r="R166" i="4" l="1"/>
  <c r="R245" i="4" s="1"/>
  <c r="P155" i="3"/>
  <c r="O254" i="3"/>
  <c r="O261" i="3"/>
  <c r="T217" i="4"/>
  <c r="R67" i="4"/>
  <c r="Q200" i="4"/>
  <c r="S279" i="4"/>
  <c r="T279" i="4" s="1"/>
  <c r="S274" i="4"/>
  <c r="T274" i="4" s="1"/>
  <c r="H111" i="2" s="1"/>
  <c r="S278" i="4"/>
  <c r="T278" i="4" s="1"/>
  <c r="S281" i="4"/>
  <c r="T281" i="4" s="1"/>
  <c r="S277" i="4"/>
  <c r="S272" i="4"/>
  <c r="T272" i="4" s="1"/>
  <c r="H109" i="2" s="1"/>
  <c r="S280" i="4"/>
  <c r="T280" i="4" s="1"/>
  <c r="Q216" i="4"/>
  <c r="T216" i="4" s="1"/>
  <c r="T56" i="4"/>
  <c r="H25" i="2" s="1"/>
  <c r="S173" i="4"/>
  <c r="T173" i="4" s="1"/>
  <c r="S162" i="4"/>
  <c r="T162" i="4" s="1"/>
  <c r="S161" i="4"/>
  <c r="S177" i="4"/>
  <c r="S165" i="4"/>
  <c r="T165" i="4" s="1"/>
  <c r="S163" i="4"/>
  <c r="T163" i="4" s="1"/>
  <c r="S164" i="4"/>
  <c r="T164" i="4" s="1"/>
  <c r="M200" i="4"/>
  <c r="R282" i="4"/>
  <c r="R283" i="4" s="1"/>
  <c r="T277" i="4"/>
  <c r="Q67" i="4"/>
  <c r="S189" i="4"/>
  <c r="T189" i="4" s="1"/>
  <c r="S191" i="4"/>
  <c r="T191" i="4" s="1"/>
  <c r="S188" i="4"/>
  <c r="S200" i="4" s="1"/>
  <c r="S190" i="4"/>
  <c r="T190" i="4" s="1"/>
  <c r="M180" i="3"/>
  <c r="M181" i="3" s="1"/>
  <c r="M183" i="3"/>
  <c r="M256" i="4"/>
  <c r="M155" i="4"/>
  <c r="M266" i="4"/>
  <c r="M268" i="4" s="1"/>
  <c r="Q74" i="4"/>
  <c r="Q220" i="4"/>
  <c r="H174" i="4"/>
  <c r="I174" i="4" s="1"/>
  <c r="J175" i="4" s="1"/>
  <c r="J174" i="4" s="1"/>
  <c r="K174" i="4" s="1"/>
  <c r="L174" i="4" s="1"/>
  <c r="M174" i="4" s="1"/>
  <c r="N174" i="4" s="1"/>
  <c r="O174" i="4" s="1"/>
  <c r="P174" i="4" s="1"/>
  <c r="Q174" i="4" s="1"/>
  <c r="R174" i="4" s="1"/>
  <c r="S174" i="4" s="1"/>
  <c r="R173" i="6"/>
  <c r="R164" i="6"/>
  <c r="R165" i="6"/>
  <c r="R162" i="6"/>
  <c r="R163" i="6"/>
  <c r="R161" i="6"/>
  <c r="R177" i="6"/>
  <c r="K195" i="5"/>
  <c r="J195" i="5"/>
  <c r="K139" i="9" s="1"/>
  <c r="L139" i="9"/>
  <c r="I195" i="5"/>
  <c r="M195" i="5"/>
  <c r="H195" i="5"/>
  <c r="L195" i="5"/>
  <c r="N195" i="5"/>
  <c r="O195" i="5"/>
  <c r="P195" i="5"/>
  <c r="Q195" i="5"/>
  <c r="R195" i="5"/>
  <c r="S195" i="5"/>
  <c r="E195" i="6"/>
  <c r="T196" i="4"/>
  <c r="H221" i="4"/>
  <c r="T221" i="4" s="1"/>
  <c r="T71" i="4"/>
  <c r="H36" i="2" s="1"/>
  <c r="P216" i="6"/>
  <c r="T198" i="4"/>
  <c r="Q216" i="6"/>
  <c r="I194" i="5"/>
  <c r="H194" i="5"/>
  <c r="L194" i="5"/>
  <c r="L138" i="9"/>
  <c r="K194" i="5"/>
  <c r="J194" i="5"/>
  <c r="M194" i="5"/>
  <c r="N194" i="5"/>
  <c r="O194" i="5"/>
  <c r="P194" i="5"/>
  <c r="Q194" i="5"/>
  <c r="R194" i="5"/>
  <c r="E194" i="6"/>
  <c r="R194" i="6" s="1"/>
  <c r="S194" i="5"/>
  <c r="P200" i="4"/>
  <c r="K200" i="4"/>
  <c r="J200" i="4"/>
  <c r="Q39" i="3"/>
  <c r="R38" i="3"/>
  <c r="R74" i="4"/>
  <c r="R220" i="4"/>
  <c r="I74" i="4"/>
  <c r="I220" i="4"/>
  <c r="M74" i="4"/>
  <c r="M220" i="4"/>
  <c r="F71" i="6"/>
  <c r="E71" i="6"/>
  <c r="L50" i="9"/>
  <c r="G71" i="6"/>
  <c r="P50" i="9" s="1"/>
  <c r="S266" i="3"/>
  <c r="S268" i="3" s="1"/>
  <c r="T268" i="3" s="1"/>
  <c r="G105" i="2" s="1"/>
  <c r="S256" i="3"/>
  <c r="T256" i="3" s="1"/>
  <c r="G90" i="2" s="1"/>
  <c r="T200" i="3"/>
  <c r="S44" i="6"/>
  <c r="S118" i="6"/>
  <c r="S144" i="6"/>
  <c r="S203" i="6"/>
  <c r="S84" i="6"/>
  <c r="S251" i="6"/>
  <c r="S186" i="6"/>
  <c r="S53" i="6"/>
  <c r="R189" i="6"/>
  <c r="R191" i="6"/>
  <c r="R190" i="6"/>
  <c r="R188" i="6"/>
  <c r="O219" i="3"/>
  <c r="O246" i="3" s="1"/>
  <c r="O255" i="3" s="1"/>
  <c r="O60" i="3"/>
  <c r="T72" i="4"/>
  <c r="H37" i="2" s="1"/>
  <c r="H222" i="4"/>
  <c r="T222" i="4" s="1"/>
  <c r="H183" i="3"/>
  <c r="H223" i="4"/>
  <c r="T223" i="4" s="1"/>
  <c r="T73" i="4"/>
  <c r="H38" i="2" s="1"/>
  <c r="T199" i="4"/>
  <c r="P70" i="5"/>
  <c r="M70" i="5"/>
  <c r="J70" i="5"/>
  <c r="R70" i="5"/>
  <c r="L70" i="5"/>
  <c r="N70" i="5"/>
  <c r="K49" i="9"/>
  <c r="H70" i="5"/>
  <c r="K70" i="5"/>
  <c r="O70" i="5"/>
  <c r="Q70" i="5"/>
  <c r="I70" i="5"/>
  <c r="S70" i="5"/>
  <c r="T216" i="3"/>
  <c r="Q256" i="4"/>
  <c r="Q266" i="4"/>
  <c r="Q268" i="4" s="1"/>
  <c r="Q155" i="4"/>
  <c r="K220" i="4"/>
  <c r="K74" i="4"/>
  <c r="H74" i="4"/>
  <c r="T70" i="4"/>
  <c r="H35" i="2" s="1"/>
  <c r="H220" i="4"/>
  <c r="R207" i="6"/>
  <c r="T207" i="6" s="1"/>
  <c r="R48" i="6"/>
  <c r="T48" i="6" s="1"/>
  <c r="R58" i="6"/>
  <c r="R218" i="6" s="1"/>
  <c r="R65" i="6"/>
  <c r="T65" i="6" s="1"/>
  <c r="J32" i="2" s="1"/>
  <c r="E73" i="6"/>
  <c r="F73" i="6"/>
  <c r="L52" i="9"/>
  <c r="G73" i="6"/>
  <c r="P52" i="9" s="1"/>
  <c r="O200" i="4"/>
  <c r="L256" i="4"/>
  <c r="L266" i="4"/>
  <c r="L268" i="4" s="1"/>
  <c r="L155" i="4"/>
  <c r="T197" i="4"/>
  <c r="P176" i="3"/>
  <c r="Q177" i="3" s="1"/>
  <c r="T177" i="3" s="1"/>
  <c r="P59" i="3"/>
  <c r="P49" i="3"/>
  <c r="P50" i="3" s="1"/>
  <c r="P148" i="3" s="1"/>
  <c r="P208" i="3"/>
  <c r="P209" i="3" s="1"/>
  <c r="P41" i="3"/>
  <c r="P220" i="4"/>
  <c r="P74" i="4"/>
  <c r="S220" i="4"/>
  <c r="S74" i="4"/>
  <c r="L220" i="4"/>
  <c r="L74" i="4"/>
  <c r="O71" i="5"/>
  <c r="O221" i="5" s="1"/>
  <c r="L71" i="5"/>
  <c r="L221" i="5" s="1"/>
  <c r="P71" i="5"/>
  <c r="P221" i="5" s="1"/>
  <c r="S71" i="5"/>
  <c r="S221" i="5" s="1"/>
  <c r="I71" i="5"/>
  <c r="I221" i="5" s="1"/>
  <c r="N71" i="5"/>
  <c r="N221" i="5" s="1"/>
  <c r="Q71" i="5"/>
  <c r="Q221" i="5" s="1"/>
  <c r="K71" i="5"/>
  <c r="K221" i="5" s="1"/>
  <c r="K50" i="9"/>
  <c r="J71" i="5"/>
  <c r="J221" i="5" s="1"/>
  <c r="H71" i="5"/>
  <c r="R71" i="5"/>
  <c r="R221" i="5" s="1"/>
  <c r="M71" i="5"/>
  <c r="M221" i="5" s="1"/>
  <c r="O170" i="3"/>
  <c r="P171" i="3" s="1"/>
  <c r="N79" i="3"/>
  <c r="Q175" i="5"/>
  <c r="I175" i="5"/>
  <c r="P175" i="5"/>
  <c r="K175" i="5"/>
  <c r="L175" i="5"/>
  <c r="M175" i="5"/>
  <c r="O175" i="5"/>
  <c r="F174" i="6"/>
  <c r="H175" i="5"/>
  <c r="R175" i="5"/>
  <c r="S175" i="5"/>
  <c r="N175" i="5"/>
  <c r="Q166" i="6"/>
  <c r="Q245" i="6" s="1"/>
  <c r="O148" i="3"/>
  <c r="P73" i="5"/>
  <c r="P223" i="5" s="1"/>
  <c r="L73" i="5"/>
  <c r="L223" i="5" s="1"/>
  <c r="R73" i="5"/>
  <c r="R223" i="5" s="1"/>
  <c r="J73" i="5"/>
  <c r="J223" i="5" s="1"/>
  <c r="S73" i="5"/>
  <c r="S223" i="5" s="1"/>
  <c r="I73" i="5"/>
  <c r="I223" i="5" s="1"/>
  <c r="K52" i="9"/>
  <c r="K73" i="5"/>
  <c r="K223" i="5" s="1"/>
  <c r="O73" i="5"/>
  <c r="O223" i="5" s="1"/>
  <c r="Q73" i="5"/>
  <c r="Q223" i="5" s="1"/>
  <c r="H73" i="5"/>
  <c r="M73" i="5"/>
  <c r="M223" i="5" s="1"/>
  <c r="N73" i="5"/>
  <c r="N223" i="5" s="1"/>
  <c r="L149" i="3"/>
  <c r="T195" i="4"/>
  <c r="N248" i="3"/>
  <c r="J196" i="5"/>
  <c r="K140" i="9" s="1"/>
  <c r="L196" i="5"/>
  <c r="K196" i="5"/>
  <c r="M196" i="5"/>
  <c r="H196" i="5"/>
  <c r="L140" i="9"/>
  <c r="I196" i="5"/>
  <c r="N196" i="5"/>
  <c r="O196" i="5"/>
  <c r="P196" i="5"/>
  <c r="Q196" i="5"/>
  <c r="R196" i="5"/>
  <c r="S196" i="5"/>
  <c r="E196" i="6"/>
  <c r="Q282" i="6"/>
  <c r="Q283" i="6" s="1"/>
  <c r="L72" i="5"/>
  <c r="L222" i="5" s="1"/>
  <c r="N72" i="5"/>
  <c r="N222" i="5" s="1"/>
  <c r="R72" i="5"/>
  <c r="R222" i="5" s="1"/>
  <c r="I72" i="5"/>
  <c r="I222" i="5" s="1"/>
  <c r="S72" i="5"/>
  <c r="S222" i="5" s="1"/>
  <c r="H72" i="5"/>
  <c r="Q72" i="5"/>
  <c r="Q222" i="5" s="1"/>
  <c r="P72" i="5"/>
  <c r="P222" i="5" s="1"/>
  <c r="O72" i="5"/>
  <c r="O222" i="5" s="1"/>
  <c r="K72" i="5"/>
  <c r="K222" i="5" s="1"/>
  <c r="K51" i="9"/>
  <c r="M72" i="5"/>
  <c r="M222" i="5" s="1"/>
  <c r="J72" i="5"/>
  <c r="J222" i="5" s="1"/>
  <c r="I199" i="5"/>
  <c r="H199" i="5"/>
  <c r="K199" i="5"/>
  <c r="M199" i="5"/>
  <c r="J199" i="5"/>
  <c r="K143" i="9" s="1"/>
  <c r="L199" i="5"/>
  <c r="L143" i="9"/>
  <c r="N199" i="5"/>
  <c r="O199" i="5"/>
  <c r="P199" i="5"/>
  <c r="Q199" i="5"/>
  <c r="R199" i="5"/>
  <c r="S199" i="5"/>
  <c r="E199" i="6"/>
  <c r="R199" i="6" s="1"/>
  <c r="T19" i="6"/>
  <c r="T194" i="4"/>
  <c r="H200" i="4"/>
  <c r="R12" i="6"/>
  <c r="T11" i="6"/>
  <c r="O209" i="3"/>
  <c r="S245" i="3"/>
  <c r="T245" i="3" s="1"/>
  <c r="T166" i="3"/>
  <c r="G68" i="2" s="1"/>
  <c r="E16" i="10" s="1"/>
  <c r="N81" i="3"/>
  <c r="N149" i="3" s="1"/>
  <c r="N152" i="3" s="1"/>
  <c r="N157" i="3" s="1"/>
  <c r="R200" i="4"/>
  <c r="N200" i="4"/>
  <c r="I200" i="4"/>
  <c r="J197" i="5"/>
  <c r="K141" i="9" s="1"/>
  <c r="L141" i="9"/>
  <c r="L197" i="5"/>
  <c r="K197" i="5"/>
  <c r="H197" i="5"/>
  <c r="M197" i="5"/>
  <c r="I197" i="5"/>
  <c r="N197" i="5"/>
  <c r="O197" i="5"/>
  <c r="P197" i="5"/>
  <c r="Q197" i="5"/>
  <c r="R197" i="5"/>
  <c r="E197" i="6"/>
  <c r="S197" i="5"/>
  <c r="O74" i="4"/>
  <c r="O220" i="4"/>
  <c r="N74" i="4"/>
  <c r="N220" i="4"/>
  <c r="J74" i="4"/>
  <c r="J220" i="4"/>
  <c r="J157" i="3"/>
  <c r="P218" i="6"/>
  <c r="T218" i="6" s="1"/>
  <c r="T58" i="6"/>
  <c r="J27" i="2" s="1"/>
  <c r="R47" i="6"/>
  <c r="R206" i="6"/>
  <c r="R57" i="6"/>
  <c r="R217" i="6" s="1"/>
  <c r="R64" i="6"/>
  <c r="R281" i="6"/>
  <c r="R274" i="6"/>
  <c r="R280" i="6"/>
  <c r="R278" i="6"/>
  <c r="R277" i="6"/>
  <c r="R272" i="6"/>
  <c r="R279" i="6"/>
  <c r="O147" i="3"/>
  <c r="O77" i="3"/>
  <c r="O78" i="3"/>
  <c r="T27" i="6"/>
  <c r="F72" i="6"/>
  <c r="L51" i="9"/>
  <c r="G72" i="6"/>
  <c r="P51" i="9" s="1"/>
  <c r="E72" i="6"/>
  <c r="P67" i="6"/>
  <c r="I198" i="5"/>
  <c r="M198" i="5"/>
  <c r="J198" i="5"/>
  <c r="K142" i="9" s="1"/>
  <c r="H198" i="5"/>
  <c r="L198" i="5"/>
  <c r="K198" i="5"/>
  <c r="L142" i="9"/>
  <c r="N198" i="5"/>
  <c r="O198" i="5"/>
  <c r="P198" i="5"/>
  <c r="Q198" i="5"/>
  <c r="R198" i="5"/>
  <c r="S198" i="5"/>
  <c r="E198" i="6"/>
  <c r="Q57" i="6"/>
  <c r="Q206" i="6"/>
  <c r="Q47" i="6"/>
  <c r="Q64" i="6"/>
  <c r="Q67" i="6" s="1"/>
  <c r="T20" i="6"/>
  <c r="J9" i="2" s="1"/>
  <c r="S283" i="3"/>
  <c r="T283" i="3" s="1"/>
  <c r="G114" i="2" s="1"/>
  <c r="E70" i="6"/>
  <c r="G70" i="6"/>
  <c r="P49" i="9" s="1"/>
  <c r="F70" i="6"/>
  <c r="L49" i="9"/>
  <c r="S166" i="4" l="1"/>
  <c r="T161" i="4"/>
  <c r="T67" i="4"/>
  <c r="H34" i="2" s="1"/>
  <c r="T188" i="4"/>
  <c r="L200" i="5"/>
  <c r="T206" i="6"/>
  <c r="Q155" i="3"/>
  <c r="P261" i="3"/>
  <c r="P254" i="3"/>
  <c r="S282" i="4"/>
  <c r="T282" i="4" s="1"/>
  <c r="H112" i="2" s="1"/>
  <c r="R282" i="6"/>
  <c r="R283" i="6" s="1"/>
  <c r="N180" i="3"/>
  <c r="N181" i="3" s="1"/>
  <c r="N183" i="3" s="1"/>
  <c r="O142" i="9"/>
  <c r="I198" i="6"/>
  <c r="H198" i="6"/>
  <c r="J198" i="6"/>
  <c r="K198" i="6"/>
  <c r="L198" i="6"/>
  <c r="M198" i="6"/>
  <c r="N142" i="9" s="1"/>
  <c r="N198" i="6"/>
  <c r="O198" i="6"/>
  <c r="P198" i="6"/>
  <c r="Q198" i="6"/>
  <c r="J180" i="3"/>
  <c r="J179" i="3" s="1"/>
  <c r="N262" i="3"/>
  <c r="L261" i="4"/>
  <c r="L254" i="4"/>
  <c r="S155" i="4"/>
  <c r="S266" i="4"/>
  <c r="S268" i="4" s="1"/>
  <c r="S256" i="4"/>
  <c r="S220" i="5"/>
  <c r="S74" i="5"/>
  <c r="K220" i="5"/>
  <c r="K74" i="5"/>
  <c r="Q59" i="3"/>
  <c r="Q49" i="3"/>
  <c r="Q50" i="3" s="1"/>
  <c r="Q148" i="3" s="1"/>
  <c r="Q176" i="3"/>
  <c r="Q208" i="3"/>
  <c r="Q209" i="3" s="1"/>
  <c r="Q41" i="3"/>
  <c r="M200" i="5"/>
  <c r="I195" i="6"/>
  <c r="O139" i="9"/>
  <c r="H195" i="6"/>
  <c r="J195" i="6"/>
  <c r="K195" i="6"/>
  <c r="L195" i="6"/>
  <c r="M195" i="6"/>
  <c r="N139" i="9" s="1"/>
  <c r="N195" i="6"/>
  <c r="O195" i="6"/>
  <c r="P195" i="6"/>
  <c r="Q195" i="6"/>
  <c r="T195" i="5"/>
  <c r="O79" i="3"/>
  <c r="T47" i="6"/>
  <c r="I266" i="4"/>
  <c r="I268" i="4" s="1"/>
  <c r="I256" i="4"/>
  <c r="I155" i="4"/>
  <c r="I199" i="6"/>
  <c r="H199" i="6"/>
  <c r="O143" i="9"/>
  <c r="J199" i="6"/>
  <c r="K199" i="6"/>
  <c r="L199" i="6"/>
  <c r="M199" i="6"/>
  <c r="N143" i="9" s="1"/>
  <c r="N199" i="6"/>
  <c r="O199" i="6"/>
  <c r="P199" i="6"/>
  <c r="Q199" i="6"/>
  <c r="T199" i="5"/>
  <c r="H174" i="5"/>
  <c r="I174" i="5" s="1"/>
  <c r="J175" i="5" s="1"/>
  <c r="J174" i="5" s="1"/>
  <c r="K174" i="5" s="1"/>
  <c r="L174" i="5" s="1"/>
  <c r="M174" i="5" s="1"/>
  <c r="N174" i="5" s="1"/>
  <c r="O174" i="5" s="1"/>
  <c r="P174" i="5" s="1"/>
  <c r="Q174" i="5" s="1"/>
  <c r="R174" i="5" s="1"/>
  <c r="S174" i="5" s="1"/>
  <c r="P170" i="3"/>
  <c r="Q171" i="3" s="1"/>
  <c r="H221" i="5"/>
  <c r="T221" i="5" s="1"/>
  <c r="T71" i="5"/>
  <c r="I36" i="2" s="1"/>
  <c r="P219" i="3"/>
  <c r="P246" i="3" s="1"/>
  <c r="P255" i="3" s="1"/>
  <c r="P60" i="3"/>
  <c r="O73" i="6"/>
  <c r="O223" i="6" s="1"/>
  <c r="N52" i="9"/>
  <c r="N73" i="6"/>
  <c r="N223" i="6" s="1"/>
  <c r="J73" i="6"/>
  <c r="J223" i="6" s="1"/>
  <c r="M73" i="6"/>
  <c r="M223" i="6" s="1"/>
  <c r="R73" i="6"/>
  <c r="R223" i="6" s="1"/>
  <c r="P73" i="6"/>
  <c r="P223" i="6" s="1"/>
  <c r="I73" i="6"/>
  <c r="I223" i="6" s="1"/>
  <c r="H73" i="6"/>
  <c r="S73" i="6"/>
  <c r="S223" i="6" s="1"/>
  <c r="Q73" i="6"/>
  <c r="Q223" i="6" s="1"/>
  <c r="K73" i="6"/>
  <c r="K223" i="6" s="1"/>
  <c r="L73" i="6"/>
  <c r="L223" i="6" s="1"/>
  <c r="I220" i="5"/>
  <c r="I74" i="5"/>
  <c r="H220" i="5"/>
  <c r="H74" i="5"/>
  <c r="T70" i="5"/>
  <c r="I35" i="2" s="1"/>
  <c r="R220" i="5"/>
  <c r="R74" i="5"/>
  <c r="R195" i="6"/>
  <c r="S200" i="5"/>
  <c r="P200" i="5"/>
  <c r="J200" i="5"/>
  <c r="K138" i="9"/>
  <c r="T194" i="5"/>
  <c r="H200" i="5"/>
  <c r="T175" i="4"/>
  <c r="H197" i="6"/>
  <c r="I197" i="6"/>
  <c r="O141" i="9"/>
  <c r="J197" i="6"/>
  <c r="K197" i="6"/>
  <c r="L197" i="6"/>
  <c r="M197" i="6"/>
  <c r="N141" i="9" s="1"/>
  <c r="N197" i="6"/>
  <c r="O197" i="6"/>
  <c r="P197" i="6"/>
  <c r="Q197" i="6"/>
  <c r="T197" i="5"/>
  <c r="P74" i="5"/>
  <c r="P220" i="5"/>
  <c r="E71" i="7"/>
  <c r="F71" i="7"/>
  <c r="R50" i="9" s="1"/>
  <c r="O50" i="9"/>
  <c r="G71" i="7"/>
  <c r="S50" i="9" s="1"/>
  <c r="P266" i="4"/>
  <c r="P268" i="4" s="1"/>
  <c r="P256" i="4"/>
  <c r="P155" i="4"/>
  <c r="L266" i="5"/>
  <c r="L268" i="5" s="1"/>
  <c r="L256" i="5"/>
  <c r="L155" i="5"/>
  <c r="M254" i="4"/>
  <c r="M261" i="4"/>
  <c r="O49" i="9"/>
  <c r="F70" i="7"/>
  <c r="R49" i="9" s="1"/>
  <c r="E70" i="7"/>
  <c r="G70" i="7"/>
  <c r="S49" i="9" s="1"/>
  <c r="Q217" i="6"/>
  <c r="T217" i="6" s="1"/>
  <c r="T57" i="6"/>
  <c r="J26" i="2" s="1"/>
  <c r="T198" i="5"/>
  <c r="F72" i="7"/>
  <c r="R51" i="9" s="1"/>
  <c r="E72" i="7"/>
  <c r="G72" i="7"/>
  <c r="S51" i="9" s="1"/>
  <c r="O51" i="9"/>
  <c r="T64" i="6"/>
  <c r="J31" i="2" s="1"/>
  <c r="N266" i="4"/>
  <c r="N268" i="4" s="1"/>
  <c r="N155" i="4"/>
  <c r="N256" i="4"/>
  <c r="R46" i="6"/>
  <c r="R205" i="6"/>
  <c r="R213" i="6"/>
  <c r="T213" i="6" s="1"/>
  <c r="R63" i="6"/>
  <c r="R56" i="6"/>
  <c r="T12" i="6"/>
  <c r="J7" i="2" s="1"/>
  <c r="T72" i="5"/>
  <c r="I37" i="2" s="1"/>
  <c r="H222" i="5"/>
  <c r="T222" i="5" s="1"/>
  <c r="H196" i="6"/>
  <c r="I196" i="6"/>
  <c r="O140" i="9"/>
  <c r="J196" i="6"/>
  <c r="K196" i="6"/>
  <c r="L196" i="6"/>
  <c r="M196" i="6"/>
  <c r="N140" i="9" s="1"/>
  <c r="N196" i="6"/>
  <c r="O196" i="6"/>
  <c r="P196" i="6"/>
  <c r="Q196" i="6"/>
  <c r="T73" i="5"/>
  <c r="I38" i="2" s="1"/>
  <c r="H223" i="5"/>
  <c r="T223" i="5" s="1"/>
  <c r="P147" i="3"/>
  <c r="P77" i="3"/>
  <c r="P78" i="3"/>
  <c r="T220" i="4"/>
  <c r="Q74" i="5"/>
  <c r="Q220" i="5"/>
  <c r="J74" i="5"/>
  <c r="J220" i="5"/>
  <c r="T266" i="3"/>
  <c r="G102" i="2" s="1"/>
  <c r="R198" i="6"/>
  <c r="S189" i="6"/>
  <c r="T189" i="6" s="1"/>
  <c r="S188" i="6"/>
  <c r="S196" i="6"/>
  <c r="S198" i="6"/>
  <c r="S197" i="6"/>
  <c r="S199" i="6"/>
  <c r="E196" i="7"/>
  <c r="E197" i="7"/>
  <c r="E199" i="7"/>
  <c r="E194" i="7"/>
  <c r="S195" i="6"/>
  <c r="S191" i="6"/>
  <c r="T191" i="6" s="1"/>
  <c r="E195" i="7"/>
  <c r="S194" i="6"/>
  <c r="S190" i="6"/>
  <c r="T190" i="6" s="1"/>
  <c r="E198" i="7"/>
  <c r="J256" i="4"/>
  <c r="J266" i="4"/>
  <c r="J268" i="4" s="1"/>
  <c r="J155" i="4"/>
  <c r="O138" i="9"/>
  <c r="I194" i="6"/>
  <c r="I200" i="6" s="1"/>
  <c r="H194" i="6"/>
  <c r="J194" i="6"/>
  <c r="J200" i="6" s="1"/>
  <c r="K194" i="6"/>
  <c r="L194" i="6"/>
  <c r="L200" i="6" s="1"/>
  <c r="M194" i="6"/>
  <c r="N194" i="6"/>
  <c r="N200" i="6" s="1"/>
  <c r="O194" i="6"/>
  <c r="O200" i="6" s="1"/>
  <c r="P194" i="6"/>
  <c r="Q194" i="6"/>
  <c r="Q200" i="6" s="1"/>
  <c r="O200" i="5"/>
  <c r="K200" i="5"/>
  <c r="I200" i="5"/>
  <c r="T174" i="4"/>
  <c r="M253" i="3"/>
  <c r="M257" i="3" s="1"/>
  <c r="M260" i="3"/>
  <c r="M263" i="3" s="1"/>
  <c r="M286" i="3" s="1"/>
  <c r="S70" i="6"/>
  <c r="H70" i="6"/>
  <c r="K70" i="6"/>
  <c r="J70" i="6"/>
  <c r="N49" i="9"/>
  <c r="L70" i="6"/>
  <c r="O70" i="6"/>
  <c r="P70" i="6"/>
  <c r="M70" i="6"/>
  <c r="Q70" i="6"/>
  <c r="I70" i="6"/>
  <c r="N70" i="6"/>
  <c r="R70" i="6"/>
  <c r="O248" i="3"/>
  <c r="O262" i="3" s="1"/>
  <c r="E73" i="7"/>
  <c r="F73" i="7"/>
  <c r="R52" i="9" s="1"/>
  <c r="O52" i="9"/>
  <c r="G73" i="7"/>
  <c r="S52" i="9" s="1"/>
  <c r="T74" i="4"/>
  <c r="H39" i="2" s="1"/>
  <c r="L220" i="5"/>
  <c r="L74" i="5"/>
  <c r="O81" i="3"/>
  <c r="O149" i="3" s="1"/>
  <c r="Q200" i="5"/>
  <c r="R72" i="6"/>
  <c r="R222" i="6" s="1"/>
  <c r="S72" i="6"/>
  <c r="S222" i="6" s="1"/>
  <c r="I72" i="6"/>
  <c r="I222" i="6" s="1"/>
  <c r="N72" i="6"/>
  <c r="N222" i="6" s="1"/>
  <c r="O72" i="6"/>
  <c r="O222" i="6" s="1"/>
  <c r="N51" i="9"/>
  <c r="L72" i="6"/>
  <c r="L222" i="6" s="1"/>
  <c r="K72" i="6"/>
  <c r="K222" i="6" s="1"/>
  <c r="M72" i="6"/>
  <c r="M222" i="6" s="1"/>
  <c r="H72" i="6"/>
  <c r="J72" i="6"/>
  <c r="J222" i="6" s="1"/>
  <c r="Q72" i="6"/>
  <c r="Q222" i="6" s="1"/>
  <c r="P72" i="6"/>
  <c r="P222" i="6" s="1"/>
  <c r="R266" i="4"/>
  <c r="R268" i="4" s="1"/>
  <c r="R155" i="4"/>
  <c r="R256" i="4"/>
  <c r="H155" i="4"/>
  <c r="H256" i="4"/>
  <c r="T200" i="4"/>
  <c r="H266" i="4"/>
  <c r="T196" i="5"/>
  <c r="L152" i="3"/>
  <c r="F174" i="7"/>
  <c r="M175" i="6"/>
  <c r="P175" i="6"/>
  <c r="O175" i="6"/>
  <c r="S175" i="6"/>
  <c r="Q175" i="6"/>
  <c r="L175" i="6"/>
  <c r="N175" i="6"/>
  <c r="H175" i="6"/>
  <c r="K175" i="6"/>
  <c r="R175" i="6"/>
  <c r="I175" i="6"/>
  <c r="O155" i="4"/>
  <c r="O266" i="4"/>
  <c r="O268" i="4" s="1"/>
  <c r="O256" i="4"/>
  <c r="Q261" i="4"/>
  <c r="Q254" i="4"/>
  <c r="O220" i="5"/>
  <c r="O74" i="5"/>
  <c r="N220" i="5"/>
  <c r="N74" i="5"/>
  <c r="M220" i="5"/>
  <c r="M74" i="5"/>
  <c r="H260" i="3"/>
  <c r="H263" i="3" s="1"/>
  <c r="H253" i="3"/>
  <c r="R197" i="6"/>
  <c r="R196" i="6"/>
  <c r="S279" i="6"/>
  <c r="T279" i="6" s="1"/>
  <c r="S277" i="6"/>
  <c r="S278" i="6"/>
  <c r="T278" i="6" s="1"/>
  <c r="S272" i="6"/>
  <c r="S281" i="6"/>
  <c r="T281" i="6" s="1"/>
  <c r="S280" i="6"/>
  <c r="T280" i="6" s="1"/>
  <c r="S274" i="6"/>
  <c r="T274" i="6" s="1"/>
  <c r="J111" i="2" s="1"/>
  <c r="S162" i="6"/>
  <c r="T162" i="6" s="1"/>
  <c r="S173" i="6"/>
  <c r="T173" i="6" s="1"/>
  <c r="S164" i="6"/>
  <c r="T164" i="6" s="1"/>
  <c r="S161" i="6"/>
  <c r="S163" i="6"/>
  <c r="T163" i="6" s="1"/>
  <c r="S165" i="6"/>
  <c r="T165" i="6" s="1"/>
  <c r="S177" i="6"/>
  <c r="F170" i="7"/>
  <c r="R71" i="6"/>
  <c r="R221" i="6" s="1"/>
  <c r="I71" i="6"/>
  <c r="I221" i="6" s="1"/>
  <c r="S71" i="6"/>
  <c r="S221" i="6" s="1"/>
  <c r="J71" i="6"/>
  <c r="J221" i="6" s="1"/>
  <c r="H71" i="6"/>
  <c r="N71" i="6"/>
  <c r="N221" i="6" s="1"/>
  <c r="Q71" i="6"/>
  <c r="Q221" i="6" s="1"/>
  <c r="O71" i="6"/>
  <c r="O221" i="6" s="1"/>
  <c r="K71" i="6"/>
  <c r="K221" i="6" s="1"/>
  <c r="L71" i="6"/>
  <c r="L221" i="6" s="1"/>
  <c r="P71" i="6"/>
  <c r="P221" i="6" s="1"/>
  <c r="N50" i="9"/>
  <c r="M71" i="6"/>
  <c r="M221" i="6" s="1"/>
  <c r="R39" i="3"/>
  <c r="S38" i="3"/>
  <c r="K155" i="4"/>
  <c r="K266" i="4"/>
  <c r="K268" i="4" s="1"/>
  <c r="K256" i="4"/>
  <c r="R200" i="5"/>
  <c r="N200" i="5"/>
  <c r="R166" i="6"/>
  <c r="R245" i="6" s="1"/>
  <c r="R155" i="3" l="1"/>
  <c r="Q261" i="3"/>
  <c r="Q254" i="3"/>
  <c r="S283" i="4"/>
  <c r="T283" i="4" s="1"/>
  <c r="H114" i="2" s="1"/>
  <c r="P200" i="6"/>
  <c r="R200" i="6"/>
  <c r="R266" i="6" s="1"/>
  <c r="R268" i="6" s="1"/>
  <c r="K200" i="6"/>
  <c r="K256" i="6" s="1"/>
  <c r="S245" i="4"/>
  <c r="T245" i="4" s="1"/>
  <c r="T166" i="4"/>
  <c r="H68" i="2" s="1"/>
  <c r="F16" i="10" s="1"/>
  <c r="P248" i="3"/>
  <c r="P262" i="3" s="1"/>
  <c r="T175" i="5"/>
  <c r="R256" i="6"/>
  <c r="K179" i="3"/>
  <c r="N253" i="3"/>
  <c r="N257" i="3" s="1"/>
  <c r="N260" i="3"/>
  <c r="N263" i="3" s="1"/>
  <c r="N286" i="3" s="1"/>
  <c r="R49" i="3"/>
  <c r="R50" i="3" s="1"/>
  <c r="R148" i="3" s="1"/>
  <c r="R176" i="3"/>
  <c r="R208" i="3"/>
  <c r="R209" i="3" s="1"/>
  <c r="R59" i="3"/>
  <c r="R41" i="3"/>
  <c r="H257" i="3"/>
  <c r="O261" i="4"/>
  <c r="O254" i="4"/>
  <c r="H175" i="7"/>
  <c r="Q175" i="7"/>
  <c r="R175" i="7"/>
  <c r="L175" i="7"/>
  <c r="M175" i="7"/>
  <c r="S175" i="7"/>
  <c r="N175" i="7"/>
  <c r="I175" i="7"/>
  <c r="K175" i="7"/>
  <c r="O175" i="7"/>
  <c r="P175" i="7"/>
  <c r="H254" i="4"/>
  <c r="T155" i="4"/>
  <c r="H261" i="4"/>
  <c r="I220" i="6"/>
  <c r="I74" i="6"/>
  <c r="O220" i="6"/>
  <c r="O74" i="6"/>
  <c r="K74" i="6"/>
  <c r="K220" i="6"/>
  <c r="O256" i="5"/>
  <c r="O155" i="5"/>
  <c r="O266" i="5"/>
  <c r="O268" i="5" s="1"/>
  <c r="N256" i="6"/>
  <c r="N266" i="6"/>
  <c r="N268" i="6" s="1"/>
  <c r="J266" i="6"/>
  <c r="J268" i="6" s="1"/>
  <c r="J256" i="6"/>
  <c r="J254" i="4"/>
  <c r="J261" i="4"/>
  <c r="H194" i="7"/>
  <c r="L194" i="7"/>
  <c r="K194" i="7"/>
  <c r="J194" i="7"/>
  <c r="R138" i="9"/>
  <c r="I194" i="7"/>
  <c r="M194" i="7"/>
  <c r="N194" i="7"/>
  <c r="O194" i="7"/>
  <c r="P194" i="7"/>
  <c r="Q194" i="7"/>
  <c r="R194" i="7"/>
  <c r="S194" i="7"/>
  <c r="S200" i="6"/>
  <c r="R67" i="6"/>
  <c r="T67" i="6" s="1"/>
  <c r="J34" i="2" s="1"/>
  <c r="T63" i="6"/>
  <c r="J30" i="2" s="1"/>
  <c r="O152" i="3"/>
  <c r="O157" i="3" s="1"/>
  <c r="H71" i="7"/>
  <c r="L71" i="7"/>
  <c r="L221" i="7" s="1"/>
  <c r="N71" i="7"/>
  <c r="N221" i="7" s="1"/>
  <c r="R71" i="7"/>
  <c r="R221" i="7" s="1"/>
  <c r="S71" i="7"/>
  <c r="S221" i="7" s="1"/>
  <c r="Q50" i="9"/>
  <c r="K71" i="7"/>
  <c r="K221" i="7" s="1"/>
  <c r="P71" i="7"/>
  <c r="P221" i="7" s="1"/>
  <c r="J71" i="7"/>
  <c r="J221" i="7" s="1"/>
  <c r="I71" i="7"/>
  <c r="I221" i="7" s="1"/>
  <c r="Q71" i="7"/>
  <c r="Q221" i="7" s="1"/>
  <c r="M71" i="7"/>
  <c r="M221" i="7" s="1"/>
  <c r="O71" i="7"/>
  <c r="O221" i="7" s="1"/>
  <c r="J155" i="5"/>
  <c r="J256" i="5"/>
  <c r="J266" i="5"/>
  <c r="J268" i="5" s="1"/>
  <c r="K144" i="9"/>
  <c r="T188" i="6"/>
  <c r="H221" i="6"/>
  <c r="T221" i="6" s="1"/>
  <c r="T71" i="6"/>
  <c r="J36" i="2" s="1"/>
  <c r="T272" i="6"/>
  <c r="J109" i="2" s="1"/>
  <c r="H286" i="3"/>
  <c r="H287" i="3" s="1"/>
  <c r="H268" i="4"/>
  <c r="T268" i="4" s="1"/>
  <c r="H105" i="2" s="1"/>
  <c r="T266" i="4"/>
  <c r="H102" i="2" s="1"/>
  <c r="Q220" i="6"/>
  <c r="Q74" i="6"/>
  <c r="L74" i="6"/>
  <c r="L220" i="6"/>
  <c r="T70" i="6"/>
  <c r="J35" i="2" s="1"/>
  <c r="H74" i="6"/>
  <c r="H220" i="6"/>
  <c r="Q266" i="6"/>
  <c r="Q268" i="6" s="1"/>
  <c r="Q256" i="6"/>
  <c r="N138" i="9"/>
  <c r="M200" i="6"/>
  <c r="H200" i="6"/>
  <c r="T194" i="6"/>
  <c r="K195" i="7"/>
  <c r="H195" i="7"/>
  <c r="R139" i="9"/>
  <c r="J195" i="7"/>
  <c r="I195" i="7"/>
  <c r="L195" i="7"/>
  <c r="M195" i="7"/>
  <c r="N195" i="7"/>
  <c r="O195" i="7"/>
  <c r="P195" i="7"/>
  <c r="Q139" i="9" s="1"/>
  <c r="Q195" i="7"/>
  <c r="R195" i="7"/>
  <c r="S195" i="7"/>
  <c r="J199" i="7"/>
  <c r="R143" i="9"/>
  <c r="K199" i="7"/>
  <c r="L199" i="7"/>
  <c r="H199" i="7"/>
  <c r="I199" i="7"/>
  <c r="M199" i="7"/>
  <c r="N199" i="7"/>
  <c r="O199" i="7"/>
  <c r="P199" i="7"/>
  <c r="Q143" i="9" s="1"/>
  <c r="Q199" i="7"/>
  <c r="R199" i="7"/>
  <c r="S199" i="7"/>
  <c r="T196" i="6"/>
  <c r="N254" i="4"/>
  <c r="N261" i="4"/>
  <c r="H266" i="5"/>
  <c r="T200" i="5"/>
  <c r="H155" i="5"/>
  <c r="H256" i="5"/>
  <c r="P155" i="5"/>
  <c r="P266" i="5"/>
  <c r="P268" i="5" s="1"/>
  <c r="P256" i="5"/>
  <c r="T74" i="5"/>
  <c r="I39" i="2" s="1"/>
  <c r="H223" i="6"/>
  <c r="T223" i="6" s="1"/>
  <c r="T73" i="6"/>
  <c r="J38" i="2" s="1"/>
  <c r="I254" i="4"/>
  <c r="I261" i="4"/>
  <c r="T198" i="6"/>
  <c r="N256" i="5"/>
  <c r="N266" i="5"/>
  <c r="N268" i="5" s="1"/>
  <c r="N155" i="5"/>
  <c r="K261" i="4"/>
  <c r="K254" i="4"/>
  <c r="S166" i="6"/>
  <c r="T161" i="6"/>
  <c r="R261" i="4"/>
  <c r="R254" i="4"/>
  <c r="Q155" i="5"/>
  <c r="Q266" i="5"/>
  <c r="Q268" i="5" s="1"/>
  <c r="Q256" i="5"/>
  <c r="I73" i="7"/>
  <c r="I223" i="7" s="1"/>
  <c r="L73" i="7"/>
  <c r="L223" i="7" s="1"/>
  <c r="R73" i="7"/>
  <c r="R223" i="7" s="1"/>
  <c r="O73" i="7"/>
  <c r="O223" i="7" s="1"/>
  <c r="N73" i="7"/>
  <c r="N223" i="7" s="1"/>
  <c r="P73" i="7"/>
  <c r="P223" i="7" s="1"/>
  <c r="J73" i="7"/>
  <c r="J223" i="7" s="1"/>
  <c r="Q73" i="7"/>
  <c r="Q223" i="7" s="1"/>
  <c r="K73" i="7"/>
  <c r="K223" i="7" s="1"/>
  <c r="H73" i="7"/>
  <c r="S73" i="7"/>
  <c r="S223" i="7" s="1"/>
  <c r="Q52" i="9"/>
  <c r="M73" i="7"/>
  <c r="M223" i="7" s="1"/>
  <c r="R74" i="6"/>
  <c r="R220" i="6"/>
  <c r="M220" i="6"/>
  <c r="M74" i="6"/>
  <c r="S74" i="6"/>
  <c r="S220" i="6"/>
  <c r="I256" i="5"/>
  <c r="I266" i="5"/>
  <c r="I268" i="5" s="1"/>
  <c r="I155" i="5"/>
  <c r="P256" i="6"/>
  <c r="P266" i="6"/>
  <c r="P268" i="6" s="1"/>
  <c r="L266" i="6"/>
  <c r="L268" i="6" s="1"/>
  <c r="L256" i="6"/>
  <c r="I266" i="6"/>
  <c r="I268" i="6" s="1"/>
  <c r="I256" i="6"/>
  <c r="K198" i="7"/>
  <c r="R142" i="9"/>
  <c r="I198" i="7"/>
  <c r="J198" i="7"/>
  <c r="L198" i="7"/>
  <c r="H198" i="7"/>
  <c r="M198" i="7"/>
  <c r="N198" i="7"/>
  <c r="O198" i="7"/>
  <c r="P198" i="7"/>
  <c r="Q142" i="9" s="1"/>
  <c r="Q198" i="7"/>
  <c r="R198" i="7"/>
  <c r="S198" i="7"/>
  <c r="K197" i="7"/>
  <c r="J197" i="7"/>
  <c r="R141" i="9"/>
  <c r="L197" i="7"/>
  <c r="H197" i="7"/>
  <c r="I197" i="7"/>
  <c r="M197" i="7"/>
  <c r="N197" i="7"/>
  <c r="O197" i="7"/>
  <c r="P197" i="7"/>
  <c r="Q141" i="9" s="1"/>
  <c r="Q197" i="7"/>
  <c r="R197" i="7"/>
  <c r="S197" i="7"/>
  <c r="P79" i="3"/>
  <c r="P81" i="3" s="1"/>
  <c r="P149" i="3" s="1"/>
  <c r="P152" i="3" s="1"/>
  <c r="T205" i="6"/>
  <c r="Q49" i="9"/>
  <c r="S70" i="7"/>
  <c r="H70" i="7"/>
  <c r="R70" i="7"/>
  <c r="O70" i="7"/>
  <c r="K70" i="7"/>
  <c r="J70" i="7"/>
  <c r="I70" i="7"/>
  <c r="L70" i="7"/>
  <c r="N70" i="7"/>
  <c r="Q70" i="7"/>
  <c r="M70" i="7"/>
  <c r="P70" i="7"/>
  <c r="P261" i="4"/>
  <c r="P254" i="4"/>
  <c r="S155" i="5"/>
  <c r="S256" i="5"/>
  <c r="S266" i="5"/>
  <c r="S268" i="5" s="1"/>
  <c r="T220" i="5"/>
  <c r="Q170" i="3"/>
  <c r="R171" i="3" s="1"/>
  <c r="T174" i="5"/>
  <c r="M155" i="5"/>
  <c r="M256" i="5"/>
  <c r="M266" i="5"/>
  <c r="M268" i="5" s="1"/>
  <c r="S261" i="4"/>
  <c r="S254" i="4"/>
  <c r="R266" i="5"/>
  <c r="R268" i="5" s="1"/>
  <c r="R256" i="5"/>
  <c r="R155" i="5"/>
  <c r="S39" i="3"/>
  <c r="E33" i="4"/>
  <c r="T38" i="3"/>
  <c r="S282" i="6"/>
  <c r="T282" i="6" s="1"/>
  <c r="J112" i="2" s="1"/>
  <c r="T277" i="6"/>
  <c r="H174" i="6"/>
  <c r="I174" i="6" s="1"/>
  <c r="J175" i="6" s="1"/>
  <c r="L157" i="3"/>
  <c r="T256" i="4"/>
  <c r="H90" i="2" s="1"/>
  <c r="H222" i="6"/>
  <c r="T222" i="6" s="1"/>
  <c r="T72" i="6"/>
  <c r="J37" i="2" s="1"/>
  <c r="N74" i="6"/>
  <c r="N220" i="6"/>
  <c r="P220" i="6"/>
  <c r="P74" i="6"/>
  <c r="J74" i="6"/>
  <c r="J220" i="6"/>
  <c r="K155" i="5"/>
  <c r="K256" i="5"/>
  <c r="K266" i="5"/>
  <c r="K268" i="5" s="1"/>
  <c r="O256" i="6"/>
  <c r="O266" i="6"/>
  <c r="O268" i="6" s="1"/>
  <c r="L196" i="7"/>
  <c r="K196" i="7"/>
  <c r="J196" i="7"/>
  <c r="H196" i="7"/>
  <c r="R140" i="9"/>
  <c r="I196" i="7"/>
  <c r="M196" i="7"/>
  <c r="N196" i="7"/>
  <c r="O196" i="7"/>
  <c r="P196" i="7"/>
  <c r="Q140" i="9" s="1"/>
  <c r="Q196" i="7"/>
  <c r="R196" i="7"/>
  <c r="S196" i="7"/>
  <c r="R216" i="6"/>
  <c r="T56" i="6"/>
  <c r="J25" i="2" s="1"/>
  <c r="T46" i="6"/>
  <c r="O72" i="7"/>
  <c r="O222" i="7" s="1"/>
  <c r="H72" i="7"/>
  <c r="P72" i="7"/>
  <c r="P222" i="7" s="1"/>
  <c r="Q51" i="9"/>
  <c r="Q72" i="7"/>
  <c r="Q222" i="7" s="1"/>
  <c r="L72" i="7"/>
  <c r="L222" i="7" s="1"/>
  <c r="R72" i="7"/>
  <c r="R222" i="7" s="1"/>
  <c r="I72" i="7"/>
  <c r="I222" i="7" s="1"/>
  <c r="S72" i="7"/>
  <c r="S222" i="7" s="1"/>
  <c r="N72" i="7"/>
  <c r="N222" i="7" s="1"/>
  <c r="J72" i="7"/>
  <c r="J222" i="7" s="1"/>
  <c r="M72" i="7"/>
  <c r="M222" i="7" s="1"/>
  <c r="K72" i="7"/>
  <c r="K222" i="7" s="1"/>
  <c r="L261" i="5"/>
  <c r="L254" i="5"/>
  <c r="T197" i="6"/>
  <c r="T199" i="6"/>
  <c r="T195" i="6"/>
  <c r="Q77" i="3"/>
  <c r="Q78" i="3"/>
  <c r="Q147" i="3"/>
  <c r="Q219" i="3"/>
  <c r="Q246" i="3" s="1"/>
  <c r="Q255" i="3" s="1"/>
  <c r="Q60" i="3"/>
  <c r="J181" i="3"/>
  <c r="K266" i="6" l="1"/>
  <c r="K268" i="6" s="1"/>
  <c r="Q248" i="3"/>
  <c r="Q262" i="3" s="1"/>
  <c r="R254" i="3"/>
  <c r="R261" i="3"/>
  <c r="S155" i="3"/>
  <c r="T155" i="3"/>
  <c r="J174" i="6"/>
  <c r="K174" i="6" s="1"/>
  <c r="L174" i="6" s="1"/>
  <c r="M174" i="6" s="1"/>
  <c r="N174" i="6" s="1"/>
  <c r="O174" i="6" s="1"/>
  <c r="P174" i="6" s="1"/>
  <c r="Q174" i="6" s="1"/>
  <c r="R174" i="6" s="1"/>
  <c r="S174" i="6" s="1"/>
  <c r="H174" i="7" s="1"/>
  <c r="T175" i="6"/>
  <c r="P157" i="3"/>
  <c r="T216" i="6"/>
  <c r="P74" i="7"/>
  <c r="P220" i="7"/>
  <c r="I261" i="5"/>
  <c r="I254" i="5"/>
  <c r="T74" i="6"/>
  <c r="J39" i="2" s="1"/>
  <c r="R200" i="7"/>
  <c r="J200" i="7"/>
  <c r="R219" i="3"/>
  <c r="R246" i="3" s="1"/>
  <c r="R255" i="3" s="1"/>
  <c r="R60" i="3"/>
  <c r="Q79" i="3"/>
  <c r="Q81" i="3" s="1"/>
  <c r="Q149" i="3" s="1"/>
  <c r="Q152" i="3" s="1"/>
  <c r="K254" i="5"/>
  <c r="K261" i="5"/>
  <c r="S49" i="3"/>
  <c r="S176" i="3"/>
  <c r="S208" i="3"/>
  <c r="S59" i="3"/>
  <c r="S41" i="3"/>
  <c r="T39" i="3"/>
  <c r="G13" i="2" s="1"/>
  <c r="M261" i="5"/>
  <c r="M254" i="5"/>
  <c r="S254" i="5"/>
  <c r="S261" i="5"/>
  <c r="M220" i="7"/>
  <c r="M74" i="7"/>
  <c r="I220" i="7"/>
  <c r="I74" i="7"/>
  <c r="R74" i="7"/>
  <c r="R220" i="7"/>
  <c r="T197" i="7"/>
  <c r="T198" i="7"/>
  <c r="H266" i="6"/>
  <c r="T200" i="6"/>
  <c r="H155" i="6"/>
  <c r="H256" i="6"/>
  <c r="S283" i="6"/>
  <c r="T283" i="6" s="1"/>
  <c r="J114" i="2" s="1"/>
  <c r="J261" i="5"/>
  <c r="J254" i="5"/>
  <c r="Q200" i="7"/>
  <c r="M200" i="7"/>
  <c r="K200" i="7"/>
  <c r="O261" i="5"/>
  <c r="O254" i="5"/>
  <c r="L180" i="3"/>
  <c r="L74" i="7"/>
  <c r="L220" i="7"/>
  <c r="O74" i="7"/>
  <c r="O220" i="7"/>
  <c r="H223" i="7"/>
  <c r="T223" i="7" s="1"/>
  <c r="T73" i="7"/>
  <c r="K38" i="2" s="1"/>
  <c r="Q254" i="5"/>
  <c r="Q261" i="5"/>
  <c r="H222" i="7"/>
  <c r="T222" i="7" s="1"/>
  <c r="T72" i="7"/>
  <c r="K37" i="2" s="1"/>
  <c r="R261" i="5"/>
  <c r="R254" i="5"/>
  <c r="Q220" i="7"/>
  <c r="Q74" i="7"/>
  <c r="J74" i="7"/>
  <c r="J220" i="7"/>
  <c r="T70" i="7"/>
  <c r="K35" i="2" s="1"/>
  <c r="H220" i="7"/>
  <c r="H74" i="7"/>
  <c r="N254" i="5"/>
  <c r="N261" i="5"/>
  <c r="P254" i="5"/>
  <c r="P261" i="5"/>
  <c r="T266" i="5"/>
  <c r="I102" i="2" s="1"/>
  <c r="H268" i="5"/>
  <c r="T268" i="5" s="1"/>
  <c r="I105" i="2" s="1"/>
  <c r="T199" i="7"/>
  <c r="T195" i="7"/>
  <c r="M256" i="6"/>
  <c r="M266" i="6"/>
  <c r="M268" i="6" s="1"/>
  <c r="N144" i="9"/>
  <c r="T71" i="7"/>
  <c r="K36" i="2" s="1"/>
  <c r="H221" i="7"/>
  <c r="T221" i="7" s="1"/>
  <c r="S266" i="6"/>
  <c r="S268" i="6" s="1"/>
  <c r="S256" i="6"/>
  <c r="Q138" i="9"/>
  <c r="P200" i="7"/>
  <c r="I200" i="7"/>
  <c r="L200" i="7"/>
  <c r="H96" i="2"/>
  <c r="F14" i="10" s="1"/>
  <c r="T261" i="4"/>
  <c r="J183" i="3"/>
  <c r="H38" i="4"/>
  <c r="H23" i="9"/>
  <c r="H261" i="5"/>
  <c r="H254" i="5"/>
  <c r="T155" i="5"/>
  <c r="N200" i="7"/>
  <c r="T196" i="7"/>
  <c r="R170" i="3"/>
  <c r="S171" i="3" s="1"/>
  <c r="N220" i="7"/>
  <c r="N74" i="7"/>
  <c r="K220" i="7"/>
  <c r="K74" i="7"/>
  <c r="S220" i="7"/>
  <c r="S74" i="7"/>
  <c r="S245" i="6"/>
  <c r="T245" i="6" s="1"/>
  <c r="T166" i="6"/>
  <c r="J68" i="2" s="1"/>
  <c r="H16" i="10" s="1"/>
  <c r="T256" i="5"/>
  <c r="I90" i="2" s="1"/>
  <c r="T220" i="6"/>
  <c r="I285" i="3"/>
  <c r="I287" i="3" s="1"/>
  <c r="H288" i="3"/>
  <c r="O180" i="3"/>
  <c r="O181" i="3" s="1"/>
  <c r="O183" i="3" s="1"/>
  <c r="S200" i="7"/>
  <c r="O200" i="7"/>
  <c r="T194" i="7"/>
  <c r="H200" i="7"/>
  <c r="T254" i="4"/>
  <c r="H88" i="2" s="1"/>
  <c r="R147" i="3"/>
  <c r="R78" i="3"/>
  <c r="R77" i="3"/>
  <c r="T261" i="3" l="1"/>
  <c r="G96" i="2"/>
  <c r="E14" i="10" s="1"/>
  <c r="S261" i="3"/>
  <c r="S254" i="3"/>
  <c r="T254" i="3" s="1"/>
  <c r="G88" i="2" s="1"/>
  <c r="T174" i="6"/>
  <c r="O260" i="3"/>
  <c r="O263" i="3" s="1"/>
  <c r="O286" i="3" s="1"/>
  <c r="O253" i="3"/>
  <c r="O257" i="3" s="1"/>
  <c r="Q157" i="3"/>
  <c r="O256" i="7"/>
  <c r="O266" i="7"/>
  <c r="O268" i="7" s="1"/>
  <c r="I96" i="2"/>
  <c r="G14" i="10" s="1"/>
  <c r="T261" i="5"/>
  <c r="I38" i="4"/>
  <c r="H39" i="4"/>
  <c r="M256" i="7"/>
  <c r="M266" i="7"/>
  <c r="M268" i="7" s="1"/>
  <c r="T266" i="6"/>
  <c r="J102" i="2" s="1"/>
  <c r="H268" i="6"/>
  <c r="T268" i="6" s="1"/>
  <c r="J105" i="2" s="1"/>
  <c r="S209" i="3"/>
  <c r="T208" i="3"/>
  <c r="S266" i="7"/>
  <c r="S268" i="7" s="1"/>
  <c r="S256" i="7"/>
  <c r="H290" i="3"/>
  <c r="S170" i="3"/>
  <c r="T171" i="3"/>
  <c r="T254" i="5"/>
  <c r="I88" i="2" s="1"/>
  <c r="J260" i="3"/>
  <c r="J263" i="3" s="1"/>
  <c r="J253" i="3"/>
  <c r="L266" i="7"/>
  <c r="L268" i="7" s="1"/>
  <c r="L256" i="7"/>
  <c r="L181" i="3"/>
  <c r="Q256" i="7"/>
  <c r="Q266" i="7"/>
  <c r="Q268" i="7" s="1"/>
  <c r="T256" i="6"/>
  <c r="J90" i="2" s="1"/>
  <c r="H177" i="4"/>
  <c r="T176" i="3"/>
  <c r="I174" i="7"/>
  <c r="J175" i="7" s="1"/>
  <c r="P180" i="3"/>
  <c r="P181" i="3" s="1"/>
  <c r="P183" i="3" s="1"/>
  <c r="R79" i="3"/>
  <c r="R81" i="3" s="1"/>
  <c r="R149" i="3" s="1"/>
  <c r="R152" i="3" s="1"/>
  <c r="R157" i="3" s="1"/>
  <c r="H256" i="7"/>
  <c r="T200" i="7"/>
  <c r="H266" i="7"/>
  <c r="H155" i="7"/>
  <c r="I288" i="3"/>
  <c r="I290" i="3" s="1"/>
  <c r="J285" i="3"/>
  <c r="I256" i="7"/>
  <c r="I266" i="7"/>
  <c r="I268" i="7" s="1"/>
  <c r="T74" i="7"/>
  <c r="K39" i="2" s="1"/>
  <c r="R248" i="3"/>
  <c r="R262" i="3" s="1"/>
  <c r="H254" i="6"/>
  <c r="H261" i="6"/>
  <c r="I155" i="6"/>
  <c r="S78" i="3"/>
  <c r="T78" i="3" s="1"/>
  <c r="G41" i="2" s="1"/>
  <c r="S77" i="3"/>
  <c r="S147" i="3"/>
  <c r="T41" i="3"/>
  <c r="G15" i="2" s="1"/>
  <c r="S50" i="3"/>
  <c r="T49" i="3"/>
  <c r="J266" i="7"/>
  <c r="J268" i="7" s="1"/>
  <c r="J256" i="7"/>
  <c r="N256" i="7"/>
  <c r="N266" i="7"/>
  <c r="N268" i="7" s="1"/>
  <c r="P266" i="7"/>
  <c r="P268" i="7" s="1"/>
  <c r="Q144" i="9"/>
  <c r="P256" i="7"/>
  <c r="T220" i="7"/>
  <c r="L179" i="3"/>
  <c r="M179" i="3" s="1"/>
  <c r="N179" i="3" s="1"/>
  <c r="O179" i="3" s="1"/>
  <c r="K256" i="7"/>
  <c r="K266" i="7"/>
  <c r="K268" i="7" s="1"/>
  <c r="S219" i="3"/>
  <c r="S60" i="3"/>
  <c r="T59" i="3"/>
  <c r="G28" i="2" s="1"/>
  <c r="R266" i="7"/>
  <c r="R268" i="7" s="1"/>
  <c r="R256" i="7"/>
  <c r="R180" i="3" l="1"/>
  <c r="R181" i="3" s="1"/>
  <c r="R183" i="3" s="1"/>
  <c r="J174" i="7"/>
  <c r="K174" i="7" s="1"/>
  <c r="L174" i="7" s="1"/>
  <c r="M174" i="7" s="1"/>
  <c r="N174" i="7" s="1"/>
  <c r="O174" i="7" s="1"/>
  <c r="P174" i="7" s="1"/>
  <c r="Q174" i="7" s="1"/>
  <c r="R174" i="7" s="1"/>
  <c r="S174" i="7" s="1"/>
  <c r="T175" i="7"/>
  <c r="T60" i="3"/>
  <c r="G29" i="2" s="1"/>
  <c r="T147" i="3"/>
  <c r="T266" i="7"/>
  <c r="K102" i="2" s="1"/>
  <c r="H268" i="7"/>
  <c r="T268" i="7" s="1"/>
  <c r="K105" i="2" s="1"/>
  <c r="P253" i="3"/>
  <c r="P257" i="3" s="1"/>
  <c r="P260" i="3"/>
  <c r="P263" i="3" s="1"/>
  <c r="P286" i="3" s="1"/>
  <c r="J257" i="3"/>
  <c r="H171" i="4"/>
  <c r="T170" i="3"/>
  <c r="J38" i="4"/>
  <c r="I39" i="4"/>
  <c r="Q180" i="3"/>
  <c r="Q181" i="3" s="1"/>
  <c r="S246" i="3"/>
  <c r="T219" i="3"/>
  <c r="S79" i="3"/>
  <c r="T79" i="3" s="1"/>
  <c r="G42" i="2" s="1"/>
  <c r="T77" i="3"/>
  <c r="G40" i="2" s="1"/>
  <c r="J286" i="3"/>
  <c r="J287" i="3" s="1"/>
  <c r="S248" i="3"/>
  <c r="T209" i="3"/>
  <c r="G77" i="2" s="1"/>
  <c r="E19" i="10" s="1"/>
  <c r="E9" i="10"/>
  <c r="G56" i="2"/>
  <c r="G53" i="2"/>
  <c r="I261" i="6"/>
  <c r="I254" i="6"/>
  <c r="J155" i="6"/>
  <c r="H254" i="7"/>
  <c r="H261" i="7"/>
  <c r="L183" i="3"/>
  <c r="H208" i="4"/>
  <c r="H49" i="4"/>
  <c r="H41" i="4"/>
  <c r="H59" i="4"/>
  <c r="H176" i="4"/>
  <c r="S148" i="3"/>
  <c r="T148" i="3" s="1"/>
  <c r="T50" i="3"/>
  <c r="G18" i="2" s="1"/>
  <c r="G21" i="2" s="1"/>
  <c r="G22" i="2" s="1"/>
  <c r="I155" i="7"/>
  <c r="T256" i="7"/>
  <c r="K90" i="2" s="1"/>
  <c r="P179" i="3"/>
  <c r="S81" i="3" l="1"/>
  <c r="R253" i="3"/>
  <c r="R257" i="3" s="1"/>
  <c r="R260" i="3"/>
  <c r="R263" i="3" s="1"/>
  <c r="R286" i="3" s="1"/>
  <c r="H209" i="4"/>
  <c r="K38" i="4"/>
  <c r="J39" i="4"/>
  <c r="S149" i="3"/>
  <c r="T149" i="3" s="1"/>
  <c r="T81" i="3"/>
  <c r="G44" i="2" s="1"/>
  <c r="E10" i="10"/>
  <c r="G19" i="2"/>
  <c r="H219" i="4"/>
  <c r="H60" i="4"/>
  <c r="T174" i="7"/>
  <c r="Q179" i="3"/>
  <c r="R179" i="3" s="1"/>
  <c r="H147" i="4"/>
  <c r="H78" i="4"/>
  <c r="H77" i="4"/>
  <c r="L253" i="3"/>
  <c r="L260" i="3"/>
  <c r="L263" i="3" s="1"/>
  <c r="Q183" i="3"/>
  <c r="H170" i="4"/>
  <c r="S152" i="3"/>
  <c r="I254" i="7"/>
  <c r="I261" i="7"/>
  <c r="J155" i="7"/>
  <c r="H50" i="4"/>
  <c r="J261" i="6"/>
  <c r="J254" i="6"/>
  <c r="K155" i="6"/>
  <c r="S262" i="3"/>
  <c r="T262" i="3" s="1"/>
  <c r="G97" i="2" s="1"/>
  <c r="T248" i="3"/>
  <c r="G81" i="2" s="1"/>
  <c r="J288" i="3"/>
  <c r="K285" i="3"/>
  <c r="K287" i="3" s="1"/>
  <c r="S255" i="3"/>
  <c r="T255" i="3" s="1"/>
  <c r="G89" i="2" s="1"/>
  <c r="T246" i="3"/>
  <c r="G79" i="2" s="1"/>
  <c r="E21" i="10" s="1"/>
  <c r="I49" i="4"/>
  <c r="I50" i="4" s="1"/>
  <c r="I148" i="4" s="1"/>
  <c r="I59" i="4"/>
  <c r="I41" i="4"/>
  <c r="I176" i="4"/>
  <c r="I208" i="4"/>
  <c r="I209" i="4" s="1"/>
  <c r="K261" i="6" l="1"/>
  <c r="K254" i="6"/>
  <c r="L155" i="6"/>
  <c r="L286" i="3"/>
  <c r="J290" i="3"/>
  <c r="S157" i="3"/>
  <c r="T152" i="3"/>
  <c r="G58" i="2" s="1"/>
  <c r="Q260" i="3"/>
  <c r="Q263" i="3" s="1"/>
  <c r="Q286" i="3" s="1"/>
  <c r="Q253" i="3"/>
  <c r="Q257" i="3" s="1"/>
  <c r="L257" i="3"/>
  <c r="E12" i="10"/>
  <c r="G45" i="2"/>
  <c r="L38" i="4"/>
  <c r="K39" i="4"/>
  <c r="L285" i="3"/>
  <c r="K288" i="3"/>
  <c r="K290" i="3" s="1"/>
  <c r="J254" i="7"/>
  <c r="J261" i="7"/>
  <c r="K155" i="7"/>
  <c r="I171" i="4"/>
  <c r="H246" i="4"/>
  <c r="I219" i="4"/>
  <c r="I246" i="4" s="1"/>
  <c r="I255" i="4" s="1"/>
  <c r="I60" i="4"/>
  <c r="J208" i="4"/>
  <c r="J209" i="4" s="1"/>
  <c r="J59" i="4"/>
  <c r="J41" i="4"/>
  <c r="J176" i="4"/>
  <c r="J49" i="4"/>
  <c r="I78" i="4"/>
  <c r="I77" i="4"/>
  <c r="I147" i="4"/>
  <c r="H148" i="4"/>
  <c r="H79" i="4"/>
  <c r="H248" i="4"/>
  <c r="L287" i="3" l="1"/>
  <c r="J50" i="4"/>
  <c r="I170" i="4"/>
  <c r="G62" i="2"/>
  <c r="G59" i="2"/>
  <c r="G61" i="2"/>
  <c r="G63" i="2" s="1"/>
  <c r="I79" i="4"/>
  <c r="I81" i="4" s="1"/>
  <c r="I149" i="4" s="1"/>
  <c r="I152" i="4" s="1"/>
  <c r="I157" i="4" s="1"/>
  <c r="K177" i="4"/>
  <c r="K176" i="4" s="1"/>
  <c r="H255" i="4"/>
  <c r="K261" i="7"/>
  <c r="K254" i="7"/>
  <c r="L155" i="7"/>
  <c r="M285" i="3"/>
  <c r="M287" i="3" s="1"/>
  <c r="L288" i="3"/>
  <c r="L290" i="3" s="1"/>
  <c r="S180" i="3"/>
  <c r="S179" i="3"/>
  <c r="T179" i="3" s="1"/>
  <c r="T157" i="3"/>
  <c r="G65" i="2" s="1"/>
  <c r="G66" i="2" s="1"/>
  <c r="I248" i="4"/>
  <c r="I262" i="4" s="1"/>
  <c r="J78" i="4"/>
  <c r="J77" i="4"/>
  <c r="J79" i="4" s="1"/>
  <c r="J147" i="4"/>
  <c r="K41" i="4"/>
  <c r="K208" i="4"/>
  <c r="K209" i="4" s="1"/>
  <c r="K49" i="4"/>
  <c r="K50" i="4" s="1"/>
  <c r="K148" i="4" s="1"/>
  <c r="K59" i="4"/>
  <c r="L254" i="6"/>
  <c r="L261" i="6"/>
  <c r="M155" i="6"/>
  <c r="H262" i="4"/>
  <c r="J60" i="4"/>
  <c r="J219" i="4"/>
  <c r="J246" i="4" s="1"/>
  <c r="J255" i="4" s="1"/>
  <c r="M38" i="4"/>
  <c r="L39" i="4"/>
  <c r="H81" i="4"/>
  <c r="J81" i="4" l="1"/>
  <c r="J149" i="4" s="1"/>
  <c r="J248" i="4"/>
  <c r="J262" i="4" s="1"/>
  <c r="I180" i="4"/>
  <c r="I181" i="4" s="1"/>
  <c r="I183" i="4" s="1"/>
  <c r="K78" i="4"/>
  <c r="K77" i="4"/>
  <c r="K147" i="4"/>
  <c r="J171" i="4"/>
  <c r="L208" i="4"/>
  <c r="L209" i="4" s="1"/>
  <c r="L176" i="4"/>
  <c r="L59" i="4"/>
  <c r="L49" i="4"/>
  <c r="L41" i="4"/>
  <c r="M261" i="6"/>
  <c r="M254" i="6"/>
  <c r="N155" i="6"/>
  <c r="N285" i="3"/>
  <c r="N287" i="3" s="1"/>
  <c r="M288" i="3"/>
  <c r="M290" i="3" s="1"/>
  <c r="H149" i="4"/>
  <c r="M39" i="4"/>
  <c r="N38" i="4"/>
  <c r="K219" i="4"/>
  <c r="K60" i="4"/>
  <c r="S181" i="3"/>
  <c r="T180" i="3"/>
  <c r="G69" i="2" s="1"/>
  <c r="E17" i="10" s="1"/>
  <c r="L261" i="7"/>
  <c r="L254" i="7"/>
  <c r="M155" i="7"/>
  <c r="J148" i="4"/>
  <c r="J152" i="4"/>
  <c r="J157" i="4" s="1"/>
  <c r="M254" i="7" l="1"/>
  <c r="M261" i="7"/>
  <c r="N155" i="7"/>
  <c r="M59" i="4"/>
  <c r="M208" i="4"/>
  <c r="M49" i="4"/>
  <c r="M50" i="4" s="1"/>
  <c r="M148" i="4" s="1"/>
  <c r="M176" i="4"/>
  <c r="N177" i="4" s="1"/>
  <c r="M41" i="4"/>
  <c r="N288" i="3"/>
  <c r="N290" i="3" s="1"/>
  <c r="O285" i="3"/>
  <c r="O287" i="3" s="1"/>
  <c r="N39" i="4"/>
  <c r="O38" i="4"/>
  <c r="I260" i="4"/>
  <c r="I263" i="4" s="1"/>
  <c r="I286" i="4" s="1"/>
  <c r="I253" i="4"/>
  <c r="I257" i="4" s="1"/>
  <c r="K246" i="4"/>
  <c r="N261" i="6"/>
  <c r="N254" i="6"/>
  <c r="O155" i="6"/>
  <c r="L77" i="4"/>
  <c r="L78" i="4"/>
  <c r="L147" i="4"/>
  <c r="K79" i="4"/>
  <c r="J180" i="4"/>
  <c r="J181" i="4" s="1"/>
  <c r="J183" i="4" s="1"/>
  <c r="T181" i="3"/>
  <c r="S183" i="3"/>
  <c r="L219" i="4"/>
  <c r="L246" i="4" s="1"/>
  <c r="L60" i="4"/>
  <c r="H152" i="4"/>
  <c r="L50" i="4"/>
  <c r="J170" i="4"/>
  <c r="L255" i="4" l="1"/>
  <c r="J260" i="4"/>
  <c r="J263" i="4" s="1"/>
  <c r="J286" i="4" s="1"/>
  <c r="J253" i="4"/>
  <c r="J257" i="4" s="1"/>
  <c r="S260" i="3"/>
  <c r="S263" i="3" s="1"/>
  <c r="S253" i="3"/>
  <c r="T183" i="3"/>
  <c r="L79" i="4"/>
  <c r="L81" i="4" s="1"/>
  <c r="L149" i="4" s="1"/>
  <c r="N261" i="7"/>
  <c r="N254" i="7"/>
  <c r="O155" i="7"/>
  <c r="L148" i="4"/>
  <c r="L248" i="4"/>
  <c r="L262" i="4" s="1"/>
  <c r="O254" i="6"/>
  <c r="O261" i="6"/>
  <c r="P155" i="6"/>
  <c r="K255" i="4"/>
  <c r="K248" i="4"/>
  <c r="N59" i="4"/>
  <c r="N208" i="4"/>
  <c r="N209" i="4" s="1"/>
  <c r="N176" i="4"/>
  <c r="N49" i="4"/>
  <c r="N50" i="4" s="1"/>
  <c r="N148" i="4" s="1"/>
  <c r="N41" i="4"/>
  <c r="M78" i="4"/>
  <c r="M147" i="4"/>
  <c r="M77" i="4"/>
  <c r="M219" i="4"/>
  <c r="M60" i="4"/>
  <c r="K171" i="4"/>
  <c r="O288" i="3"/>
  <c r="O290" i="3" s="1"/>
  <c r="P285" i="3"/>
  <c r="P287" i="3" s="1"/>
  <c r="P38" i="4"/>
  <c r="O39" i="4"/>
  <c r="M209" i="4"/>
  <c r="H157" i="4"/>
  <c r="K81" i="4"/>
  <c r="L152" i="4" l="1"/>
  <c r="L157" i="4" s="1"/>
  <c r="L180" i="4"/>
  <c r="H180" i="4"/>
  <c r="H179" i="4"/>
  <c r="N147" i="4"/>
  <c r="N77" i="4"/>
  <c r="N78" i="4"/>
  <c r="P254" i="6"/>
  <c r="P261" i="6"/>
  <c r="Q155" i="6"/>
  <c r="M79" i="4"/>
  <c r="M81" i="4" s="1"/>
  <c r="K262" i="4"/>
  <c r="S257" i="3"/>
  <c r="T257" i="3" s="1"/>
  <c r="G92" i="2" s="1"/>
  <c r="T253" i="3"/>
  <c r="K170" i="4"/>
  <c r="S286" i="3"/>
  <c r="T263" i="3"/>
  <c r="K149" i="4"/>
  <c r="O49" i="4"/>
  <c r="O176" i="4"/>
  <c r="O59" i="4"/>
  <c r="O208" i="4"/>
  <c r="O209" i="4" s="1"/>
  <c r="O41" i="4"/>
  <c r="P288" i="3"/>
  <c r="P290" i="3" s="1"/>
  <c r="Q285" i="3"/>
  <c r="Q287" i="3" s="1"/>
  <c r="P39" i="4"/>
  <c r="Q38" i="4"/>
  <c r="M246" i="4"/>
  <c r="M248" i="4" s="1"/>
  <c r="N219" i="4"/>
  <c r="N246" i="4" s="1"/>
  <c r="N60" i="4"/>
  <c r="O254" i="7"/>
  <c r="O261" i="7"/>
  <c r="P155" i="7"/>
  <c r="T260" i="3"/>
  <c r="G71" i="2"/>
  <c r="N255" i="4" l="1"/>
  <c r="N248" i="4"/>
  <c r="M149" i="4"/>
  <c r="M152" i="4" s="1"/>
  <c r="M157" i="4" s="1"/>
  <c r="M262" i="4"/>
  <c r="Q39" i="4"/>
  <c r="R38" i="4"/>
  <c r="O219" i="4"/>
  <c r="O246" i="4" s="1"/>
  <c r="O255" i="4" s="1"/>
  <c r="O60" i="4"/>
  <c r="K152" i="4"/>
  <c r="L171" i="4"/>
  <c r="I179" i="4"/>
  <c r="J179" i="4" s="1"/>
  <c r="O147" i="4"/>
  <c r="O77" i="4"/>
  <c r="O78" i="4"/>
  <c r="O50" i="4"/>
  <c r="Q254" i="6"/>
  <c r="Q261" i="6"/>
  <c r="R155" i="6"/>
  <c r="N79" i="4"/>
  <c r="N81" i="4" s="1"/>
  <c r="N262" i="4"/>
  <c r="P254" i="7"/>
  <c r="P261" i="7"/>
  <c r="Q155" i="7"/>
  <c r="P208" i="4"/>
  <c r="P209" i="4" s="1"/>
  <c r="P59" i="4"/>
  <c r="P49" i="4"/>
  <c r="P50" i="4" s="1"/>
  <c r="P148" i="4" s="1"/>
  <c r="P176" i="4"/>
  <c r="Q177" i="4" s="1"/>
  <c r="T177" i="4" s="1"/>
  <c r="P41" i="4"/>
  <c r="G72" i="2"/>
  <c r="G87" i="2"/>
  <c r="G95" i="2"/>
  <c r="M255" i="4"/>
  <c r="R285" i="3"/>
  <c r="R287" i="3" s="1"/>
  <c r="Q288" i="3"/>
  <c r="Q290" i="3" s="1"/>
  <c r="O248" i="4"/>
  <c r="O262" i="4" s="1"/>
  <c r="G99" i="2"/>
  <c r="T286" i="3"/>
  <c r="H181" i="4"/>
  <c r="N149" i="4" l="1"/>
  <c r="H183" i="4"/>
  <c r="P219" i="4"/>
  <c r="P246" i="4" s="1"/>
  <c r="P248" i="4" s="1"/>
  <c r="P60" i="4"/>
  <c r="Q254" i="7"/>
  <c r="Q261" i="7"/>
  <c r="R155" i="7"/>
  <c r="S38" i="4"/>
  <c r="R39" i="4"/>
  <c r="P77" i="4"/>
  <c r="P79" i="4" s="1"/>
  <c r="P147" i="4"/>
  <c r="P78" i="4"/>
  <c r="R261" i="6"/>
  <c r="R254" i="6"/>
  <c r="S155" i="6"/>
  <c r="O148" i="4"/>
  <c r="L181" i="4"/>
  <c r="L183" i="4" s="1"/>
  <c r="L170" i="4"/>
  <c r="G118" i="2"/>
  <c r="T287" i="3"/>
  <c r="S285" i="3"/>
  <c r="S287" i="3" s="1"/>
  <c r="R288" i="3"/>
  <c r="R290" i="3" s="1"/>
  <c r="O79" i="4"/>
  <c r="O81" i="4" s="1"/>
  <c r="O149" i="4" s="1"/>
  <c r="K157" i="4"/>
  <c r="Q59" i="4"/>
  <c r="Q208" i="4"/>
  <c r="Q209" i="4" s="1"/>
  <c r="Q176" i="4"/>
  <c r="Q49" i="4"/>
  <c r="Q50" i="4" s="1"/>
  <c r="Q148" i="4" s="1"/>
  <c r="Q41" i="4"/>
  <c r="M180" i="4"/>
  <c r="O152" i="4" l="1"/>
  <c r="O157" i="4" s="1"/>
  <c r="O180" i="4"/>
  <c r="H285" i="4"/>
  <c r="S288" i="3"/>
  <c r="P81" i="4"/>
  <c r="P149" i="4" s="1"/>
  <c r="T288" i="3"/>
  <c r="T290" i="3" s="1"/>
  <c r="G120" i="2"/>
  <c r="L253" i="4"/>
  <c r="L257" i="4" s="1"/>
  <c r="L260" i="4"/>
  <c r="L263" i="4" s="1"/>
  <c r="L286" i="4" s="1"/>
  <c r="P255" i="4"/>
  <c r="N152" i="4"/>
  <c r="E33" i="5"/>
  <c r="S39" i="4"/>
  <c r="T38" i="4"/>
  <c r="K180" i="4"/>
  <c r="K179" i="4" s="1"/>
  <c r="M171" i="4"/>
  <c r="S261" i="6"/>
  <c r="S254" i="6"/>
  <c r="T254" i="6" s="1"/>
  <c r="J88" i="2" s="1"/>
  <c r="T155" i="6"/>
  <c r="P262" i="4"/>
  <c r="R254" i="7"/>
  <c r="R261" i="7"/>
  <c r="S155" i="7"/>
  <c r="Q147" i="4"/>
  <c r="Q77" i="4"/>
  <c r="Q78" i="4"/>
  <c r="Q219" i="4"/>
  <c r="Q246" i="4" s="1"/>
  <c r="Q255" i="4" s="1"/>
  <c r="Q60" i="4"/>
  <c r="P152" i="4"/>
  <c r="P157" i="4" s="1"/>
  <c r="R59" i="4"/>
  <c r="R49" i="4"/>
  <c r="R50" i="4" s="1"/>
  <c r="R148" i="4" s="1"/>
  <c r="R176" i="4"/>
  <c r="R208" i="4"/>
  <c r="R209" i="4" s="1"/>
  <c r="R41" i="4"/>
  <c r="H260" i="4"/>
  <c r="H263" i="4" s="1"/>
  <c r="H253" i="4"/>
  <c r="Q79" i="4" l="1"/>
  <c r="H286" i="4"/>
  <c r="Q81" i="4"/>
  <c r="Q149" i="4" s="1"/>
  <c r="Q152" i="4" s="1"/>
  <c r="Q157" i="4" s="1"/>
  <c r="K181" i="4"/>
  <c r="S49" i="4"/>
  <c r="S176" i="4"/>
  <c r="S41" i="4"/>
  <c r="S208" i="4"/>
  <c r="S59" i="4"/>
  <c r="T39" i="4"/>
  <c r="H13" i="2" s="1"/>
  <c r="N157" i="4"/>
  <c r="R77" i="4"/>
  <c r="R147" i="4"/>
  <c r="R78" i="4"/>
  <c r="R219" i="4"/>
  <c r="R246" i="4" s="1"/>
  <c r="R255" i="4" s="1"/>
  <c r="R60" i="4"/>
  <c r="S261" i="7"/>
  <c r="S254" i="7"/>
  <c r="T254" i="7" s="1"/>
  <c r="K88" i="2" s="1"/>
  <c r="T155" i="7"/>
  <c r="H38" i="5"/>
  <c r="K23" i="9"/>
  <c r="S290" i="3"/>
  <c r="H257" i="4"/>
  <c r="P180" i="4"/>
  <c r="J96" i="2"/>
  <c r="H14" i="10" s="1"/>
  <c r="T261" i="6"/>
  <c r="M181" i="4"/>
  <c r="M183" i="4" s="1"/>
  <c r="M170" i="4"/>
  <c r="N171" i="4" s="1"/>
  <c r="L179" i="4"/>
  <c r="M179" i="4" s="1"/>
  <c r="Q248" i="4"/>
  <c r="Q262" i="4" s="1"/>
  <c r="T285" i="4"/>
  <c r="H287" i="4"/>
  <c r="R248" i="4" l="1"/>
  <c r="R79" i="4"/>
  <c r="R81" i="4" s="1"/>
  <c r="R149" i="4" s="1"/>
  <c r="R152" i="4" s="1"/>
  <c r="R157" i="4" s="1"/>
  <c r="T261" i="7"/>
  <c r="K96" i="2"/>
  <c r="I14" i="10" s="1"/>
  <c r="S219" i="4"/>
  <c r="S60" i="4"/>
  <c r="T59" i="4"/>
  <c r="H28" i="2" s="1"/>
  <c r="S50" i="4"/>
  <c r="T49" i="4"/>
  <c r="I38" i="5"/>
  <c r="H39" i="5"/>
  <c r="H177" i="5"/>
  <c r="T176" i="4"/>
  <c r="H116" i="2"/>
  <c r="N170" i="4"/>
  <c r="O171" i="4" s="1"/>
  <c r="R262" i="4"/>
  <c r="N180" i="4"/>
  <c r="N181" i="4" s="1"/>
  <c r="N183" i="4" s="1"/>
  <c r="N179" i="4"/>
  <c r="S209" i="4"/>
  <c r="T208" i="4"/>
  <c r="Q180" i="4"/>
  <c r="H288" i="4"/>
  <c r="I285" i="4"/>
  <c r="I287" i="4" s="1"/>
  <c r="M260" i="4"/>
  <c r="M263" i="4" s="1"/>
  <c r="M286" i="4" s="1"/>
  <c r="M253" i="4"/>
  <c r="M257" i="4" s="1"/>
  <c r="S77" i="4"/>
  <c r="S78" i="4"/>
  <c r="S147" i="4"/>
  <c r="T41" i="4"/>
  <c r="H15" i="2" s="1"/>
  <c r="K183" i="4"/>
  <c r="K253" i="4" l="1"/>
  <c r="K260" i="4"/>
  <c r="K263" i="4" s="1"/>
  <c r="O181" i="4"/>
  <c r="O170" i="4"/>
  <c r="P171" i="4" s="1"/>
  <c r="T60" i="4"/>
  <c r="H29" i="2" s="1"/>
  <c r="J38" i="5"/>
  <c r="I39" i="5"/>
  <c r="S79" i="4"/>
  <c r="T79" i="4" s="1"/>
  <c r="H42" i="2" s="1"/>
  <c r="I288" i="4"/>
  <c r="I290" i="4" s="1"/>
  <c r="J285" i="4"/>
  <c r="J287" i="4" s="1"/>
  <c r="N260" i="4"/>
  <c r="N263" i="4" s="1"/>
  <c r="N286" i="4" s="1"/>
  <c r="N253" i="4"/>
  <c r="N257" i="4" s="1"/>
  <c r="H16" i="2"/>
  <c r="F9" i="10"/>
  <c r="H56" i="2"/>
  <c r="H53" i="2"/>
  <c r="R180" i="4"/>
  <c r="H290" i="4"/>
  <c r="O179" i="4"/>
  <c r="P179" i="4" s="1"/>
  <c r="Q179" i="4" s="1"/>
  <c r="S246" i="4"/>
  <c r="S248" i="4" s="1"/>
  <c r="T219" i="4"/>
  <c r="T147" i="4"/>
  <c r="T209" i="4"/>
  <c r="H77" i="2" s="1"/>
  <c r="F19" i="10" s="1"/>
  <c r="H208" i="5"/>
  <c r="H59" i="5"/>
  <c r="H49" i="5"/>
  <c r="H176" i="5"/>
  <c r="H41" i="5"/>
  <c r="S148" i="4"/>
  <c r="T148" i="4" s="1"/>
  <c r="T50" i="4"/>
  <c r="H18" i="2" s="1"/>
  <c r="R179" i="4" l="1"/>
  <c r="S262" i="4"/>
  <c r="T262" i="4" s="1"/>
  <c r="H97" i="2" s="1"/>
  <c r="T248" i="4"/>
  <c r="H81" i="2" s="1"/>
  <c r="H219" i="5"/>
  <c r="H60" i="5"/>
  <c r="H209" i="5"/>
  <c r="S255" i="4"/>
  <c r="T255" i="4" s="1"/>
  <c r="H89" i="2" s="1"/>
  <c r="T246" i="4"/>
  <c r="H79" i="2" s="1"/>
  <c r="F21" i="10" s="1"/>
  <c r="H19" i="2"/>
  <c r="F10" i="10"/>
  <c r="H50" i="5"/>
  <c r="S81" i="4"/>
  <c r="K286" i="4"/>
  <c r="H77" i="5"/>
  <c r="H147" i="5"/>
  <c r="H78" i="5"/>
  <c r="I208" i="5"/>
  <c r="I209" i="5" s="1"/>
  <c r="I49" i="5"/>
  <c r="I50" i="5" s="1"/>
  <c r="I148" i="5" s="1"/>
  <c r="I59" i="5"/>
  <c r="I176" i="5"/>
  <c r="I41" i="5"/>
  <c r="P181" i="4"/>
  <c r="P183" i="4" s="1"/>
  <c r="P170" i="4"/>
  <c r="Q171" i="4" s="1"/>
  <c r="K257" i="4"/>
  <c r="H21" i="2"/>
  <c r="H22" i="2" s="1"/>
  <c r="K285" i="4"/>
  <c r="K287" i="4" s="1"/>
  <c r="J288" i="4"/>
  <c r="K38" i="5"/>
  <c r="J39" i="5"/>
  <c r="O183" i="4"/>
  <c r="H79" i="5" l="1"/>
  <c r="J290" i="4"/>
  <c r="I78" i="5"/>
  <c r="I77" i="5"/>
  <c r="I79" i="5" s="1"/>
  <c r="I147" i="5"/>
  <c r="Q181" i="4"/>
  <c r="Q170" i="4"/>
  <c r="R171" i="4" s="1"/>
  <c r="H246" i="5"/>
  <c r="H248" i="5" s="1"/>
  <c r="K39" i="5"/>
  <c r="L38" i="5"/>
  <c r="O253" i="4"/>
  <c r="O260" i="4"/>
  <c r="O263" i="4" s="1"/>
  <c r="L285" i="4"/>
  <c r="L287" i="4" s="1"/>
  <c r="K288" i="4"/>
  <c r="K290" i="4" s="1"/>
  <c r="I219" i="5"/>
  <c r="I246" i="5" s="1"/>
  <c r="I60" i="5"/>
  <c r="I81" i="5" s="1"/>
  <c r="I149" i="5" s="1"/>
  <c r="J59" i="5"/>
  <c r="J49" i="5"/>
  <c r="J208" i="5"/>
  <c r="J209" i="5" s="1"/>
  <c r="J176" i="5"/>
  <c r="K177" i="5" s="1"/>
  <c r="J41" i="5"/>
  <c r="P260" i="4"/>
  <c r="P263" i="4" s="1"/>
  <c r="P286" i="4" s="1"/>
  <c r="P253" i="4"/>
  <c r="P257" i="4" s="1"/>
  <c r="S149" i="4"/>
  <c r="T81" i="4"/>
  <c r="H44" i="2" s="1"/>
  <c r="H148" i="5"/>
  <c r="H81" i="5"/>
  <c r="I255" i="5" l="1"/>
  <c r="H262" i="5"/>
  <c r="F12" i="10"/>
  <c r="H45" i="2"/>
  <c r="M38" i="5"/>
  <c r="L39" i="5"/>
  <c r="Q183" i="4"/>
  <c r="T149" i="4"/>
  <c r="S152" i="4"/>
  <c r="O286" i="4"/>
  <c r="K59" i="5"/>
  <c r="K49" i="5"/>
  <c r="K50" i="5" s="1"/>
  <c r="K148" i="5" s="1"/>
  <c r="K208" i="5"/>
  <c r="K176" i="5"/>
  <c r="K41" i="5"/>
  <c r="I152" i="5"/>
  <c r="I157" i="5" s="1"/>
  <c r="J50" i="5"/>
  <c r="O257" i="4"/>
  <c r="H255" i="5"/>
  <c r="I248" i="5"/>
  <c r="I262" i="5" s="1"/>
  <c r="H149" i="5"/>
  <c r="J77" i="5"/>
  <c r="J147" i="5"/>
  <c r="J78" i="5"/>
  <c r="J219" i="5"/>
  <c r="J246" i="5" s="1"/>
  <c r="J255" i="5" s="1"/>
  <c r="J60" i="5"/>
  <c r="L288" i="4"/>
  <c r="M285" i="4"/>
  <c r="M287" i="4" s="1"/>
  <c r="R181" i="4"/>
  <c r="R183" i="4" s="1"/>
  <c r="R170" i="4"/>
  <c r="S171" i="4" s="1"/>
  <c r="L290" i="4" l="1"/>
  <c r="B22" i="8" a="1"/>
  <c r="B22" i="8" s="1"/>
  <c r="R260" i="4"/>
  <c r="R263" i="4" s="1"/>
  <c r="R286" i="4" s="1"/>
  <c r="R253" i="4"/>
  <c r="R257" i="4" s="1"/>
  <c r="J79" i="5"/>
  <c r="I180" i="5"/>
  <c r="J248" i="5"/>
  <c r="J262" i="5" s="1"/>
  <c r="Q253" i="4"/>
  <c r="Q260" i="4"/>
  <c r="Q263" i="4" s="1"/>
  <c r="K78" i="5"/>
  <c r="K77" i="5"/>
  <c r="K79" i="5" s="1"/>
  <c r="K147" i="5"/>
  <c r="K219" i="5"/>
  <c r="K60" i="5"/>
  <c r="S157" i="4"/>
  <c r="T152" i="4"/>
  <c r="H58" i="2" s="1"/>
  <c r="L208" i="5"/>
  <c r="L209" i="5" s="1"/>
  <c r="L59" i="5"/>
  <c r="L49" i="5"/>
  <c r="L50" i="5" s="1"/>
  <c r="L148" i="5" s="1"/>
  <c r="L176" i="5"/>
  <c r="L41" i="5"/>
  <c r="S170" i="4"/>
  <c r="T171" i="4"/>
  <c r="K209" i="5"/>
  <c r="M288" i="4"/>
  <c r="M290" i="4" s="1"/>
  <c r="N285" i="4"/>
  <c r="N287" i="4" s="1"/>
  <c r="H152" i="5"/>
  <c r="J148" i="5"/>
  <c r="M39" i="5"/>
  <c r="N38" i="5"/>
  <c r="O285" i="4" l="1"/>
  <c r="O287" i="4" s="1"/>
  <c r="N288" i="4"/>
  <c r="N290" i="4" s="1"/>
  <c r="H171" i="5"/>
  <c r="T170" i="4"/>
  <c r="H62" i="2"/>
  <c r="H61" i="2"/>
  <c r="H63" i="2" s="1"/>
  <c r="H59" i="2"/>
  <c r="Q257" i="4"/>
  <c r="N39" i="5"/>
  <c r="O38" i="5"/>
  <c r="S180" i="4"/>
  <c r="T157" i="4"/>
  <c r="H65" i="2" s="1"/>
  <c r="H66" i="2" s="1"/>
  <c r="M208" i="5"/>
  <c r="M59" i="5"/>
  <c r="M49" i="5"/>
  <c r="M50" i="5" s="1"/>
  <c r="M41" i="5"/>
  <c r="M176" i="5"/>
  <c r="N177" i="5" s="1"/>
  <c r="H157" i="5"/>
  <c r="L219" i="5"/>
  <c r="L246" i="5" s="1"/>
  <c r="L60" i="5"/>
  <c r="K81" i="5"/>
  <c r="K149" i="5" s="1"/>
  <c r="K152" i="5" s="1"/>
  <c r="K157" i="5" s="1"/>
  <c r="C22" i="8"/>
  <c r="L78" i="5"/>
  <c r="L147" i="5"/>
  <c r="L77" i="5"/>
  <c r="K246" i="5"/>
  <c r="Q286" i="4"/>
  <c r="J81" i="5"/>
  <c r="K180" i="5" l="1"/>
  <c r="T180" i="4"/>
  <c r="H69" i="2" s="1"/>
  <c r="F17" i="10" s="1"/>
  <c r="S181" i="4"/>
  <c r="O288" i="4"/>
  <c r="P285" i="4"/>
  <c r="P287" i="4" s="1"/>
  <c r="J149" i="5"/>
  <c r="K255" i="5"/>
  <c r="L255" i="5"/>
  <c r="M209" i="5"/>
  <c r="L248" i="5"/>
  <c r="M77" i="5"/>
  <c r="M79" i="5" s="1"/>
  <c r="M78" i="5"/>
  <c r="M147" i="5"/>
  <c r="L79" i="5"/>
  <c r="K248" i="5"/>
  <c r="H180" i="5"/>
  <c r="H179" i="5" s="1"/>
  <c r="M148" i="5"/>
  <c r="P38" i="5"/>
  <c r="O39" i="5"/>
  <c r="M219" i="5"/>
  <c r="M246" i="5" s="1"/>
  <c r="M255" i="5" s="1"/>
  <c r="M60" i="5"/>
  <c r="S179" i="4"/>
  <c r="T179" i="4" s="1"/>
  <c r="N208" i="5"/>
  <c r="N209" i="5" s="1"/>
  <c r="N59" i="5"/>
  <c r="N49" i="5"/>
  <c r="N50" i="5" s="1"/>
  <c r="N148" i="5" s="1"/>
  <c r="N176" i="5"/>
  <c r="N41" i="5"/>
  <c r="H170" i="5"/>
  <c r="H181" i="5" l="1"/>
  <c r="I179" i="5"/>
  <c r="Q38" i="5"/>
  <c r="P39" i="5"/>
  <c r="L262" i="5"/>
  <c r="Q285" i="4"/>
  <c r="Q287" i="4" s="1"/>
  <c r="P288" i="4"/>
  <c r="M81" i="5"/>
  <c r="M149" i="5" s="1"/>
  <c r="M152" i="5" s="1"/>
  <c r="M157" i="5" s="1"/>
  <c r="K262" i="5"/>
  <c r="J152" i="5"/>
  <c r="I171" i="5"/>
  <c r="N219" i="5"/>
  <c r="N246" i="5" s="1"/>
  <c r="N255" i="5" s="1"/>
  <c r="N60" i="5"/>
  <c r="N78" i="5"/>
  <c r="N147" i="5"/>
  <c r="N77" i="5"/>
  <c r="L81" i="5"/>
  <c r="H183" i="5"/>
  <c r="O290" i="4"/>
  <c r="O49" i="5"/>
  <c r="O50" i="5" s="1"/>
  <c r="O148" i="5" s="1"/>
  <c r="O59" i="5"/>
  <c r="O208" i="5"/>
  <c r="O209" i="5" s="1"/>
  <c r="O176" i="5"/>
  <c r="O41" i="5"/>
  <c r="M248" i="5"/>
  <c r="M262" i="5" s="1"/>
  <c r="T181" i="4"/>
  <c r="S183" i="4"/>
  <c r="S253" i="4" l="1"/>
  <c r="S260" i="4"/>
  <c r="S263" i="4" s="1"/>
  <c r="T183" i="4"/>
  <c r="O219" i="5"/>
  <c r="O246" i="5" s="1"/>
  <c r="O255" i="5" s="1"/>
  <c r="O60" i="5"/>
  <c r="L149" i="5"/>
  <c r="P290" i="4"/>
  <c r="Q39" i="5"/>
  <c r="R38" i="5"/>
  <c r="O77" i="5"/>
  <c r="O78" i="5"/>
  <c r="O147" i="5"/>
  <c r="M180" i="5"/>
  <c r="N248" i="5"/>
  <c r="J157" i="5"/>
  <c r="Q288" i="4"/>
  <c r="R285" i="4"/>
  <c r="R287" i="4" s="1"/>
  <c r="I170" i="5"/>
  <c r="I181" i="5"/>
  <c r="H260" i="5"/>
  <c r="H263" i="5" s="1"/>
  <c r="H253" i="5"/>
  <c r="N79" i="5"/>
  <c r="N81" i="5" s="1"/>
  <c r="P59" i="5"/>
  <c r="P49" i="5"/>
  <c r="P50" i="5" s="1"/>
  <c r="P208" i="5"/>
  <c r="P209" i="5" s="1"/>
  <c r="P176" i="5"/>
  <c r="Q177" i="5" s="1"/>
  <c r="T177" i="5" s="1"/>
  <c r="P41" i="5"/>
  <c r="O79" i="5" l="1"/>
  <c r="N149" i="5"/>
  <c r="N152" i="5" s="1"/>
  <c r="N157" i="5" s="1"/>
  <c r="Q290" i="4"/>
  <c r="T260" i="4"/>
  <c r="H71" i="2"/>
  <c r="H286" i="5"/>
  <c r="P148" i="5"/>
  <c r="I183" i="5"/>
  <c r="N262" i="5"/>
  <c r="S38" i="5"/>
  <c r="R39" i="5"/>
  <c r="O248" i="5"/>
  <c r="O262" i="5" s="1"/>
  <c r="L152" i="5"/>
  <c r="S286" i="4"/>
  <c r="T263" i="4"/>
  <c r="R288" i="4"/>
  <c r="S285" i="4"/>
  <c r="J180" i="5"/>
  <c r="J179" i="5" s="1"/>
  <c r="P147" i="5"/>
  <c r="P78" i="5"/>
  <c r="P77" i="5"/>
  <c r="P219" i="5"/>
  <c r="P246" i="5" s="1"/>
  <c r="P255" i="5" s="1"/>
  <c r="P60" i="5"/>
  <c r="H257" i="5"/>
  <c r="J171" i="5"/>
  <c r="Q208" i="5"/>
  <c r="Q209" i="5" s="1"/>
  <c r="Q49" i="5"/>
  <c r="Q50" i="5" s="1"/>
  <c r="Q148" i="5" s="1"/>
  <c r="Q59" i="5"/>
  <c r="Q176" i="5"/>
  <c r="Q41" i="5"/>
  <c r="O81" i="5"/>
  <c r="O149" i="5" s="1"/>
  <c r="O152" i="5" s="1"/>
  <c r="O157" i="5" s="1"/>
  <c r="S257" i="4"/>
  <c r="T257" i="4" s="1"/>
  <c r="H92" i="2" s="1"/>
  <c r="T253" i="4"/>
  <c r="P248" i="5" l="1"/>
  <c r="P262" i="5" s="1"/>
  <c r="O180" i="5"/>
  <c r="K179" i="5"/>
  <c r="Q219" i="5"/>
  <c r="Q246" i="5" s="1"/>
  <c r="Q255" i="5" s="1"/>
  <c r="Q60" i="5"/>
  <c r="Q81" i="5" s="1"/>
  <c r="Q149" i="5" s="1"/>
  <c r="S287" i="4"/>
  <c r="H72" i="2"/>
  <c r="H87" i="2"/>
  <c r="H95" i="2"/>
  <c r="P79" i="5"/>
  <c r="P81" i="5" s="1"/>
  <c r="P149" i="5" s="1"/>
  <c r="R290" i="4"/>
  <c r="L157" i="5"/>
  <c r="I253" i="5"/>
  <c r="I260" i="5"/>
  <c r="I263" i="5" s="1"/>
  <c r="K128" i="9"/>
  <c r="R208" i="5"/>
  <c r="R209" i="5" s="1"/>
  <c r="R59" i="5"/>
  <c r="R49" i="5"/>
  <c r="R50" i="5" s="1"/>
  <c r="R148" i="5" s="1"/>
  <c r="R176" i="5"/>
  <c r="R41" i="5"/>
  <c r="J181" i="5"/>
  <c r="J170" i="5"/>
  <c r="T38" i="5"/>
  <c r="E33" i="6"/>
  <c r="S39" i="5"/>
  <c r="Q78" i="5"/>
  <c r="Q77" i="5"/>
  <c r="Q79" i="5" s="1"/>
  <c r="Q147" i="5"/>
  <c r="Q248" i="5"/>
  <c r="Q262" i="5" s="1"/>
  <c r="T286" i="4"/>
  <c r="H99" i="2"/>
  <c r="N180" i="5"/>
  <c r="Q152" i="5" l="1"/>
  <c r="Q157" i="5" s="1"/>
  <c r="P152" i="5"/>
  <c r="K171" i="5"/>
  <c r="N23" i="9"/>
  <c r="H38" i="6"/>
  <c r="L180" i="5"/>
  <c r="L179" i="5"/>
  <c r="M179" i="5" s="1"/>
  <c r="N179" i="5" s="1"/>
  <c r="O179" i="5" s="1"/>
  <c r="J183" i="5"/>
  <c r="R219" i="5"/>
  <c r="R246" i="5" s="1"/>
  <c r="R255" i="5" s="1"/>
  <c r="R60" i="5"/>
  <c r="I286" i="5"/>
  <c r="H118" i="2"/>
  <c r="T287" i="4"/>
  <c r="R78" i="5"/>
  <c r="R77" i="5"/>
  <c r="R147" i="5"/>
  <c r="I257" i="5"/>
  <c r="S208" i="5"/>
  <c r="S59" i="5"/>
  <c r="S49" i="5"/>
  <c r="S176" i="5"/>
  <c r="S41" i="5"/>
  <c r="T39" i="5"/>
  <c r="I13" i="2" s="1"/>
  <c r="H285" i="5"/>
  <c r="S288" i="4"/>
  <c r="Q180" i="5"/>
  <c r="D22" i="8" a="1"/>
  <c r="D22" i="8" l="1"/>
  <c r="H287" i="5"/>
  <c r="T285" i="5"/>
  <c r="S50" i="5"/>
  <c r="T49" i="5"/>
  <c r="J253" i="5"/>
  <c r="J260" i="5"/>
  <c r="J263" i="5" s="1"/>
  <c r="K181" i="5"/>
  <c r="K170" i="5"/>
  <c r="S219" i="5"/>
  <c r="S60" i="5"/>
  <c r="T59" i="5"/>
  <c r="I28" i="2" s="1"/>
  <c r="R248" i="5"/>
  <c r="R262" i="5" s="1"/>
  <c r="H120" i="2"/>
  <c r="T288" i="4"/>
  <c r="T290" i="4" s="1"/>
  <c r="I38" i="6"/>
  <c r="H39" i="6"/>
  <c r="P157" i="5"/>
  <c r="S77" i="5"/>
  <c r="S78" i="5"/>
  <c r="S147" i="5"/>
  <c r="T41" i="5"/>
  <c r="I15" i="2" s="1"/>
  <c r="S209" i="5"/>
  <c r="T208" i="5"/>
  <c r="S290" i="4"/>
  <c r="H177" i="6"/>
  <c r="T176" i="5"/>
  <c r="R79" i="5"/>
  <c r="R81" i="5" s="1"/>
  <c r="R149" i="5" s="1"/>
  <c r="R152" i="5" l="1"/>
  <c r="T147" i="5"/>
  <c r="T60" i="5"/>
  <c r="I29" i="2" s="1"/>
  <c r="H59" i="6"/>
  <c r="H49" i="6"/>
  <c r="H208" i="6"/>
  <c r="H176" i="6"/>
  <c r="H41" i="6"/>
  <c r="S246" i="5"/>
  <c r="S248" i="5" s="1"/>
  <c r="T219" i="5"/>
  <c r="I285" i="5"/>
  <c r="I287" i="5" s="1"/>
  <c r="H288" i="5"/>
  <c r="P180" i="5"/>
  <c r="P179" i="5"/>
  <c r="Q179" i="5" s="1"/>
  <c r="K183" i="5"/>
  <c r="J257" i="5"/>
  <c r="I116" i="2"/>
  <c r="T209" i="5"/>
  <c r="I77" i="2" s="1"/>
  <c r="G19" i="10" s="1"/>
  <c r="S79" i="5"/>
  <c r="T79" i="5" s="1"/>
  <c r="I42" i="2" s="1"/>
  <c r="I39" i="6"/>
  <c r="J38" i="6"/>
  <c r="G9" i="10"/>
  <c r="I16" i="2"/>
  <c r="I56" i="2"/>
  <c r="I53" i="2"/>
  <c r="L171" i="5"/>
  <c r="J286" i="5"/>
  <c r="S148" i="5"/>
  <c r="T148" i="5" s="1"/>
  <c r="T50" i="5"/>
  <c r="I18" i="2" s="1"/>
  <c r="S262" i="5" l="1"/>
  <c r="T262" i="5" s="1"/>
  <c r="I97" i="2" s="1"/>
  <c r="T248" i="5"/>
  <c r="I81" i="2" s="1"/>
  <c r="H50" i="6"/>
  <c r="G10" i="10"/>
  <c r="I19" i="2"/>
  <c r="I208" i="6"/>
  <c r="I209" i="6" s="1"/>
  <c r="I49" i="6"/>
  <c r="I50" i="6" s="1"/>
  <c r="I148" i="6" s="1"/>
  <c r="I59" i="6"/>
  <c r="I176" i="6"/>
  <c r="I41" i="6"/>
  <c r="I288" i="5"/>
  <c r="J285" i="5"/>
  <c r="J287" i="5" s="1"/>
  <c r="H219" i="6"/>
  <c r="H60" i="6"/>
  <c r="K38" i="6"/>
  <c r="J39" i="6"/>
  <c r="H77" i="6"/>
  <c r="H147" i="6"/>
  <c r="H78" i="6"/>
  <c r="L181" i="5"/>
  <c r="L183" i="5" s="1"/>
  <c r="L170" i="5"/>
  <c r="H209" i="6"/>
  <c r="R157" i="5"/>
  <c r="H290" i="5"/>
  <c r="I21" i="2"/>
  <c r="I22" i="2" s="1"/>
  <c r="K253" i="5"/>
  <c r="K260" i="5"/>
  <c r="K263" i="5" s="1"/>
  <c r="S255" i="5"/>
  <c r="T255" i="5" s="1"/>
  <c r="I89" i="2" s="1"/>
  <c r="T246" i="5"/>
  <c r="I79" i="2" s="1"/>
  <c r="G21" i="10" s="1"/>
  <c r="S81" i="5"/>
  <c r="S149" i="5" l="1"/>
  <c r="T81" i="5"/>
  <c r="I44" i="2" s="1"/>
  <c r="J59" i="6"/>
  <c r="J208" i="6"/>
  <c r="J49" i="6"/>
  <c r="J50" i="6" s="1"/>
  <c r="J148" i="6" s="1"/>
  <c r="J176" i="6"/>
  <c r="J41" i="6"/>
  <c r="K286" i="5"/>
  <c r="K39" i="6"/>
  <c r="L38" i="6"/>
  <c r="I147" i="6"/>
  <c r="I77" i="6"/>
  <c r="I79" i="6" s="1"/>
  <c r="I78" i="6"/>
  <c r="H246" i="6"/>
  <c r="H148" i="6"/>
  <c r="K257" i="5"/>
  <c r="R180" i="5"/>
  <c r="R179" i="5"/>
  <c r="M171" i="5"/>
  <c r="J288" i="5"/>
  <c r="K285" i="5"/>
  <c r="H248" i="6"/>
  <c r="L253" i="5"/>
  <c r="L257" i="5" s="1"/>
  <c r="L260" i="5"/>
  <c r="L263" i="5" s="1"/>
  <c r="L286" i="5" s="1"/>
  <c r="H79" i="6"/>
  <c r="I290" i="5"/>
  <c r="I219" i="6"/>
  <c r="I246" i="6" s="1"/>
  <c r="I255" i="6" s="1"/>
  <c r="I60" i="6"/>
  <c r="I81" i="6" l="1"/>
  <c r="I149" i="6" s="1"/>
  <c r="K287" i="5"/>
  <c r="L285" i="5" s="1"/>
  <c r="L287" i="5" s="1"/>
  <c r="K288" i="5"/>
  <c r="J290" i="5"/>
  <c r="I152" i="6"/>
  <c r="I157" i="6" s="1"/>
  <c r="J78" i="6"/>
  <c r="J77" i="6"/>
  <c r="J147" i="6"/>
  <c r="J219" i="6"/>
  <c r="J60" i="6"/>
  <c r="H262" i="6"/>
  <c r="M181" i="5"/>
  <c r="M183" i="5" s="1"/>
  <c r="M170" i="5"/>
  <c r="N171" i="5" s="1"/>
  <c r="I248" i="6"/>
  <c r="I262" i="6" s="1"/>
  <c r="M38" i="6"/>
  <c r="L39" i="6"/>
  <c r="K177" i="6"/>
  <c r="K176" i="6" s="1"/>
  <c r="G12" i="10"/>
  <c r="I45" i="2"/>
  <c r="J209" i="6"/>
  <c r="H81" i="6"/>
  <c r="H255" i="6"/>
  <c r="K208" i="6"/>
  <c r="K209" i="6" s="1"/>
  <c r="K49" i="6"/>
  <c r="K59" i="6"/>
  <c r="K41" i="6"/>
  <c r="T149" i="5"/>
  <c r="S152" i="5"/>
  <c r="K77" i="6" l="1"/>
  <c r="K78" i="6"/>
  <c r="K147" i="6"/>
  <c r="H149" i="6"/>
  <c r="J246" i="6"/>
  <c r="J248" i="6" s="1"/>
  <c r="J262" i="6" s="1"/>
  <c r="I180" i="6"/>
  <c r="L59" i="6"/>
  <c r="L49" i="6"/>
  <c r="L50" i="6" s="1"/>
  <c r="L148" i="6" s="1"/>
  <c r="L208" i="6"/>
  <c r="L209" i="6" s="1"/>
  <c r="L176" i="6"/>
  <c r="L41" i="6"/>
  <c r="N181" i="5"/>
  <c r="N183" i="5" s="1"/>
  <c r="N170" i="5"/>
  <c r="O171" i="5" s="1"/>
  <c r="S157" i="5"/>
  <c r="T152" i="5"/>
  <c r="I58" i="2" s="1"/>
  <c r="K219" i="6"/>
  <c r="K246" i="6" s="1"/>
  <c r="K255" i="6" s="1"/>
  <c r="K60" i="6"/>
  <c r="N38" i="6"/>
  <c r="M39" i="6"/>
  <c r="M253" i="5"/>
  <c r="M257" i="5" s="1"/>
  <c r="M260" i="5"/>
  <c r="M263" i="5" s="1"/>
  <c r="M286" i="5" s="1"/>
  <c r="J79" i="6"/>
  <c r="K290" i="5"/>
  <c r="K50" i="6"/>
  <c r="L288" i="5"/>
  <c r="M285" i="5"/>
  <c r="E22" i="8" a="1"/>
  <c r="M287" i="5" l="1"/>
  <c r="M288" i="5" s="1"/>
  <c r="E22" i="8"/>
  <c r="K148" i="6"/>
  <c r="N39" i="6"/>
  <c r="O38" i="6"/>
  <c r="N285" i="5"/>
  <c r="I62" i="2"/>
  <c r="I59" i="2"/>
  <c r="I61" i="2"/>
  <c r="I63" i="2" s="1"/>
  <c r="L78" i="6"/>
  <c r="L147" i="6"/>
  <c r="L77" i="6"/>
  <c r="L79" i="6" s="1"/>
  <c r="L219" i="6"/>
  <c r="L246" i="6" s="1"/>
  <c r="L255" i="6" s="1"/>
  <c r="L60" i="6"/>
  <c r="H152" i="6"/>
  <c r="L290" i="5"/>
  <c r="S180" i="5"/>
  <c r="T180" i="5" s="1"/>
  <c r="I69" i="2" s="1"/>
  <c r="G17" i="10" s="1"/>
  <c r="S179" i="5"/>
  <c r="T179" i="5" s="1"/>
  <c r="T157" i="5"/>
  <c r="I65" i="2" s="1"/>
  <c r="I66" i="2" s="1"/>
  <c r="O181" i="5"/>
  <c r="O183" i="5" s="1"/>
  <c r="O170" i="5"/>
  <c r="P171" i="5" s="1"/>
  <c r="J255" i="6"/>
  <c r="K248" i="6"/>
  <c r="K79" i="6"/>
  <c r="K81" i="6" s="1"/>
  <c r="K149" i="6" s="1"/>
  <c r="K152" i="6" s="1"/>
  <c r="K157" i="6" s="1"/>
  <c r="J81" i="6"/>
  <c r="M49" i="6"/>
  <c r="M50" i="6" s="1"/>
  <c r="M148" i="6" s="1"/>
  <c r="M59" i="6"/>
  <c r="M208" i="6"/>
  <c r="M176" i="6"/>
  <c r="N177" i="6" s="1"/>
  <c r="M41" i="6"/>
  <c r="N253" i="5"/>
  <c r="N257" i="5" s="1"/>
  <c r="N260" i="5"/>
  <c r="N263" i="5" s="1"/>
  <c r="N286" i="5" s="1"/>
  <c r="L248" i="6"/>
  <c r="J149" i="6" l="1"/>
  <c r="M78" i="6"/>
  <c r="M77" i="6"/>
  <c r="M147" i="6"/>
  <c r="P181" i="5"/>
  <c r="P183" i="5" s="1"/>
  <c r="P170" i="5"/>
  <c r="Q171" i="5" s="1"/>
  <c r="L81" i="6"/>
  <c r="L149" i="6" s="1"/>
  <c r="L152" i="6" s="1"/>
  <c r="L157" i="6" s="1"/>
  <c r="N287" i="5"/>
  <c r="N49" i="6"/>
  <c r="N50" i="6" s="1"/>
  <c r="N148" i="6" s="1"/>
  <c r="N208" i="6"/>
  <c r="N209" i="6" s="1"/>
  <c r="N59" i="6"/>
  <c r="N176" i="6"/>
  <c r="N41" i="6"/>
  <c r="K262" i="6"/>
  <c r="O260" i="5"/>
  <c r="O263" i="5" s="1"/>
  <c r="O286" i="5" s="1"/>
  <c r="O253" i="5"/>
  <c r="O257" i="5" s="1"/>
  <c r="H157" i="6"/>
  <c r="M290" i="5"/>
  <c r="M219" i="6"/>
  <c r="M60" i="6"/>
  <c r="L262" i="6"/>
  <c r="M209" i="6"/>
  <c r="O39" i="6"/>
  <c r="P38" i="6"/>
  <c r="O59" i="6" l="1"/>
  <c r="O208" i="6"/>
  <c r="O49" i="6"/>
  <c r="O50" i="6" s="1"/>
  <c r="O176" i="6"/>
  <c r="O41" i="6"/>
  <c r="P253" i="5"/>
  <c r="P257" i="5" s="1"/>
  <c r="P260" i="5"/>
  <c r="P263" i="5" s="1"/>
  <c r="P286" i="5" s="1"/>
  <c r="N219" i="6"/>
  <c r="N246" i="6" s="1"/>
  <c r="N60" i="6"/>
  <c r="N81" i="6" s="1"/>
  <c r="N149" i="6" s="1"/>
  <c r="O285" i="5"/>
  <c r="O287" i="5" s="1"/>
  <c r="N288" i="5"/>
  <c r="M81" i="6"/>
  <c r="M79" i="6"/>
  <c r="J152" i="6"/>
  <c r="Q38" i="6"/>
  <c r="P39" i="6"/>
  <c r="M246" i="6"/>
  <c r="M248" i="6" s="1"/>
  <c r="H180" i="6"/>
  <c r="H179" i="6"/>
  <c r="N147" i="6"/>
  <c r="N78" i="6"/>
  <c r="N77" i="6"/>
  <c r="N79" i="6" s="1"/>
  <c r="Q181" i="5"/>
  <c r="Q183" i="5" s="1"/>
  <c r="Q170" i="5"/>
  <c r="R171" i="5" s="1"/>
  <c r="N255" i="6" l="1"/>
  <c r="M262" i="6"/>
  <c r="J157" i="6"/>
  <c r="I179" i="6"/>
  <c r="P59" i="6"/>
  <c r="P49" i="6"/>
  <c r="P50" i="6" s="1"/>
  <c r="P148" i="6" s="1"/>
  <c r="P208" i="6"/>
  <c r="P209" i="6" s="1"/>
  <c r="P176" i="6"/>
  <c r="Q177" i="6" s="1"/>
  <c r="T177" i="6" s="1"/>
  <c r="P41" i="6"/>
  <c r="O148" i="6"/>
  <c r="M149" i="6"/>
  <c r="R181" i="5"/>
  <c r="R183" i="5" s="1"/>
  <c r="R170" i="5"/>
  <c r="S171" i="5" s="1"/>
  <c r="M255" i="6"/>
  <c r="Q39" i="6"/>
  <c r="R38" i="6"/>
  <c r="N248" i="6"/>
  <c r="N262" i="6" s="1"/>
  <c r="N290" i="5"/>
  <c r="O209" i="6"/>
  <c r="Q253" i="5"/>
  <c r="Q257" i="5" s="1"/>
  <c r="Q260" i="5"/>
  <c r="Q263" i="5" s="1"/>
  <c r="Q286" i="5" s="1"/>
  <c r="N152" i="6"/>
  <c r="N157" i="6" s="1"/>
  <c r="O288" i="5"/>
  <c r="P285" i="5"/>
  <c r="P287" i="5" s="1"/>
  <c r="O77" i="6"/>
  <c r="O78" i="6"/>
  <c r="O147" i="6"/>
  <c r="O219" i="6"/>
  <c r="O60" i="6"/>
  <c r="O290" i="5" l="1"/>
  <c r="P78" i="6"/>
  <c r="P147" i="6"/>
  <c r="P77" i="6"/>
  <c r="P79" i="6" s="1"/>
  <c r="P219" i="6"/>
  <c r="P246" i="6" s="1"/>
  <c r="P255" i="6" s="1"/>
  <c r="P60" i="6"/>
  <c r="J180" i="6"/>
  <c r="J179" i="6"/>
  <c r="O79" i="6"/>
  <c r="O81" i="6" s="1"/>
  <c r="S38" i="6"/>
  <c r="R39" i="6"/>
  <c r="M152" i="6"/>
  <c r="R260" i="5"/>
  <c r="R263" i="5" s="1"/>
  <c r="R286" i="5" s="1"/>
  <c r="R253" i="5"/>
  <c r="R257" i="5" s="1"/>
  <c r="O246" i="6"/>
  <c r="Q285" i="5"/>
  <c r="Q287" i="5" s="1"/>
  <c r="P288" i="5"/>
  <c r="Q49" i="6"/>
  <c r="Q50" i="6" s="1"/>
  <c r="Q148" i="6" s="1"/>
  <c r="Q59" i="6"/>
  <c r="Q208" i="6"/>
  <c r="Q209" i="6" s="1"/>
  <c r="Q176" i="6"/>
  <c r="Q41" i="6"/>
  <c r="S170" i="5"/>
  <c r="S181" i="5"/>
  <c r="T171" i="5"/>
  <c r="O149" i="6" l="1"/>
  <c r="S39" i="6"/>
  <c r="E33" i="7"/>
  <c r="T38" i="6"/>
  <c r="K180" i="6"/>
  <c r="K179" i="6" s="1"/>
  <c r="L180" i="6" s="1"/>
  <c r="L179" i="6" s="1"/>
  <c r="O255" i="6"/>
  <c r="M157" i="6"/>
  <c r="T181" i="5"/>
  <c r="S183" i="5"/>
  <c r="Q248" i="6"/>
  <c r="O248" i="6"/>
  <c r="O262" i="6" s="1"/>
  <c r="P290" i="5"/>
  <c r="Q77" i="6"/>
  <c r="Q147" i="6"/>
  <c r="Q78" i="6"/>
  <c r="P248" i="6"/>
  <c r="H171" i="6"/>
  <c r="T170" i="5"/>
  <c r="Q219" i="6"/>
  <c r="Q246" i="6" s="1"/>
  <c r="Q255" i="6" s="1"/>
  <c r="Q60" i="6"/>
  <c r="R285" i="5"/>
  <c r="R287" i="5" s="1"/>
  <c r="Q288" i="5"/>
  <c r="R49" i="6"/>
  <c r="R50" i="6" s="1"/>
  <c r="R148" i="6" s="1"/>
  <c r="R208" i="6"/>
  <c r="R209" i="6" s="1"/>
  <c r="R59" i="6"/>
  <c r="R176" i="6"/>
  <c r="R41" i="6"/>
  <c r="P81" i="6"/>
  <c r="P149" i="6" s="1"/>
  <c r="P152" i="6" s="1"/>
  <c r="P157" i="6" s="1"/>
  <c r="Q79" i="6" l="1"/>
  <c r="Q262" i="6"/>
  <c r="R219" i="6"/>
  <c r="R246" i="6" s="1"/>
  <c r="R255" i="6" s="1"/>
  <c r="R60" i="6"/>
  <c r="H170" i="6"/>
  <c r="H181" i="6"/>
  <c r="S208" i="6"/>
  <c r="S59" i="6"/>
  <c r="S49" i="6"/>
  <c r="S176" i="6"/>
  <c r="S41" i="6"/>
  <c r="T39" i="6"/>
  <c r="J13" i="2" s="1"/>
  <c r="Q290" i="5"/>
  <c r="H38" i="7"/>
  <c r="Q23" i="9"/>
  <c r="Q81" i="6"/>
  <c r="Q149" i="6" s="1"/>
  <c r="Q152" i="6" s="1"/>
  <c r="Q157" i="6" s="1"/>
  <c r="P262" i="6"/>
  <c r="S260" i="5"/>
  <c r="S263" i="5" s="1"/>
  <c r="S253" i="5"/>
  <c r="T183" i="5"/>
  <c r="M180" i="6"/>
  <c r="M179" i="6"/>
  <c r="R288" i="5"/>
  <c r="S285" i="5"/>
  <c r="R78" i="6"/>
  <c r="R77" i="6"/>
  <c r="R79" i="6" s="1"/>
  <c r="R147" i="6"/>
  <c r="O152" i="6"/>
  <c r="F22" i="8" a="1"/>
  <c r="F22" i="8" l="1"/>
  <c r="I71" i="2"/>
  <c r="T260" i="5"/>
  <c r="R290" i="5"/>
  <c r="S50" i="6"/>
  <c r="T49" i="6"/>
  <c r="S286" i="5"/>
  <c r="S287" i="5" s="1"/>
  <c r="T263" i="5"/>
  <c r="R248" i="6"/>
  <c r="R262" i="6" s="1"/>
  <c r="S219" i="6"/>
  <c r="S60" i="6"/>
  <c r="T59" i="6"/>
  <c r="J28" i="2" s="1"/>
  <c r="I171" i="6"/>
  <c r="I38" i="7"/>
  <c r="H39" i="7"/>
  <c r="H177" i="7"/>
  <c r="T176" i="6"/>
  <c r="N180" i="6"/>
  <c r="N179" i="6" s="1"/>
  <c r="S257" i="5"/>
  <c r="T257" i="5" s="1"/>
  <c r="I92" i="2" s="1"/>
  <c r="T253" i="5"/>
  <c r="H183" i="6"/>
  <c r="O157" i="6"/>
  <c r="N128" i="9"/>
  <c r="S77" i="6"/>
  <c r="S147" i="6"/>
  <c r="S78" i="6"/>
  <c r="T41" i="6"/>
  <c r="J15" i="2" s="1"/>
  <c r="S209" i="6"/>
  <c r="T208" i="6"/>
  <c r="R81" i="6"/>
  <c r="R149" i="6" s="1"/>
  <c r="R152" i="6" s="1"/>
  <c r="R157" i="6" s="1"/>
  <c r="S79" i="6" l="1"/>
  <c r="T79" i="6" s="1"/>
  <c r="J42" i="2" s="1"/>
  <c r="H285" i="6"/>
  <c r="S288" i="5"/>
  <c r="S290" i="5" s="1"/>
  <c r="I170" i="6"/>
  <c r="I181" i="6"/>
  <c r="T209" i="6"/>
  <c r="J77" i="2" s="1"/>
  <c r="H19" i="10" s="1"/>
  <c r="O180" i="6"/>
  <c r="O179" i="6" s="1"/>
  <c r="P180" i="6" s="1"/>
  <c r="P179" i="6" s="1"/>
  <c r="Q180" i="6" s="1"/>
  <c r="Q179" i="6" s="1"/>
  <c r="R180" i="6" s="1"/>
  <c r="R179" i="6" s="1"/>
  <c r="H9" i="10"/>
  <c r="J16" i="2"/>
  <c r="J56" i="2"/>
  <c r="J53" i="2"/>
  <c r="H253" i="6"/>
  <c r="H260" i="6"/>
  <c r="H263" i="6" s="1"/>
  <c r="H59" i="7"/>
  <c r="H208" i="7"/>
  <c r="H49" i="7"/>
  <c r="H176" i="7"/>
  <c r="H41" i="7"/>
  <c r="T286" i="5"/>
  <c r="I99" i="2"/>
  <c r="S148" i="6"/>
  <c r="T148" i="6" s="1"/>
  <c r="T50" i="6"/>
  <c r="J18" i="2" s="1"/>
  <c r="J21" i="2" s="1"/>
  <c r="J22" i="2" s="1"/>
  <c r="I72" i="2"/>
  <c r="I87" i="2"/>
  <c r="I95" i="2"/>
  <c r="T147" i="6"/>
  <c r="S246" i="6"/>
  <c r="T219" i="6"/>
  <c r="J38" i="7"/>
  <c r="I39" i="7"/>
  <c r="S81" i="6"/>
  <c r="T60" i="6"/>
  <c r="J29" i="2" s="1"/>
  <c r="S149" i="6" l="1"/>
  <c r="T149" i="6" s="1"/>
  <c r="T81" i="6"/>
  <c r="J44" i="2" s="1"/>
  <c r="S255" i="6"/>
  <c r="T255" i="6" s="1"/>
  <c r="J89" i="2" s="1"/>
  <c r="T246" i="6"/>
  <c r="J79" i="2" s="1"/>
  <c r="H21" i="10" s="1"/>
  <c r="H286" i="6"/>
  <c r="I49" i="7"/>
  <c r="I50" i="7" s="1"/>
  <c r="I148" i="7" s="1"/>
  <c r="I208" i="7"/>
  <c r="I209" i="7" s="1"/>
  <c r="I59" i="7"/>
  <c r="I176" i="7"/>
  <c r="I41" i="7"/>
  <c r="S248" i="6"/>
  <c r="H50" i="7"/>
  <c r="J171" i="6"/>
  <c r="I118" i="2"/>
  <c r="T287" i="5"/>
  <c r="K38" i="7"/>
  <c r="J39" i="7"/>
  <c r="S152" i="6"/>
  <c r="J19" i="2"/>
  <c r="H10" i="10"/>
  <c r="H147" i="7"/>
  <c r="H77" i="7"/>
  <c r="H78" i="7"/>
  <c r="H209" i="7"/>
  <c r="H257" i="6"/>
  <c r="H219" i="7"/>
  <c r="H60" i="7"/>
  <c r="I183" i="6"/>
  <c r="T285" i="6"/>
  <c r="H287" i="6"/>
  <c r="K39" i="7" l="1"/>
  <c r="L38" i="7"/>
  <c r="J116" i="2"/>
  <c r="J181" i="6"/>
  <c r="J170" i="6"/>
  <c r="I78" i="7"/>
  <c r="I147" i="7"/>
  <c r="I77" i="7"/>
  <c r="I79" i="7" s="1"/>
  <c r="H246" i="7"/>
  <c r="H79" i="7"/>
  <c r="S157" i="6"/>
  <c r="T152" i="6"/>
  <c r="J58" i="2" s="1"/>
  <c r="T288" i="5"/>
  <c r="T290" i="5" s="1"/>
  <c r="I120" i="2"/>
  <c r="H148" i="7"/>
  <c r="H12" i="10"/>
  <c r="J45" i="2"/>
  <c r="I285" i="6"/>
  <c r="H288" i="6"/>
  <c r="H290" i="6" s="1"/>
  <c r="S262" i="6"/>
  <c r="T262" i="6" s="1"/>
  <c r="J97" i="2" s="1"/>
  <c r="T248" i="6"/>
  <c r="J81" i="2" s="1"/>
  <c r="I253" i="6"/>
  <c r="I260" i="6"/>
  <c r="I263" i="6" s="1"/>
  <c r="J59" i="7"/>
  <c r="J49" i="7"/>
  <c r="J50" i="7" s="1"/>
  <c r="J148" i="7" s="1"/>
  <c r="J208" i="7"/>
  <c r="J209" i="7" s="1"/>
  <c r="J176" i="7"/>
  <c r="J41" i="7"/>
  <c r="I219" i="7"/>
  <c r="I246" i="7" s="1"/>
  <c r="I255" i="7" s="1"/>
  <c r="I60" i="7"/>
  <c r="I257" i="6" l="1"/>
  <c r="S180" i="6"/>
  <c r="T180" i="6" s="1"/>
  <c r="J69" i="2" s="1"/>
  <c r="H17" i="10" s="1"/>
  <c r="T157" i="6"/>
  <c r="J65" i="2" s="1"/>
  <c r="J66" i="2" s="1"/>
  <c r="H255" i="7"/>
  <c r="K171" i="6"/>
  <c r="J183" i="6"/>
  <c r="I248" i="7"/>
  <c r="J78" i="7"/>
  <c r="J147" i="7"/>
  <c r="J77" i="7"/>
  <c r="J79" i="7" s="1"/>
  <c r="J219" i="7"/>
  <c r="J246" i="7" s="1"/>
  <c r="J255" i="7" s="1"/>
  <c r="J60" i="7"/>
  <c r="M38" i="7"/>
  <c r="L39" i="7"/>
  <c r="I81" i="7"/>
  <c r="I149" i="7" s="1"/>
  <c r="I152" i="7" s="1"/>
  <c r="I157" i="7" s="1"/>
  <c r="K177" i="7"/>
  <c r="I286" i="6"/>
  <c r="I287" i="6" s="1"/>
  <c r="J61" i="2"/>
  <c r="J63" i="2" s="1"/>
  <c r="J59" i="2"/>
  <c r="J62" i="2"/>
  <c r="H248" i="7"/>
  <c r="H81" i="7"/>
  <c r="K208" i="7"/>
  <c r="K209" i="7" s="1"/>
  <c r="K49" i="7"/>
  <c r="K59" i="7"/>
  <c r="K41" i="7"/>
  <c r="S179" i="6" l="1"/>
  <c r="T179" i="6" s="1"/>
  <c r="I288" i="6"/>
  <c r="I290" i="6" s="1"/>
  <c r="J285" i="6"/>
  <c r="K219" i="7"/>
  <c r="K60" i="7"/>
  <c r="I262" i="7"/>
  <c r="K181" i="6"/>
  <c r="K170" i="6"/>
  <c r="K50" i="7"/>
  <c r="H262" i="7"/>
  <c r="K147" i="7"/>
  <c r="K78" i="7"/>
  <c r="K77" i="7"/>
  <c r="L208" i="7"/>
  <c r="L209" i="7" s="1"/>
  <c r="L59" i="7"/>
  <c r="L49" i="7"/>
  <c r="L50" i="7" s="1"/>
  <c r="L148" i="7" s="1"/>
  <c r="L41" i="7"/>
  <c r="J81" i="7"/>
  <c r="J149" i="7" s="1"/>
  <c r="J152" i="7" s="1"/>
  <c r="J157" i="7" s="1"/>
  <c r="J253" i="6"/>
  <c r="J260" i="6"/>
  <c r="J263" i="6" s="1"/>
  <c r="J248" i="7"/>
  <c r="J262" i="7" s="1"/>
  <c r="K176" i="7"/>
  <c r="L176" i="7" s="1"/>
  <c r="H149" i="7"/>
  <c r="N38" i="7"/>
  <c r="M39" i="7"/>
  <c r="J257" i="6" l="1"/>
  <c r="L77" i="7"/>
  <c r="L147" i="7"/>
  <c r="L78" i="7"/>
  <c r="L171" i="6"/>
  <c r="M59" i="7"/>
  <c r="M208" i="7"/>
  <c r="M209" i="7" s="1"/>
  <c r="M49" i="7"/>
  <c r="M176" i="7"/>
  <c r="N177" i="7" s="1"/>
  <c r="M41" i="7"/>
  <c r="K79" i="7"/>
  <c r="K148" i="7"/>
  <c r="H152" i="7"/>
  <c r="K183" i="6"/>
  <c r="K246" i="7"/>
  <c r="O38" i="7"/>
  <c r="N39" i="7"/>
  <c r="J286" i="6"/>
  <c r="J287" i="6" s="1"/>
  <c r="L219" i="7"/>
  <c r="L246" i="7" s="1"/>
  <c r="L60" i="7"/>
  <c r="K285" i="6" l="1"/>
  <c r="J288" i="6"/>
  <c r="J290" i="6" s="1"/>
  <c r="K255" i="7"/>
  <c r="K248" i="7"/>
  <c r="M77" i="7"/>
  <c r="M78" i="7"/>
  <c r="M147" i="7"/>
  <c r="N59" i="7"/>
  <c r="N49" i="7"/>
  <c r="N50" i="7" s="1"/>
  <c r="N148" i="7" s="1"/>
  <c r="N208" i="7"/>
  <c r="N209" i="7" s="1"/>
  <c r="N176" i="7"/>
  <c r="N41" i="7"/>
  <c r="L255" i="7"/>
  <c r="O39" i="7"/>
  <c r="P38" i="7"/>
  <c r="K253" i="6"/>
  <c r="K260" i="6"/>
  <c r="K263" i="6" s="1"/>
  <c r="H157" i="7"/>
  <c r="M50" i="7"/>
  <c r="L248" i="7"/>
  <c r="L262" i="7" s="1"/>
  <c r="L79" i="7"/>
  <c r="L81" i="7" s="1"/>
  <c r="L149" i="7" s="1"/>
  <c r="L152" i="7" s="1"/>
  <c r="L157" i="7" s="1"/>
  <c r="M219" i="7"/>
  <c r="M246" i="7" s="1"/>
  <c r="M255" i="7" s="1"/>
  <c r="M60" i="7"/>
  <c r="K81" i="7"/>
  <c r="L181" i="6"/>
  <c r="L170" i="6"/>
  <c r="H180" i="7" l="1"/>
  <c r="H179" i="7"/>
  <c r="K257" i="6"/>
  <c r="N219" i="7"/>
  <c r="N60" i="7"/>
  <c r="M171" i="6"/>
  <c r="N77" i="7"/>
  <c r="N78" i="7"/>
  <c r="N147" i="7"/>
  <c r="L183" i="6"/>
  <c r="Q38" i="7"/>
  <c r="P39" i="7"/>
  <c r="M248" i="7"/>
  <c r="M262" i="7" s="1"/>
  <c r="O208" i="7"/>
  <c r="O209" i="7" s="1"/>
  <c r="O49" i="7"/>
  <c r="O59" i="7"/>
  <c r="O176" i="7"/>
  <c r="O41" i="7"/>
  <c r="M79" i="7"/>
  <c r="M81" i="7" s="1"/>
  <c r="K149" i="7"/>
  <c r="M148" i="7"/>
  <c r="K286" i="6"/>
  <c r="K287" i="6" s="1"/>
  <c r="K262" i="7"/>
  <c r="N79" i="7" l="1"/>
  <c r="M149" i="7"/>
  <c r="M152" i="7" s="1"/>
  <c r="M157" i="7" s="1"/>
  <c r="L285" i="6"/>
  <c r="K288" i="6"/>
  <c r="K290" i="6" s="1"/>
  <c r="K152" i="7"/>
  <c r="O77" i="7"/>
  <c r="O79" i="7" s="1"/>
  <c r="O147" i="7"/>
  <c r="O78" i="7"/>
  <c r="P59" i="7"/>
  <c r="P208" i="7"/>
  <c r="P209" i="7" s="1"/>
  <c r="P49" i="7"/>
  <c r="P50" i="7" s="1"/>
  <c r="P148" i="7" s="1"/>
  <c r="P176" i="7"/>
  <c r="Q177" i="7" s="1"/>
  <c r="T177" i="7" s="1"/>
  <c r="P41" i="7"/>
  <c r="L260" i="6"/>
  <c r="L263" i="6" s="1"/>
  <c r="L253" i="6"/>
  <c r="N81" i="7"/>
  <c r="N149" i="7" s="1"/>
  <c r="I180" i="7"/>
  <c r="I179" i="7" s="1"/>
  <c r="J180" i="7" s="1"/>
  <c r="J179" i="7" s="1"/>
  <c r="O219" i="7"/>
  <c r="O246" i="7" s="1"/>
  <c r="O248" i="7" s="1"/>
  <c r="O60" i="7"/>
  <c r="O81" i="7" s="1"/>
  <c r="O149" i="7" s="1"/>
  <c r="R38" i="7"/>
  <c r="Q39" i="7"/>
  <c r="M181" i="6"/>
  <c r="M183" i="6" s="1"/>
  <c r="M170" i="6"/>
  <c r="N171" i="6" s="1"/>
  <c r="N246" i="7"/>
  <c r="O50" i="7"/>
  <c r="R39" i="7" l="1"/>
  <c r="S38" i="7"/>
  <c r="P77" i="7"/>
  <c r="P78" i="7"/>
  <c r="P147" i="7"/>
  <c r="P219" i="7"/>
  <c r="P246" i="7" s="1"/>
  <c r="P255" i="7" s="1"/>
  <c r="P60" i="7"/>
  <c r="N255" i="7"/>
  <c r="N248" i="7"/>
  <c r="O262" i="7" s="1"/>
  <c r="M253" i="6"/>
  <c r="M257" i="6" s="1"/>
  <c r="M260" i="6"/>
  <c r="M263" i="6" s="1"/>
  <c r="M286" i="6" s="1"/>
  <c r="K157" i="7"/>
  <c r="Q59" i="7"/>
  <c r="Q208" i="7"/>
  <c r="Q209" i="7" s="1"/>
  <c r="Q49" i="7"/>
  <c r="Q50" i="7" s="1"/>
  <c r="Q148" i="7" s="1"/>
  <c r="Q176" i="7"/>
  <c r="Q41" i="7"/>
  <c r="L286" i="6"/>
  <c r="L287" i="6" s="1"/>
  <c r="N181" i="6"/>
  <c r="N183" i="6" s="1"/>
  <c r="N170" i="6"/>
  <c r="O171" i="6" s="1"/>
  <c r="O148" i="7"/>
  <c r="O152" i="7" s="1"/>
  <c r="O157" i="7" s="1"/>
  <c r="N152" i="7"/>
  <c r="N157" i="7" s="1"/>
  <c r="O255" i="7"/>
  <c r="L257" i="6"/>
  <c r="M285" i="6" l="1"/>
  <c r="M287" i="6" s="1"/>
  <c r="L288" i="6"/>
  <c r="L290" i="6" s="1"/>
  <c r="S39" i="7"/>
  <c r="T38" i="7"/>
  <c r="K180" i="7"/>
  <c r="K179" i="7"/>
  <c r="R208" i="7"/>
  <c r="R209" i="7" s="1"/>
  <c r="R49" i="7"/>
  <c r="R50" i="7" s="1"/>
  <c r="R59" i="7"/>
  <c r="R176" i="7"/>
  <c r="R41" i="7"/>
  <c r="O181" i="6"/>
  <c r="O183" i="6" s="1"/>
  <c r="O170" i="6"/>
  <c r="P171" i="6" s="1"/>
  <c r="Q77" i="7"/>
  <c r="Q147" i="7"/>
  <c r="Q78" i="7"/>
  <c r="Q219" i="7"/>
  <c r="Q246" i="7" s="1"/>
  <c r="Q248" i="7" s="1"/>
  <c r="Q60" i="7"/>
  <c r="P248" i="7"/>
  <c r="P262" i="7" s="1"/>
  <c r="N260" i="6"/>
  <c r="N263" i="6" s="1"/>
  <c r="N286" i="6" s="1"/>
  <c r="N253" i="6"/>
  <c r="N257" i="6" s="1"/>
  <c r="N262" i="7"/>
  <c r="P81" i="7"/>
  <c r="P79" i="7"/>
  <c r="Q79" i="7" l="1"/>
  <c r="Q81" i="7" s="1"/>
  <c r="Q149" i="7" s="1"/>
  <c r="Q152" i="7" s="1"/>
  <c r="Q157" i="7" s="1"/>
  <c r="P149" i="7"/>
  <c r="S59" i="7"/>
  <c r="S49" i="7"/>
  <c r="S208" i="7"/>
  <c r="S176" i="7"/>
  <c r="T176" i="7" s="1"/>
  <c r="S41" i="7"/>
  <c r="T39" i="7"/>
  <c r="K13" i="2" s="1"/>
  <c r="Q255" i="7"/>
  <c r="P181" i="6"/>
  <c r="P183" i="6" s="1"/>
  <c r="P170" i="6"/>
  <c r="Q171" i="6" s="1"/>
  <c r="R219" i="7"/>
  <c r="R246" i="7" s="1"/>
  <c r="R255" i="7" s="1"/>
  <c r="R60" i="7"/>
  <c r="R147" i="7"/>
  <c r="R77" i="7"/>
  <c r="R78" i="7"/>
  <c r="L180" i="7"/>
  <c r="L179" i="7" s="1"/>
  <c r="M180" i="7" s="1"/>
  <c r="M179" i="7" s="1"/>
  <c r="N180" i="7" s="1"/>
  <c r="N179" i="7" s="1"/>
  <c r="O180" i="7" s="1"/>
  <c r="O179" i="7" s="1"/>
  <c r="M288" i="6"/>
  <c r="M290" i="6" s="1"/>
  <c r="N285" i="6"/>
  <c r="N287" i="6" s="1"/>
  <c r="O253" i="6"/>
  <c r="O257" i="6" s="1"/>
  <c r="O260" i="6"/>
  <c r="O263" i="6" s="1"/>
  <c r="O286" i="6" s="1"/>
  <c r="R148" i="7"/>
  <c r="Q262" i="7"/>
  <c r="S219" i="7" l="1"/>
  <c r="S60" i="7"/>
  <c r="T59" i="7"/>
  <c r="K28" i="2" s="1"/>
  <c r="O285" i="6"/>
  <c r="O287" i="6" s="1"/>
  <c r="N288" i="6"/>
  <c r="N290" i="6" s="1"/>
  <c r="S147" i="7"/>
  <c r="S78" i="7"/>
  <c r="S77" i="7"/>
  <c r="T41" i="7"/>
  <c r="K15" i="2" s="1"/>
  <c r="R79" i="7"/>
  <c r="R81" i="7" s="1"/>
  <c r="R149" i="7" s="1"/>
  <c r="R152" i="7" s="1"/>
  <c r="R157" i="7" s="1"/>
  <c r="Q181" i="6"/>
  <c r="Q183" i="6" s="1"/>
  <c r="Q170" i="6"/>
  <c r="R171" i="6" s="1"/>
  <c r="S209" i="7"/>
  <c r="T208" i="7"/>
  <c r="R248" i="7"/>
  <c r="R262" i="7" s="1"/>
  <c r="P260" i="6"/>
  <c r="P263" i="6" s="1"/>
  <c r="P286" i="6" s="1"/>
  <c r="P253" i="6"/>
  <c r="P257" i="6" s="1"/>
  <c r="S50" i="7"/>
  <c r="T49" i="7"/>
  <c r="P152" i="7"/>
  <c r="T147" i="7" l="1"/>
  <c r="T209" i="7"/>
  <c r="K77" i="2" s="1"/>
  <c r="I19" i="10" s="1"/>
  <c r="I9" i="10"/>
  <c r="K16" i="2"/>
  <c r="K56" i="2"/>
  <c r="K53" i="2"/>
  <c r="T60" i="7"/>
  <c r="K29" i="2" s="1"/>
  <c r="S148" i="7"/>
  <c r="T148" i="7" s="1"/>
  <c r="T50" i="7"/>
  <c r="K18" i="2" s="1"/>
  <c r="R181" i="6"/>
  <c r="R183" i="6" s="1"/>
  <c r="R170" i="6"/>
  <c r="S171" i="6" s="1"/>
  <c r="S79" i="7"/>
  <c r="T79" i="7" s="1"/>
  <c r="K42" i="2" s="1"/>
  <c r="S246" i="7"/>
  <c r="T219" i="7"/>
  <c r="P157" i="7"/>
  <c r="Q253" i="6"/>
  <c r="Q257" i="6" s="1"/>
  <c r="Q260" i="6"/>
  <c r="Q263" i="6" s="1"/>
  <c r="Q286" i="6" s="1"/>
  <c r="O288" i="6"/>
  <c r="O290" i="6" s="1"/>
  <c r="P285" i="6"/>
  <c r="P287" i="6" s="1"/>
  <c r="S255" i="7" l="1"/>
  <c r="T255" i="7" s="1"/>
  <c r="K89" i="2" s="1"/>
  <c r="T246" i="7"/>
  <c r="K79" i="2" s="1"/>
  <c r="I21" i="10" s="1"/>
  <c r="K19" i="2"/>
  <c r="I10" i="10"/>
  <c r="P288" i="6"/>
  <c r="P290" i="6" s="1"/>
  <c r="Q285" i="6"/>
  <c r="Q287" i="6" s="1"/>
  <c r="P180" i="7"/>
  <c r="Q128" i="9" s="1"/>
  <c r="S181" i="6"/>
  <c r="S170" i="6"/>
  <c r="T171" i="6"/>
  <c r="S248" i="7"/>
  <c r="R260" i="6"/>
  <c r="R263" i="6" s="1"/>
  <c r="R286" i="6" s="1"/>
  <c r="R253" i="6"/>
  <c r="R257" i="6" s="1"/>
  <c r="S81" i="7"/>
  <c r="K21" i="2"/>
  <c r="K22" i="2" s="1"/>
  <c r="S183" i="6" l="1"/>
  <c r="T181" i="6"/>
  <c r="S262" i="7"/>
  <c r="T262" i="7" s="1"/>
  <c r="K97" i="2" s="1"/>
  <c r="T248" i="7"/>
  <c r="K81" i="2" s="1"/>
  <c r="R285" i="6"/>
  <c r="R287" i="6" s="1"/>
  <c r="Q288" i="6"/>
  <c r="Q290" i="6" s="1"/>
  <c r="H171" i="7"/>
  <c r="T170" i="6"/>
  <c r="S149" i="7"/>
  <c r="T81" i="7"/>
  <c r="K44" i="2" s="1"/>
  <c r="P179" i="7"/>
  <c r="Q180" i="7" l="1"/>
  <c r="Q179" i="7" s="1"/>
  <c r="R180" i="7" s="1"/>
  <c r="R179" i="7" s="1"/>
  <c r="H170" i="7"/>
  <c r="H181" i="7"/>
  <c r="I12" i="10"/>
  <c r="K45" i="2"/>
  <c r="T149" i="7"/>
  <c r="S152" i="7"/>
  <c r="S285" i="6"/>
  <c r="R288" i="6"/>
  <c r="R290" i="6" s="1"/>
  <c r="S260" i="6"/>
  <c r="S263" i="6" s="1"/>
  <c r="S253" i="6"/>
  <c r="T183" i="6"/>
  <c r="S286" i="6" l="1"/>
  <c r="T263" i="6"/>
  <c r="I171" i="7"/>
  <c r="J71" i="2"/>
  <c r="T260" i="6"/>
  <c r="S287" i="6"/>
  <c r="S257" i="6"/>
  <c r="T257" i="6" s="1"/>
  <c r="J92" i="2" s="1"/>
  <c r="T253" i="6"/>
  <c r="S157" i="7"/>
  <c r="T152" i="7"/>
  <c r="K58" i="2" s="1"/>
  <c r="H183" i="7"/>
  <c r="S180" i="7" l="1"/>
  <c r="T180" i="7" s="1"/>
  <c r="K69" i="2" s="1"/>
  <c r="I17" i="10" s="1"/>
  <c r="T157" i="7"/>
  <c r="K65" i="2" s="1"/>
  <c r="K66" i="2" s="1"/>
  <c r="J99" i="2"/>
  <c r="T286" i="6"/>
  <c r="K59" i="2"/>
  <c r="K61" i="2"/>
  <c r="K63" i="2" s="1"/>
  <c r="K62" i="2"/>
  <c r="H285" i="7"/>
  <c r="S288" i="6"/>
  <c r="S290" i="6" s="1"/>
  <c r="I181" i="7"/>
  <c r="I170" i="7"/>
  <c r="H253" i="7"/>
  <c r="H260" i="7"/>
  <c r="H263" i="7" s="1"/>
  <c r="J87" i="2"/>
  <c r="J72" i="2"/>
  <c r="J95" i="2"/>
  <c r="H257" i="7" l="1"/>
  <c r="I183" i="7"/>
  <c r="S179" i="7"/>
  <c r="T179" i="7" s="1"/>
  <c r="T285" i="7"/>
  <c r="J118" i="2"/>
  <c r="T287" i="6"/>
  <c r="H286" i="7"/>
  <c r="H287" i="7" s="1"/>
  <c r="J171" i="7"/>
  <c r="I285" i="7" l="1"/>
  <c r="H288" i="7"/>
  <c r="H290" i="7" s="1"/>
  <c r="J181" i="7"/>
  <c r="J170" i="7"/>
  <c r="I253" i="7"/>
  <c r="I260" i="7"/>
  <c r="I263" i="7" s="1"/>
  <c r="K116" i="2"/>
  <c r="T288" i="6"/>
  <c r="T290" i="6" s="1"/>
  <c r="J120" i="2"/>
  <c r="I286" i="7" l="1"/>
  <c r="K171" i="7"/>
  <c r="I257" i="7"/>
  <c r="J183" i="7"/>
  <c r="I287" i="7"/>
  <c r="J260" i="7" l="1"/>
  <c r="J263" i="7" s="1"/>
  <c r="J253" i="7"/>
  <c r="K170" i="7"/>
  <c r="K181" i="7"/>
  <c r="J285" i="7"/>
  <c r="I288" i="7"/>
  <c r="I290" i="7" s="1"/>
  <c r="L171" i="7" l="1"/>
  <c r="J257" i="7"/>
  <c r="K183" i="7"/>
  <c r="J286" i="7"/>
  <c r="J287" i="7" s="1"/>
  <c r="J288" i="7" l="1"/>
  <c r="J290" i="7" s="1"/>
  <c r="K285" i="7"/>
  <c r="K260" i="7"/>
  <c r="K263" i="7" s="1"/>
  <c r="K253" i="7"/>
  <c r="L181" i="7"/>
  <c r="L170" i="7"/>
  <c r="M171" i="7" l="1"/>
  <c r="K286" i="7"/>
  <c r="L183" i="7"/>
  <c r="K287" i="7"/>
  <c r="K257" i="7"/>
  <c r="K288" i="7" l="1"/>
  <c r="K290" i="7" s="1"/>
  <c r="L285" i="7"/>
  <c r="L253" i="7"/>
  <c r="L260" i="7"/>
  <c r="L263" i="7" s="1"/>
  <c r="M181" i="7"/>
  <c r="M183" i="7" s="1"/>
  <c r="M170" i="7"/>
  <c r="N171" i="7" s="1"/>
  <c r="L257" i="7" l="1"/>
  <c r="L286" i="7"/>
  <c r="L287" i="7" s="1"/>
  <c r="N181" i="7"/>
  <c r="N183" i="7" s="1"/>
  <c r="N170" i="7"/>
  <c r="O171" i="7" s="1"/>
  <c r="M253" i="7"/>
  <c r="M257" i="7" s="1"/>
  <c r="M260" i="7"/>
  <c r="M263" i="7" s="1"/>
  <c r="M286" i="7" s="1"/>
  <c r="L288" i="7" l="1"/>
  <c r="L290" i="7" s="1"/>
  <c r="M285" i="7"/>
  <c r="M287" i="7" s="1"/>
  <c r="N253" i="7"/>
  <c r="N257" i="7" s="1"/>
  <c r="N260" i="7"/>
  <c r="N263" i="7" s="1"/>
  <c r="N286" i="7" s="1"/>
  <c r="O181" i="7"/>
  <c r="O183" i="7" s="1"/>
  <c r="O170" i="7"/>
  <c r="P171" i="7" s="1"/>
  <c r="P181" i="7" l="1"/>
  <c r="P183" i="7" s="1"/>
  <c r="P170" i="7"/>
  <c r="Q171" i="7" s="1"/>
  <c r="M288" i="7"/>
  <c r="M290" i="7" s="1"/>
  <c r="N285" i="7"/>
  <c r="N287" i="7" s="1"/>
  <c r="O260" i="7"/>
  <c r="O263" i="7" s="1"/>
  <c r="O286" i="7" s="1"/>
  <c r="O253" i="7"/>
  <c r="O257" i="7" s="1"/>
  <c r="N288" i="7" l="1"/>
  <c r="N290" i="7" s="1"/>
  <c r="O285" i="7"/>
  <c r="O287" i="7" s="1"/>
  <c r="Q181" i="7"/>
  <c r="Q183" i="7" s="1"/>
  <c r="Q170" i="7"/>
  <c r="R171" i="7" s="1"/>
  <c r="P260" i="7"/>
  <c r="P263" i="7" s="1"/>
  <c r="P286" i="7" s="1"/>
  <c r="P253" i="7"/>
  <c r="P257" i="7" s="1"/>
  <c r="R181" i="7" l="1"/>
  <c r="R183" i="7" s="1"/>
  <c r="R170" i="7"/>
  <c r="S171" i="7" s="1"/>
  <c r="Q253" i="7"/>
  <c r="Q257" i="7" s="1"/>
  <c r="Q260" i="7"/>
  <c r="Q263" i="7" s="1"/>
  <c r="Q286" i="7" s="1"/>
  <c r="O288" i="7"/>
  <c r="O290" i="7" s="1"/>
  <c r="P285" i="7"/>
  <c r="P287" i="7" s="1"/>
  <c r="Q285" i="7" l="1"/>
  <c r="Q287" i="7" s="1"/>
  <c r="P288" i="7"/>
  <c r="P290" i="7" s="1"/>
  <c r="S181" i="7"/>
  <c r="S170" i="7"/>
  <c r="T170" i="7" s="1"/>
  <c r="T171" i="7"/>
  <c r="R253" i="7"/>
  <c r="R257" i="7" s="1"/>
  <c r="R260" i="7"/>
  <c r="R263" i="7" s="1"/>
  <c r="R286" i="7" s="1"/>
  <c r="S183" i="7" l="1"/>
  <c r="T181" i="7"/>
  <c r="Q288" i="7"/>
  <c r="Q290" i="7" s="1"/>
  <c r="R285" i="7"/>
  <c r="R287" i="7" s="1"/>
  <c r="R288" i="7" l="1"/>
  <c r="R290" i="7" s="1"/>
  <c r="S285" i="7"/>
  <c r="S260" i="7"/>
  <c r="S263" i="7" s="1"/>
  <c r="S253" i="7"/>
  <c r="T183" i="7"/>
  <c r="S257" i="7" l="1"/>
  <c r="T257" i="7" s="1"/>
  <c r="K92" i="2" s="1"/>
  <c r="T253" i="7"/>
  <c r="S286" i="7"/>
  <c r="S287" i="7" s="1"/>
  <c r="S288" i="7" s="1"/>
  <c r="S290" i="7" s="1"/>
  <c r="T263" i="7"/>
  <c r="K71" i="2"/>
  <c r="T260" i="7"/>
  <c r="K95" i="2" l="1"/>
  <c r="K87" i="2"/>
  <c r="K72" i="2"/>
  <c r="K99" i="2"/>
  <c r="T286" i="7"/>
  <c r="K118" i="2" l="1"/>
  <c r="T287" i="7"/>
  <c r="K120" i="2" l="1"/>
  <c r="T288" i="7"/>
  <c r="T290" i="7" s="1"/>
</calcChain>
</file>

<file path=xl/sharedStrings.xml><?xml version="1.0" encoding="utf-8"?>
<sst xmlns="http://schemas.openxmlformats.org/spreadsheetml/2006/main" count="2128" uniqueCount="401">
  <si>
    <t>Revenues</t>
  </si>
  <si>
    <t>Year 1</t>
  </si>
  <si>
    <t>Year 2</t>
  </si>
  <si>
    <t>Year 3</t>
  </si>
  <si>
    <t>Year 4</t>
  </si>
  <si>
    <t>Year 5</t>
  </si>
  <si>
    <t>Annual GMV Growth</t>
  </si>
  <si>
    <t>Direct Expenses (COGS)</t>
  </si>
  <si>
    <t>Net Revenues</t>
  </si>
  <si>
    <t>Gross Margin</t>
  </si>
  <si>
    <t>Other Variable Costs</t>
  </si>
  <si>
    <t>Variable Costs</t>
  </si>
  <si>
    <t>as % of Rev</t>
  </si>
  <si>
    <t>Other S&amp;M Expenses</t>
  </si>
  <si>
    <t xml:space="preserve"> </t>
  </si>
  <si>
    <t>Headcount</t>
  </si>
  <si>
    <t>Monthly Budget</t>
  </si>
  <si>
    <t>Overhead Costs</t>
  </si>
  <si>
    <t>Operating Income</t>
  </si>
  <si>
    <t>Operating Margin</t>
  </si>
  <si>
    <t>Return on Total Sales</t>
  </si>
  <si>
    <t>Commission on GMV for BE</t>
  </si>
  <si>
    <t>EBIT</t>
  </si>
  <si>
    <t>Net Income</t>
  </si>
  <si>
    <t>Other</t>
  </si>
  <si>
    <t>Other S&amp;M Expenses (% of sales)</t>
  </si>
  <si>
    <t>Merchants Fees</t>
  </si>
  <si>
    <t>Commission Expense</t>
  </si>
  <si>
    <t>Total Variable Costs</t>
  </si>
  <si>
    <t>Monthly Cost</t>
  </si>
  <si>
    <t>Units</t>
  </si>
  <si>
    <t>G&amp;A Expenses</t>
  </si>
  <si>
    <t>Postage and Delivery</t>
  </si>
  <si>
    <t>Tax Rate</t>
  </si>
  <si>
    <t>Taxes</t>
  </si>
  <si>
    <t xml:space="preserve">Capex </t>
  </si>
  <si>
    <t>IT Equipments</t>
  </si>
  <si>
    <t>Office equipment</t>
  </si>
  <si>
    <t xml:space="preserve">Vehicles </t>
  </si>
  <si>
    <t>Capex</t>
  </si>
  <si>
    <t>Depreciation &amp; Amortization</t>
  </si>
  <si>
    <t xml:space="preserve">Working Capital </t>
  </si>
  <si>
    <t xml:space="preserve">Payment period in days </t>
  </si>
  <si>
    <t>Disposals</t>
  </si>
  <si>
    <t xml:space="preserve"> + Founder equity</t>
  </si>
  <si>
    <t xml:space="preserve"> + Depreciation &amp; Amortization</t>
  </si>
  <si>
    <t xml:space="preserve"> - Changes in Working Capital</t>
  </si>
  <si>
    <t>Investments (Capex)</t>
  </si>
  <si>
    <t>Minimum Required Capital</t>
  </si>
  <si>
    <t>Change in Cash</t>
  </si>
  <si>
    <t>Beginning Cash Balance</t>
  </si>
  <si>
    <t>Ending Cash Balance</t>
  </si>
  <si>
    <t>Cash Flow Statement</t>
  </si>
  <si>
    <t>Investment Amount</t>
  </si>
  <si>
    <t>Cash In Hand</t>
  </si>
  <si>
    <t>Starting Cash Balance</t>
  </si>
  <si>
    <t>Funding Round</t>
  </si>
  <si>
    <t>Period</t>
  </si>
  <si>
    <t>Month in which Investment is necessary for survival due to negative cash balance</t>
  </si>
  <si>
    <t>Investment Amount Necessary for an additional 6 months survival</t>
  </si>
  <si>
    <t>Investment Amount Necessary for an additional 12 months survival</t>
  </si>
  <si>
    <t>Investment Amount Necessary for an additional 18 months survival</t>
  </si>
  <si>
    <t>Starting Year</t>
  </si>
  <si>
    <t>A company cannot survive with a negative cash balance. This table shows the month in which a company's cash is negative should that occur, and the investment sizes necessary to keep it cash positive for the next 6, 12 and 18 months respectively.</t>
  </si>
  <si>
    <t>Round A</t>
  </si>
  <si>
    <t>Round B</t>
  </si>
  <si>
    <t>Round C</t>
  </si>
  <si>
    <t>Round D</t>
  </si>
  <si>
    <t>Round E</t>
  </si>
  <si>
    <t>Financial Projections Model</t>
  </si>
  <si>
    <t>The name of my company is:</t>
  </si>
  <si>
    <t>Please enter the name of your business in the box below:</t>
  </si>
  <si>
    <t>How to use this template</t>
  </si>
  <si>
    <t>This spreadsheet walks you through the process of developing an integrated set of financial projections.</t>
  </si>
  <si>
    <t>1 -</t>
  </si>
  <si>
    <t xml:space="preserve"> -  </t>
  </si>
  <si>
    <t>2 -</t>
  </si>
  <si>
    <t>3 -</t>
  </si>
  <si>
    <t>4 -</t>
  </si>
  <si>
    <t>5 -</t>
  </si>
  <si>
    <t>equidam.com</t>
  </si>
  <si>
    <t xml:space="preserve">This model has been developed by Equidam BV (www.equidam.com) for non-commercial purposes. </t>
  </si>
  <si>
    <t>Certain cells are required inputs where an assumption has been made and that require your review (optional).</t>
  </si>
  <si>
    <t>Introduction</t>
  </si>
  <si>
    <t>Sheet Name</t>
  </si>
  <si>
    <t>Summary Financials</t>
  </si>
  <si>
    <t>The sheets with a light green shading on the right require your input.</t>
  </si>
  <si>
    <t>All information found in black text and without shading is automatically calculated for you.</t>
  </si>
  <si>
    <t>Return to Introduction Page</t>
  </si>
  <si>
    <t>Funding (required capital)</t>
  </si>
  <si>
    <t>Operating Expenses</t>
  </si>
  <si>
    <t>Start-up Costs</t>
  </si>
  <si>
    <t>Revenue</t>
  </si>
  <si>
    <t>Costs of Goods Sold</t>
  </si>
  <si>
    <t>Salaries</t>
  </si>
  <si>
    <t>Total Depreciation &amp; Amortization</t>
  </si>
  <si>
    <t>Interest</t>
  </si>
  <si>
    <t>Receivables</t>
  </si>
  <si>
    <t>Inventory</t>
  </si>
  <si>
    <t>Payables</t>
  </si>
  <si>
    <t>Debt</t>
  </si>
  <si>
    <t>Cash and Cash Equivalents</t>
  </si>
  <si>
    <t>Tangible Assets</t>
  </si>
  <si>
    <t>Intangible Assets</t>
  </si>
  <si>
    <t>Financial Assets</t>
  </si>
  <si>
    <t>Deferred Tax Assets</t>
  </si>
  <si>
    <t>Short-term Liabilities</t>
  </si>
  <si>
    <t>Long-term Liabilities</t>
  </si>
  <si>
    <t>Equity</t>
  </si>
  <si>
    <t>Overview of Inputs</t>
  </si>
  <si>
    <t>Income before Interest and Taxes</t>
  </si>
  <si>
    <t>Survivability - Red Flags any month in which you become cash negative</t>
  </si>
  <si>
    <t>Investment Date (Month Year) e.g. January 2018</t>
  </si>
  <si>
    <t>Financing Schedule</t>
  </si>
  <si>
    <t>Date of Debt raising (Month Year) e.g. January 2018</t>
  </si>
  <si>
    <t>Raised Debt Amount</t>
  </si>
  <si>
    <t>Interest Rate</t>
  </si>
  <si>
    <t>Repayment Periods</t>
  </si>
  <si>
    <t>Total Interest repayments</t>
  </si>
  <si>
    <t>Interest Payments</t>
  </si>
  <si>
    <t>Capital Raising through Funding Rounds</t>
  </si>
  <si>
    <t>Capital Raising through Debt</t>
  </si>
  <si>
    <t xml:space="preserve"> - Equity Payback / Dividends</t>
  </si>
  <si>
    <t xml:space="preserve"> + Investor equity</t>
  </si>
  <si>
    <t>Total Debt Principal Repayments</t>
  </si>
  <si>
    <t xml:space="preserve"> + New Debt</t>
  </si>
  <si>
    <t xml:space="preserve"> - Debt Principal Repayment:</t>
  </si>
  <si>
    <t>January</t>
  </si>
  <si>
    <t>February</t>
  </si>
  <si>
    <t>March</t>
  </si>
  <si>
    <t>April</t>
  </si>
  <si>
    <t>May</t>
  </si>
  <si>
    <t>June</t>
  </si>
  <si>
    <t>July</t>
  </si>
  <si>
    <t>August</t>
  </si>
  <si>
    <t>September</t>
  </si>
  <si>
    <t>October</t>
  </si>
  <si>
    <t>November</t>
  </si>
  <si>
    <t>December</t>
  </si>
  <si>
    <t xml:space="preserve">Financing Schedule </t>
  </si>
  <si>
    <t>Operating Cash Flows</t>
  </si>
  <si>
    <t>Cash Flow From Operating Activities</t>
  </si>
  <si>
    <t>Investing Cash Flows</t>
  </si>
  <si>
    <t>Financing Cash Flows</t>
  </si>
  <si>
    <t>Cash Flow from Investing Activities</t>
  </si>
  <si>
    <t>Cash Flow from Financing Activities</t>
  </si>
  <si>
    <t>Free Cash Flow</t>
  </si>
  <si>
    <t xml:space="preserve"> + Depreciation and Amortization</t>
  </si>
  <si>
    <t xml:space="preserve"> - Capital Expenditures</t>
  </si>
  <si>
    <t>Accounts Receivable</t>
  </si>
  <si>
    <t>Accounts Payable</t>
  </si>
  <si>
    <t>Total Accounts Receivable</t>
  </si>
  <si>
    <t>Total Accounts Payable</t>
  </si>
  <si>
    <t xml:space="preserve"> + Increase in Accounts Payable</t>
  </si>
  <si>
    <t>Cash Flow from Investmenting Activities</t>
  </si>
  <si>
    <t>Working Capital</t>
  </si>
  <si>
    <t>Principal Repayment for Pre-existing Debt</t>
  </si>
  <si>
    <t>Interest Payments for Pre-existing Debt</t>
  </si>
  <si>
    <t>Principal Payment for New Debt 1</t>
  </si>
  <si>
    <t>Principal Payment for New Debt 2</t>
  </si>
  <si>
    <t>Principal Payment for New Debt 3</t>
  </si>
  <si>
    <t>Principal Payment for New Debt 4</t>
  </si>
  <si>
    <t>Principal Payment for New Debt 5</t>
  </si>
  <si>
    <t>Interest Payment for New Debt 1</t>
  </si>
  <si>
    <t>Interest Payment for New Debt 2</t>
  </si>
  <si>
    <t>Interest Payment for New Debt 3</t>
  </si>
  <si>
    <t>Interest Payment for New Debt 4</t>
  </si>
  <si>
    <t>Interest Payment for New Debt 5</t>
  </si>
  <si>
    <t>Monthly Coupon</t>
  </si>
  <si>
    <t>A Summary sheet in which you can find an overview of the five year projection on a yearly basis after all inputs have been filled in.</t>
  </si>
  <si>
    <t>The Overview of Inputs sheet is a convenient way to review and check all the inputs provided for all the years; use it to verify you haven't made any typos.</t>
  </si>
  <si>
    <t>CONTENT: Overview of the sheets in this model template and their function.</t>
  </si>
  <si>
    <t>Powered by:</t>
  </si>
  <si>
    <t>All cells where your input is required are highlighted in light green as shown below.</t>
  </si>
  <si>
    <t>Please note that the "$" sign is purely a place holder to show values that are currency - it has no other effect.</t>
  </si>
  <si>
    <t>Please refrain from editing the formulas in these cells as this can alter the model's functionality.</t>
  </si>
  <si>
    <t>Sheet #</t>
  </si>
  <si>
    <t>This introduction page explaining the Model Template.</t>
  </si>
  <si>
    <t>The Investment Schedule sheet is where you should input any desired or expected investments or new debt. There is a built in red flag identifier that notifies you if the company goes cash negative.</t>
  </si>
  <si>
    <t>Sum</t>
  </si>
  <si>
    <t>Starting Period</t>
  </si>
  <si>
    <t>Aggregate Financials For input in Equidam</t>
  </si>
  <si>
    <t>Arrange a call</t>
  </si>
  <si>
    <t>Send an e-mail</t>
  </si>
  <si>
    <t>If you need advanced help with the financial projections, please reach out to our team of financial modelling and valuation consultants to discuss how we can assist you. You can do this either through sending an e-mail or arranging a call through the links below.</t>
  </si>
  <si>
    <t>Equidam Financials Input</t>
  </si>
  <si>
    <t>The Summary Financials, Equidam Financials Input and Overview of Inputs are calculated automatically for you.</t>
  </si>
  <si>
    <t>The Equidam Financials Input sheet conveniently gathers all the required information from the model necessary to perform a valuation using Equidam.</t>
  </si>
  <si>
    <t>Price per Product</t>
  </si>
  <si>
    <t>Monthly Product Sales</t>
  </si>
  <si>
    <t>Car and Truck Expenses</t>
  </si>
  <si>
    <t>Bank &amp; Merchant Fees</t>
  </si>
  <si>
    <t>Conferences &amp; Seminars</t>
  </si>
  <si>
    <t>Dues and Subscriptions</t>
  </si>
  <si>
    <t>Miscellaneous</t>
  </si>
  <si>
    <t>Insurance (Liability and Property)</t>
  </si>
  <si>
    <t>Licenses/Fees/Permits</t>
  </si>
  <si>
    <t>Legal and Professional Fees</t>
  </si>
  <si>
    <t>Office Expenses &amp; Supplies</t>
  </si>
  <si>
    <t>Rent (on business property)</t>
  </si>
  <si>
    <t>Rent of Vehicles and Equipment</t>
  </si>
  <si>
    <t>Taxes-Other</t>
  </si>
  <si>
    <t>Telephone and Communications</t>
  </si>
  <si>
    <t>Travel</t>
  </si>
  <si>
    <t>IT services (infrastructure, security etc)</t>
  </si>
  <si>
    <t>Utilities</t>
  </si>
  <si>
    <t>Others</t>
  </si>
  <si>
    <t>Advertising Campaigns</t>
  </si>
  <si>
    <t>Total Sales Revenue</t>
  </si>
  <si>
    <t>Customer Acquisition Costs</t>
  </si>
  <si>
    <t>Management Salaries</t>
  </si>
  <si>
    <t>Operations</t>
  </si>
  <si>
    <t>Legal</t>
  </si>
  <si>
    <t>IT</t>
  </si>
  <si>
    <t>Full Time Employees</t>
  </si>
  <si>
    <t>Part Time Employees</t>
  </si>
  <si>
    <t>Hours per week</t>
  </si>
  <si>
    <t>Employee 1</t>
  </si>
  <si>
    <t>Employee 2</t>
  </si>
  <si>
    <t>Employee 3</t>
  </si>
  <si>
    <t>Employee 4</t>
  </si>
  <si>
    <t>Hourly Rate</t>
  </si>
  <si>
    <t>Number of Employees</t>
  </si>
  <si>
    <t>Total Wage Costs</t>
  </si>
  <si>
    <t>Employee Wages</t>
  </si>
  <si>
    <t>Payroll Taxes and Benefits</t>
  </si>
  <si>
    <t>Social Security</t>
  </si>
  <si>
    <t>Medicare</t>
  </si>
  <si>
    <t>Employee Pension Programs</t>
  </si>
  <si>
    <t>Worker's Compensation</t>
  </si>
  <si>
    <t>Employee Health Insurance</t>
  </si>
  <si>
    <t>Other Employee Benefit Programs</t>
  </si>
  <si>
    <t>Total Payroll Taxes and Benefits</t>
  </si>
  <si>
    <t>Federal Unemployment Tax</t>
  </si>
  <si>
    <t>State Unemployment Tax</t>
  </si>
  <si>
    <t>Total Salaries and Related Expenses</t>
  </si>
  <si>
    <t>Marketing</t>
  </si>
  <si>
    <t>Wage and Related Costs</t>
  </si>
  <si>
    <t>Plant</t>
  </si>
  <si>
    <t>Property</t>
  </si>
  <si>
    <t>Equipment</t>
  </si>
  <si>
    <t>Capex Amount</t>
  </si>
  <si>
    <t>Capex Period</t>
  </si>
  <si>
    <t>Recurring every # periods</t>
  </si>
  <si>
    <t>Recurring charge</t>
  </si>
  <si>
    <t>Set up fee</t>
  </si>
  <si>
    <t>Total Number of Customers</t>
  </si>
  <si>
    <t>Subscription Revenues</t>
  </si>
  <si>
    <t>Fundraising Plan</t>
  </si>
  <si>
    <t>Rate per Hour</t>
  </si>
  <si>
    <t>Billable Hours per month</t>
  </si>
  <si>
    <t>Billable Hours per Month</t>
  </si>
  <si>
    <t>Billable Hours Revenues</t>
  </si>
  <si>
    <t>Product Revenue</t>
  </si>
  <si>
    <t>Service Revenue</t>
  </si>
  <si>
    <t>Price for Service</t>
  </si>
  <si>
    <t>Monthly Service Sales</t>
  </si>
  <si>
    <t>Product Revenues</t>
  </si>
  <si>
    <t>Service Revenues</t>
  </si>
  <si>
    <t>Existing Number of Customers</t>
  </si>
  <si>
    <t>Service Units Sold Manual Input (Overrides auto filled monthly unit sales below)</t>
  </si>
  <si>
    <t>Billable Hours per Month Manual Input (Overrides auto filled monthly billable hours below)</t>
  </si>
  <si>
    <t>Product Units Sold Manual Input (Overrides auto filled monthly unit sales below)</t>
  </si>
  <si>
    <t>Service Units Sold (rounded down)</t>
  </si>
  <si>
    <t>Commission on Product Revenue</t>
  </si>
  <si>
    <t>Commission on Service Revenue</t>
  </si>
  <si>
    <t>Commission on Subscription Revenue</t>
  </si>
  <si>
    <t xml:space="preserve">Commission on Revenues Costs (% of sales) </t>
  </si>
  <si>
    <t>Customer Acquisition Costs for Product Revenues</t>
  </si>
  <si>
    <t>Customer Acquisition Costs for Service Revenues</t>
  </si>
  <si>
    <t>Customer Acquisition Costs for Billable Hours Revenues</t>
  </si>
  <si>
    <t>Customer Acquisition Costs for Subscription Revenues</t>
  </si>
  <si>
    <t>New Customer per month</t>
  </si>
  <si>
    <t>Number of New Customers per month Manual Input (Overrides auto filled number of new customers below)</t>
  </si>
  <si>
    <t>Total Commission Costs</t>
  </si>
  <si>
    <t>Total Customer Acquisition Costs</t>
  </si>
  <si>
    <t>Number</t>
  </si>
  <si>
    <t>Sales and Marketing Expenses</t>
  </si>
  <si>
    <t>S&amp;M Expenses for Product Line</t>
  </si>
  <si>
    <t>S&amp;M Expenses for Services Line</t>
  </si>
  <si>
    <t>S&amp;M Expenses for Billable Hours Line</t>
  </si>
  <si>
    <t>S&amp;M Expenses for Subscriptions Line</t>
  </si>
  <si>
    <t>Total Sales and Marketing Expenses</t>
  </si>
  <si>
    <t>Ending Period</t>
  </si>
  <si>
    <t>Rate (as % of Capital Expenditures)</t>
  </si>
  <si>
    <t>Commission on Billable Hours Revenue</t>
  </si>
  <si>
    <t>Billable Hours Revenue</t>
  </si>
  <si>
    <t>Subscription Revenue</t>
  </si>
  <si>
    <t>Recurring Capital Expenditures</t>
  </si>
  <si>
    <t>One-off Capital Expenditures</t>
  </si>
  <si>
    <t>Corporate Taxes</t>
  </si>
  <si>
    <t>Monthly Cost per unit</t>
  </si>
  <si>
    <t>Yearly Wage increase</t>
  </si>
  <si>
    <t>Paid</t>
  </si>
  <si>
    <t>Product Units Sold (rounded down)</t>
  </si>
  <si>
    <t>Sales Tax on Product Revenue Line</t>
  </si>
  <si>
    <t>Sales Tax on Service Revenue Line</t>
  </si>
  <si>
    <t>Sales Tax on Billable Hours Revenue Line</t>
  </si>
  <si>
    <t>Sales Tax on Subscription Revenue Line</t>
  </si>
  <si>
    <t>Monthly</t>
  </si>
  <si>
    <t>Quarterly</t>
  </si>
  <si>
    <t>Yearly</t>
  </si>
  <si>
    <t>n.a.</t>
  </si>
  <si>
    <t>Accrued</t>
  </si>
  <si>
    <t>…in Period (only applicable if paid Yearly)</t>
  </si>
  <si>
    <t>Total Tax expenses</t>
  </si>
  <si>
    <t>Tax Expenses</t>
  </si>
  <si>
    <t>Income</t>
  </si>
  <si>
    <t>Total Revenues</t>
  </si>
  <si>
    <t>Total Wages and Related Expenses</t>
  </si>
  <si>
    <t>Total Overhead Costs</t>
  </si>
  <si>
    <t>IF('Year 2'!F160:F161="","",'Year 1'!F160:F161+'Year 2'!$S$117)</t>
  </si>
  <si>
    <t>as % of Respective Sales Revenue</t>
  </si>
  <si>
    <t>as % of Total Revenues from all Lines</t>
  </si>
  <si>
    <t xml:space="preserve"> - Investments (Capex)</t>
  </si>
  <si>
    <t xml:space="preserve"> + Disposals</t>
  </si>
  <si>
    <r>
      <rPr>
        <b/>
        <sz val="11"/>
        <color rgb="FF000000"/>
        <rFont val="Calibri"/>
        <family val="2"/>
      </rPr>
      <t>or</t>
    </r>
    <r>
      <rPr>
        <sz val="11"/>
        <color rgb="FF000000"/>
        <rFont val="Calibri"/>
        <family val="2"/>
      </rPr>
      <t xml:space="preserve"> manually entered amount below (overrides wages)</t>
    </r>
  </si>
  <si>
    <t>as % of Total Wage Costs</t>
  </si>
  <si>
    <t>Year 1 (2018) Sales Growth</t>
  </si>
  <si>
    <t>Year 1 (2018) Billable Hours Growth</t>
  </si>
  <si>
    <t>Number of new customers per month Year 1 (2018)</t>
  </si>
  <si>
    <t>Year 1 (2018) Churn rate</t>
  </si>
  <si>
    <t>Customer Acquisition Costs for Product Revenue</t>
  </si>
  <si>
    <t>Customer Acquisition Costs for Service Revenue</t>
  </si>
  <si>
    <t>Customer Acquisition Costs for Billable Hours Revenue</t>
  </si>
  <si>
    <t>Customer Acquisition Costs for Subscription Revenue</t>
  </si>
  <si>
    <t>S&amp;M Expenses for Product Revenue Line</t>
  </si>
  <si>
    <t>S&amp;M Expenses for Service Revenue Line</t>
  </si>
  <si>
    <t>S&amp;M Expenses for Billable Hours Revenue Line</t>
  </si>
  <si>
    <t>S&amp;M Expenses for Subscription Revenue Line</t>
  </si>
  <si>
    <t>Receivable days for Product Revenue</t>
  </si>
  <si>
    <t>Receivable days for Service Revenue</t>
  </si>
  <si>
    <t>Receivable days for Billable Hours Revenue</t>
  </si>
  <si>
    <t>Receivable days for Subscription Revenue</t>
  </si>
  <si>
    <t>Payable Days for Commission on Product Revenue</t>
  </si>
  <si>
    <t>Payable Days for Commission on Service Revenue</t>
  </si>
  <si>
    <t>Payable Days for Commission on Billable Hours Revenue</t>
  </si>
  <si>
    <t>Payable Days for Commission on Subscription Revenue</t>
  </si>
  <si>
    <t>Payable Days for S&amp;M Expenses for Product Revenue Line</t>
  </si>
  <si>
    <t>Payable Days for S&amp;M Expenses for Service Revenue Line</t>
  </si>
  <si>
    <t>Payable Days for S&amp;M Expenses for Billable Hours Revenue Line</t>
  </si>
  <si>
    <t>Payable Days for S&amp;M Expenses for Subscription Revenue Line</t>
  </si>
  <si>
    <t>Payable Days for Advertising Campaigns</t>
  </si>
  <si>
    <t>Payable Days for Car and Truck Expenses</t>
  </si>
  <si>
    <t>Payable Days for Bank &amp; Merchant Fees</t>
  </si>
  <si>
    <t>Payable Days for Conferences &amp; Seminars</t>
  </si>
  <si>
    <t>Payable Days for Dues and Subscriptions</t>
  </si>
  <si>
    <t>Payable Days for Miscellaneous</t>
  </si>
  <si>
    <t>Payable Days for Insurance (Liability and Property)</t>
  </si>
  <si>
    <t>Payable Days for Licenses/Fees/Permits</t>
  </si>
  <si>
    <t>Payable Days for Legal and Professional Fees</t>
  </si>
  <si>
    <t>Payable Days for Office Expenses &amp; Supplies</t>
  </si>
  <si>
    <t>Payable Days for Postage and Delivery</t>
  </si>
  <si>
    <t>Payable Days for Rent (on business property)</t>
  </si>
  <si>
    <t>Payable Days for Rent of Vehicles and Equipment</t>
  </si>
  <si>
    <t>Payable Days for Taxes-Other</t>
  </si>
  <si>
    <t>Payable Days for Telephone and Communications</t>
  </si>
  <si>
    <t>Payable Days for Travel</t>
  </si>
  <si>
    <t>Payable Days for IT services (infrastructure, security etc)</t>
  </si>
  <si>
    <t>Payable Days for Utilities</t>
  </si>
  <si>
    <t>Payable Days for Others</t>
  </si>
  <si>
    <t>Payable Days for Employee Wages</t>
  </si>
  <si>
    <t>Payable Days for Payroll Taxes and Benefits</t>
  </si>
  <si>
    <t>Payable Days for Interest Payments</t>
  </si>
  <si>
    <t>Total Wage and Related Costs</t>
  </si>
  <si>
    <t>Direct Costs</t>
  </si>
  <si>
    <t>Total Direct Costs</t>
  </si>
  <si>
    <t>Cost of Goods Sold for Product Revenues</t>
  </si>
  <si>
    <t>Cost of Goods Sold for Service Revenues</t>
  </si>
  <si>
    <t>Cost of Goods Sold for Billable Hours Revenues</t>
  </si>
  <si>
    <t>Cost of Goods Sold for Subscription Revenues</t>
  </si>
  <si>
    <t>Inventories</t>
  </si>
  <si>
    <t>Current Inventory</t>
  </si>
  <si>
    <t>as % of Product Sales</t>
  </si>
  <si>
    <t>Total Inventories</t>
  </si>
  <si>
    <t>Manual Input</t>
  </si>
  <si>
    <t>Others (G&amp;A)</t>
  </si>
  <si>
    <t>Direct Costs (COGS)</t>
  </si>
  <si>
    <t>Depreciation and Amortization</t>
  </si>
  <si>
    <t>This spreadsheet has been developed by Equidam, using both the expertise from experience as well as from academia. The purpose of this document is to create a projection of a company's financial performance given certain inputs and assumptions. It must be appreciated that there is no one fits all, and any financial model requires adjustment and fine-tuning to the specificities of each company or project. Equidam holds no responsibility for the soundness of this template and does not guarentee it is without error in calculation or approach.</t>
  </si>
  <si>
    <t>Five sheets each with 12 periods in each and representing a forecast year. This is where you need to input base assumptions and inputs which will determine the forecast. There are 4 primary types of revenue, each with its particular mechanics and corresponding costs etc. Should an input in this model not be applicable, simply set it to 0 (zero) and it will not have any effect.</t>
  </si>
  <si>
    <t xml:space="preserve">       Description of Sheet function</t>
  </si>
  <si>
    <t>as % of Revenues</t>
  </si>
  <si>
    <t>Total Other Variable Costs</t>
  </si>
  <si>
    <r>
      <t xml:space="preserve">tip: don't edit any of the information below, it is an overview of the </t>
    </r>
    <r>
      <rPr>
        <b/>
        <i/>
        <sz val="12"/>
        <color rgb="FF5F5F5F"/>
        <rFont val="Arial"/>
        <family val="2"/>
      </rPr>
      <t>results</t>
    </r>
    <r>
      <rPr>
        <i/>
        <sz val="12"/>
        <color rgb="FF5F5F5F"/>
        <rFont val="Arial"/>
        <family val="2"/>
      </rPr>
      <t xml:space="preserve"> of the forecast.</t>
    </r>
  </si>
  <si>
    <r>
      <rPr>
        <i/>
        <sz val="12"/>
        <color rgb="FF5F5F5F"/>
        <rFont val="Calibri"/>
        <family val="2"/>
      </rPr>
      <t>tip</t>
    </r>
    <r>
      <rPr>
        <sz val="12"/>
        <color rgb="FF5F5F5F"/>
        <rFont val="Calibri"/>
        <family val="2"/>
      </rPr>
      <t xml:space="preserve">: don't edit any of the information below, it is an overview of the </t>
    </r>
    <r>
      <rPr>
        <b/>
        <sz val="12"/>
        <color rgb="FF5F5F5F"/>
        <rFont val="Calibri"/>
        <family val="2"/>
      </rPr>
      <t>inputs</t>
    </r>
    <r>
      <rPr>
        <sz val="12"/>
        <color rgb="FF5F5F5F"/>
        <rFont val="Calibri"/>
        <family val="2"/>
      </rPr>
      <t xml:space="preserve"> for the forecast.</t>
    </r>
  </si>
  <si>
    <r>
      <rPr>
        <i/>
        <sz val="11"/>
        <color rgb="FF5F5F5F"/>
        <rFont val="Arial"/>
        <family val="2"/>
      </rPr>
      <t>tip</t>
    </r>
    <r>
      <rPr>
        <sz val="11"/>
        <color rgb="FF5F5F5F"/>
        <rFont val="Arial"/>
        <family val="2"/>
      </rPr>
      <t>: simply copy &amp; paste the aggregated information below into Equidam to perform a valuation. Here is the link:</t>
    </r>
  </si>
  <si>
    <r>
      <rPr>
        <i/>
        <sz val="12"/>
        <color rgb="FF000000"/>
        <rFont val="Arial"/>
        <family val="2"/>
      </rPr>
      <t>tip</t>
    </r>
    <r>
      <rPr>
        <sz val="12"/>
        <color theme="1" tint="0.34998626667073579"/>
        <rFont val="Arial"/>
        <family val="2"/>
      </rPr>
      <t>: here you can input any expected investments or debt, any of which are directly incorporated into the projection.</t>
    </r>
  </si>
  <si>
    <r>
      <rPr>
        <b/>
        <u/>
        <sz val="12"/>
        <color rgb="FF5F5F5F"/>
        <rFont val="Arial"/>
        <family val="2"/>
      </rPr>
      <t>Note:</t>
    </r>
    <r>
      <rPr>
        <sz val="12"/>
        <color rgb="FF5F5F5F"/>
        <rFont val="Arial"/>
        <family val="2"/>
      </rPr>
      <t xml:space="preserve"> the new debt model below, in which new debt taken on by the company is incorporated into the financial projections, uses a fixed coupon repayment assumption for the principal amount to be repaid each period. The reasoning for this is because it is a more conservative appraoch (repayments are front-loaded), and should the company survive this, they should survive other debt repayment schemes.</t>
    </r>
  </si>
  <si>
    <r>
      <t xml:space="preserve">In the table below, you can input any expected or planned </t>
    </r>
    <r>
      <rPr>
        <b/>
        <sz val="12"/>
        <color rgb="FF5F5F5F"/>
        <rFont val="Arial"/>
        <family val="2"/>
      </rPr>
      <t>debt,</t>
    </r>
    <r>
      <rPr>
        <sz val="12"/>
        <color rgb="FF5F5F5F"/>
        <rFont val="Arial"/>
        <family val="2"/>
      </rPr>
      <t xml:space="preserve"> their respective start dates, interest rates and repayment periods (in months). Any pre-existing debt must be manually input over the forecast five years where applicable.</t>
    </r>
  </si>
  <si>
    <r>
      <t xml:space="preserve">In the table below, you can input any expected or planned </t>
    </r>
    <r>
      <rPr>
        <b/>
        <sz val="12"/>
        <color rgb="FF5F5F5F"/>
        <rFont val="Arial"/>
        <family val="2"/>
      </rPr>
      <t>investments</t>
    </r>
    <r>
      <rPr>
        <sz val="12"/>
        <color rgb="FF5F5F5F"/>
        <rFont val="Arial"/>
        <family val="2"/>
      </rPr>
      <t xml:space="preserve"> and their respective investment date.</t>
    </r>
  </si>
  <si>
    <t>Unicorn Inc.</t>
  </si>
  <si>
    <r>
      <t xml:space="preserve">How-to: </t>
    </r>
    <r>
      <rPr>
        <sz val="12"/>
        <color rgb="FF5F5F5F"/>
        <rFont val="Arial"/>
        <family val="2"/>
      </rPr>
      <t xml:space="preserve">Fill in boxes with a light green shading: </t>
    </r>
  </si>
  <si>
    <r>
      <t>How-to:</t>
    </r>
    <r>
      <rPr>
        <sz val="12"/>
        <color rgb="FF5F5F5F"/>
        <rFont val="Arial"/>
        <family val="2"/>
      </rPr>
      <t xml:space="preserve"> Check assumptions in boxes with a grey shading and edit where necessary:</t>
    </r>
  </si>
  <si>
    <t xml:space="preserve">Once you complete this model template, you will be one step away from discovering your company valuation. </t>
  </si>
  <si>
    <t># of survival months</t>
  </si>
  <si>
    <t>Understand your valuation, transparently discuss it and close fair deals on:</t>
  </si>
  <si>
    <t>Current or Previous Year</t>
  </si>
  <si>
    <t>Comments</t>
  </si>
  <si>
    <t>Other Operating Expenses</t>
  </si>
  <si>
    <t>Capital Expenditures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</si>
</sst>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1">
    <numFmt numFmtId="164" formatCode="_-* #,##0_-;\-* #,##0_-;_-* &quot;-&quot;_-;_-@_-"/>
    <numFmt numFmtId="165" formatCode="_(&quot;$&quot;* #,##0.00_);_(&quot;$&quot;* \(#,##0.00\);_(&quot;$&quot;* &quot;-&quot;??_);_(@_)"/>
    <numFmt numFmtId="166" formatCode="_(* #,##0.00_);_(* \(#,##0.00\);_(* &quot;-&quot;??_);_(@_)"/>
    <numFmt numFmtId="167" formatCode="_(&quot;£&quot;* #,##0.00_);_(&quot;£&quot;* \(#,##0.00\);_(&quot;£&quot;* &quot;-&quot;??_);_(@_)"/>
    <numFmt numFmtId="168" formatCode="_-[$$-409]* #,##0.00_ ;_-[$$-409]* \-#,##0.00\ ;_-[$$-409]* &quot;-&quot;??_ ;_-@_ "/>
    <numFmt numFmtId="169" formatCode="_-* #,##0.00\ &quot;€&quot;_-;\-* #,##0.00\ &quot;€&quot;_-;_-* &quot;-&quot;??\ &quot;€&quot;_-;_-@"/>
    <numFmt numFmtId="170" formatCode="_-* #,##0.00\ _€_-;\-* #,##0.00\ _€_-;_-* &quot;-&quot;??\ _€_-;_-@"/>
    <numFmt numFmtId="171" formatCode="_-[$$-475]\ * #,##0_-;\-[$$-475]\ * #,##0_-;_-[$$-475]\ * &quot;-&quot;_-;_-@"/>
    <numFmt numFmtId="172" formatCode="_-* #,##0_-;_-* #,##0\-;_-* &quot;-&quot;??_-;_-@"/>
    <numFmt numFmtId="173" formatCode="[$$-475]\ #,##0"/>
    <numFmt numFmtId="174" formatCode="[$$]\ #,##0"/>
    <numFmt numFmtId="175" formatCode="_-[$$-409]* #,##0.0000000_ ;_-[$$-409]* \-#,##0.0000000\ ;_-[$$-409]* &quot;-&quot;??_ ;_-@_ "/>
    <numFmt numFmtId="176" formatCode="_([$$-409]* #,##0.00_);_([$$-409]* \(#,##0.00\);_([$$-409]* &quot;-&quot;??_);_(@_)"/>
    <numFmt numFmtId="177" formatCode="0.00_);\(0.00\)"/>
    <numFmt numFmtId="178" formatCode="0_);\(0\)"/>
    <numFmt numFmtId="179" formatCode="0.000_);\(0.000\)"/>
    <numFmt numFmtId="180" formatCode="0.0000000"/>
    <numFmt numFmtId="181" formatCode="0.0"/>
    <numFmt numFmtId="182" formatCode="0.00000_);\(0.00000\)"/>
    <numFmt numFmtId="183" formatCode="0.0%"/>
    <numFmt numFmtId="184" formatCode="_([$€-2]\ * #,##0.00_);_([$€-2]\ * \(#,##0.00\);_([$€-2]\ * &quot;-&quot;??_);_(@_)"/>
  </numFmts>
  <fonts count="97" x14ac:knownFonts="1">
    <font>
      <sz val="12"/>
      <color theme="1" tint="0.34998626667073579"/>
      <name val="Calibri"/>
    </font>
    <font>
      <sz val="12"/>
      <color theme="1"/>
      <name val="Calibri"/>
      <family val="2"/>
      <scheme val="minor"/>
    </font>
    <font>
      <sz val="10"/>
      <color rgb="FF000000"/>
      <name val="Arial"/>
      <family val="2"/>
    </font>
    <font>
      <sz val="11"/>
      <color rgb="FF000000"/>
      <name val="Calibri"/>
      <family val="2"/>
    </font>
    <font>
      <sz val="18"/>
      <color rgb="FF98D50E"/>
      <name val="Open Sans"/>
      <family val="2"/>
    </font>
    <font>
      <b/>
      <sz val="11"/>
      <color rgb="FF000000"/>
      <name val="Calibri"/>
      <family val="2"/>
    </font>
    <font>
      <b/>
      <sz val="12"/>
      <color rgb="FF89D00F"/>
      <name val="Calibri"/>
      <family val="2"/>
    </font>
    <font>
      <b/>
      <sz val="12"/>
      <color rgb="FF000000"/>
      <name val="Calibri"/>
      <family val="2"/>
    </font>
    <font>
      <i/>
      <sz val="10"/>
      <color rgb="FF7F7F7F"/>
      <name val="Calibri"/>
      <family val="2"/>
    </font>
    <font>
      <sz val="11"/>
      <color rgb="FF006100"/>
      <name val="Calibri"/>
      <family val="2"/>
    </font>
    <font>
      <i/>
      <sz val="11"/>
      <color rgb="FF7F7F7F"/>
      <name val="Calibri"/>
      <family val="2"/>
    </font>
    <font>
      <i/>
      <sz val="11"/>
      <color rgb="FF000000"/>
      <name val="Calibri"/>
      <family val="2"/>
    </font>
    <font>
      <sz val="11"/>
      <color rgb="FF7F7F7F"/>
      <name val="Calibri"/>
      <family val="2"/>
    </font>
    <font>
      <b/>
      <sz val="11"/>
      <color rgb="FF89D00F"/>
      <name val="Calibri"/>
      <family val="2"/>
    </font>
    <font>
      <sz val="12"/>
      <color rgb="FF000000"/>
      <name val="Calibri"/>
      <family val="2"/>
    </font>
    <font>
      <sz val="11"/>
      <color rgb="FF000000"/>
      <name val="Calibri"/>
      <family val="2"/>
    </font>
    <font>
      <u/>
      <sz val="12"/>
      <color theme="10"/>
      <name val="Calibri"/>
      <family val="2"/>
    </font>
    <font>
      <u/>
      <sz val="12"/>
      <color theme="11"/>
      <name val="Calibri"/>
      <family val="2"/>
    </font>
    <font>
      <b/>
      <sz val="12"/>
      <color rgb="FF89D010"/>
      <name val="Calibri"/>
      <family val="2"/>
    </font>
    <font>
      <sz val="12"/>
      <name val="Arial"/>
      <family val="2"/>
    </font>
    <font>
      <sz val="18"/>
      <name val="Arial"/>
      <family val="2"/>
    </font>
    <font>
      <b/>
      <sz val="12"/>
      <name val="Arial"/>
      <family val="2"/>
    </font>
    <font>
      <b/>
      <sz val="9"/>
      <name val="Arial"/>
      <family val="2"/>
    </font>
    <font>
      <u/>
      <sz val="12"/>
      <color rgb="FF97D800"/>
      <name val="Arial"/>
      <family val="2"/>
    </font>
    <font>
      <sz val="12"/>
      <color rgb="FF006100"/>
      <name val="Calibri"/>
      <family val="2"/>
    </font>
    <font>
      <i/>
      <sz val="12"/>
      <color rgb="FF000000"/>
      <name val="Calibri"/>
      <family val="2"/>
    </font>
    <font>
      <sz val="10"/>
      <name val="Arial"/>
      <family val="2"/>
    </font>
    <font>
      <b/>
      <u/>
      <sz val="12"/>
      <color rgb="FF97D800"/>
      <name val="Arial"/>
      <family val="2"/>
    </font>
    <font>
      <u/>
      <sz val="12"/>
      <color rgb="FF97D800"/>
      <name val="Open Sans"/>
      <family val="2"/>
    </font>
    <font>
      <sz val="9"/>
      <name val="Arial"/>
      <family val="2"/>
    </font>
    <font>
      <sz val="11"/>
      <color rgb="FF3F3F76"/>
      <name val="Calibri"/>
      <family val="2"/>
      <scheme val="minor"/>
    </font>
    <font>
      <sz val="20"/>
      <name val="Arial"/>
      <family val="2"/>
    </font>
    <font>
      <b/>
      <u/>
      <sz val="12"/>
      <color rgb="FF4BC3FF"/>
      <name val="Arial"/>
      <family val="2"/>
    </font>
    <font>
      <sz val="12"/>
      <color rgb="FF000000"/>
      <name val="Arial"/>
      <family val="2"/>
    </font>
    <font>
      <b/>
      <sz val="18"/>
      <color rgb="FF4BC3FF"/>
      <name val="Arial"/>
      <family val="2"/>
    </font>
    <font>
      <i/>
      <sz val="12"/>
      <name val="Arial"/>
      <family val="2"/>
    </font>
    <font>
      <sz val="11"/>
      <color rgb="FF006100"/>
      <name val="Arial"/>
      <family val="2"/>
    </font>
    <font>
      <b/>
      <sz val="12"/>
      <color rgb="FF000000"/>
      <name val="Arial"/>
      <family val="2"/>
    </font>
    <font>
      <sz val="12"/>
      <color rgb="FF4BC3FF"/>
      <name val="Arial"/>
      <family val="2"/>
    </font>
    <font>
      <sz val="12"/>
      <color theme="0"/>
      <name val="Arial"/>
      <family val="2"/>
    </font>
    <font>
      <sz val="14"/>
      <color rgb="FF0B2C44"/>
      <name val="Arial"/>
      <family val="2"/>
    </font>
    <font>
      <sz val="12"/>
      <color rgb="FF0B2C44"/>
      <name val="Arial"/>
      <family val="2"/>
    </font>
    <font>
      <b/>
      <sz val="22"/>
      <color rgb="FF0B2C44"/>
      <name val="Arial"/>
      <family val="2"/>
    </font>
    <font>
      <b/>
      <sz val="22"/>
      <color rgb="FF98D50E"/>
      <name val="Arial"/>
      <family val="2"/>
    </font>
    <font>
      <sz val="8"/>
      <name val="Calibri"/>
      <family val="2"/>
    </font>
    <font>
      <sz val="12"/>
      <color theme="1" tint="0.34998626667073579"/>
      <name val="Arial"/>
      <family val="2"/>
    </font>
    <font>
      <sz val="12"/>
      <color theme="1" tint="0.249977111117893"/>
      <name val="Arial"/>
      <family val="2"/>
    </font>
    <font>
      <b/>
      <sz val="12"/>
      <color theme="1" tint="0.14999847407452621"/>
      <name val="Arial"/>
      <family val="2"/>
    </font>
    <font>
      <sz val="12"/>
      <color theme="1" tint="0.14999847407452621"/>
      <name val="Arial"/>
      <family val="2"/>
    </font>
    <font>
      <i/>
      <sz val="12"/>
      <color rgb="FF000000"/>
      <name val="Arial"/>
      <family val="2"/>
    </font>
    <font>
      <sz val="11"/>
      <color rgb="FF000000"/>
      <name val="Arial"/>
      <family val="2"/>
    </font>
    <font>
      <sz val="14"/>
      <color rgb="FF98D50E"/>
      <name val="Arial"/>
      <family val="2"/>
    </font>
    <font>
      <b/>
      <sz val="12"/>
      <color rgb="FF89D00F"/>
      <name val="Arial"/>
      <family val="2"/>
    </font>
    <font>
      <b/>
      <sz val="12"/>
      <color rgb="FF89D010"/>
      <name val="Arial"/>
      <family val="2"/>
    </font>
    <font>
      <i/>
      <sz val="10"/>
      <color rgb="FF000000"/>
      <name val="Arial"/>
      <family val="2"/>
    </font>
    <font>
      <i/>
      <sz val="8"/>
      <color rgb="FF000000"/>
      <name val="Arial"/>
      <family val="2"/>
    </font>
    <font>
      <i/>
      <sz val="9"/>
      <color rgb="FF000000"/>
      <name val="Arial"/>
      <family val="2"/>
    </font>
    <font>
      <b/>
      <sz val="12"/>
      <color rgb="FF833C0B"/>
      <name val="Arial"/>
      <family val="2"/>
    </font>
    <font>
      <sz val="12"/>
      <color rgb="FF98D50E"/>
      <name val="Arial"/>
      <family val="2"/>
    </font>
    <font>
      <b/>
      <sz val="12"/>
      <color rgb="FF98D50E"/>
      <name val="Arial"/>
      <family val="2"/>
    </font>
    <font>
      <b/>
      <sz val="12"/>
      <color rgb="FF25B2FC"/>
      <name val="Arial"/>
      <family val="2"/>
    </font>
    <font>
      <sz val="12"/>
      <color rgb="FF25B2FC"/>
      <name val="Arial"/>
      <family val="2"/>
    </font>
    <font>
      <b/>
      <sz val="14"/>
      <color rgb="FF25B2FC"/>
      <name val="Arial"/>
      <family val="2"/>
    </font>
    <font>
      <i/>
      <u/>
      <sz val="11"/>
      <color rgb="FF25B2FC"/>
      <name val="Arial"/>
      <family val="2"/>
    </font>
    <font>
      <b/>
      <sz val="16"/>
      <color rgb="FF0B2C44"/>
      <name val="Arial"/>
      <family val="2"/>
    </font>
    <font>
      <b/>
      <sz val="14"/>
      <color rgb="FF0B2C44"/>
      <name val="Arial"/>
      <family val="2"/>
    </font>
    <font>
      <b/>
      <sz val="12"/>
      <color rgb="FF5F5F5F"/>
      <name val="Arial"/>
      <family val="2"/>
    </font>
    <font>
      <sz val="12"/>
      <color rgb="FF5F5F5F"/>
      <name val="Arial"/>
      <family val="2"/>
    </font>
    <font>
      <i/>
      <sz val="10"/>
      <color rgb="FF5F5F5F"/>
      <name val="Arial"/>
      <family val="2"/>
    </font>
    <font>
      <sz val="11"/>
      <color theme="1" tint="0.34998626667073579"/>
      <name val="Arial"/>
      <family val="2"/>
    </font>
    <font>
      <i/>
      <sz val="11"/>
      <color rgb="FF000000"/>
      <name val="Arial"/>
      <family val="2"/>
    </font>
    <font>
      <sz val="11"/>
      <name val="Arial"/>
      <family val="2"/>
    </font>
    <font>
      <b/>
      <sz val="11"/>
      <color rgb="FF5F5F5F"/>
      <name val="Arial"/>
      <family val="2"/>
    </font>
    <font>
      <sz val="11"/>
      <color rgb="FF5F5F5F"/>
      <name val="Arial"/>
      <family val="2"/>
    </font>
    <font>
      <sz val="12"/>
      <color rgb="FF5F5F5F"/>
      <name val="Calibri"/>
      <family val="2"/>
    </font>
    <font>
      <i/>
      <sz val="12"/>
      <color rgb="FF5F5F5F"/>
      <name val="Arial"/>
      <family val="2"/>
    </font>
    <font>
      <b/>
      <i/>
      <sz val="12"/>
      <color rgb="FF5F5F5F"/>
      <name val="Arial"/>
      <family val="2"/>
    </font>
    <font>
      <b/>
      <sz val="10"/>
      <name val="Arial"/>
      <family val="2"/>
    </font>
    <font>
      <b/>
      <sz val="11"/>
      <color theme="1"/>
      <name val="Arial"/>
      <family val="2"/>
    </font>
    <font>
      <b/>
      <sz val="11"/>
      <color rgb="FF006100"/>
      <name val="Arial"/>
      <family val="2"/>
    </font>
    <font>
      <i/>
      <u/>
      <sz val="11"/>
      <color rgb="FF5F5F5F"/>
      <name val="Arial"/>
      <family val="2"/>
    </font>
    <font>
      <b/>
      <sz val="16"/>
      <color rgb="FF5F5F5F"/>
      <name val="Arial"/>
      <family val="2"/>
    </font>
    <font>
      <sz val="18"/>
      <color rgb="FF5F5F5F"/>
      <name val="Open Sans"/>
      <family val="2"/>
    </font>
    <font>
      <b/>
      <sz val="12"/>
      <color rgb="FF5F5F5F"/>
      <name val="Calibri"/>
      <family val="2"/>
    </font>
    <font>
      <u/>
      <sz val="12"/>
      <color rgb="FF5F5F5F"/>
      <name val="Open Sans"/>
      <family val="2"/>
    </font>
    <font>
      <i/>
      <sz val="12"/>
      <color rgb="FF5F5F5F"/>
      <name val="Calibri"/>
      <family val="2"/>
    </font>
    <font>
      <i/>
      <sz val="11"/>
      <color rgb="FF5F5F5F"/>
      <name val="Arial"/>
      <family val="2"/>
    </font>
    <font>
      <sz val="18"/>
      <color rgb="FF98D50E"/>
      <name val="Arial"/>
      <family val="2"/>
    </font>
    <font>
      <sz val="12"/>
      <color rgb="FF006100"/>
      <name val="Arial"/>
      <family val="2"/>
    </font>
    <font>
      <b/>
      <u/>
      <sz val="12"/>
      <color rgb="FF5F5F5F"/>
      <name val="Arial"/>
      <family val="2"/>
    </font>
    <font>
      <b/>
      <sz val="14"/>
      <color rgb="FF5F5F5F"/>
      <name val="Arial"/>
      <family val="2"/>
    </font>
    <font>
      <i/>
      <sz val="12"/>
      <color theme="1" tint="0.34998626667073579"/>
      <name val="Calibri"/>
      <family val="2"/>
    </font>
    <font>
      <b/>
      <sz val="11"/>
      <color rgb="FF5F5F5F"/>
      <name val="Calibri"/>
      <family val="2"/>
    </font>
    <font>
      <sz val="6"/>
      <color rgb="FF5F5F5F"/>
      <name val="Arial"/>
      <family val="2"/>
    </font>
    <font>
      <sz val="11"/>
      <color rgb="FF0B2C44"/>
      <name val="Arial"/>
      <family val="2"/>
    </font>
    <font>
      <sz val="12"/>
      <color rgb="FF0B2C44"/>
      <name val="Calibri"/>
      <family val="2"/>
    </font>
    <font>
      <i/>
      <sz val="10"/>
      <color rgb="FF0B2C44"/>
      <name val="Arial"/>
      <family val="2"/>
    </font>
  </fonts>
  <fills count="9">
    <fill>
      <patternFill patternType="none"/>
    </fill>
    <fill>
      <patternFill patternType="gray125"/>
    </fill>
    <fill>
      <patternFill patternType="solid">
        <fgColor rgb="FFFFFFFF"/>
        <bgColor rgb="FFFFFFFF"/>
      </patternFill>
    </fill>
    <fill>
      <patternFill patternType="solid">
        <fgColor theme="0"/>
        <bgColor rgb="FF000000"/>
      </patternFill>
    </fill>
    <fill>
      <patternFill patternType="solid">
        <fgColor theme="0"/>
        <bgColor indexed="64"/>
      </patternFill>
    </fill>
    <fill>
      <patternFill patternType="solid">
        <fgColor rgb="FFFFFFFF"/>
        <bgColor rgb="FF000000"/>
      </patternFill>
    </fill>
    <fill>
      <patternFill patternType="solid">
        <fgColor rgb="FFFFCC99"/>
      </patternFill>
    </fill>
    <fill>
      <patternFill patternType="solid">
        <fgColor rgb="FFCBFFF0"/>
        <bgColor rgb="FFC6EFCE"/>
      </patternFill>
    </fill>
    <fill>
      <patternFill patternType="solid">
        <fgColor rgb="FFF0F1F6"/>
        <bgColor rgb="FFC6EFCE"/>
      </patternFill>
    </fill>
  </fills>
  <borders count="114">
    <border>
      <left/>
      <right/>
      <top/>
      <bottom/>
      <diagonal/>
    </border>
    <border>
      <left/>
      <right/>
      <top/>
      <bottom style="thin">
        <color rgb="FF000000"/>
      </bottom>
      <diagonal/>
    </border>
    <border>
      <left style="thin">
        <color auto="1"/>
      </left>
      <right/>
      <top/>
      <bottom/>
      <diagonal/>
    </border>
    <border>
      <left/>
      <right style="thin">
        <color auto="1"/>
      </right>
      <top/>
      <bottom/>
      <diagonal/>
    </border>
    <border>
      <left/>
      <right/>
      <top style="thin">
        <color auto="1"/>
      </top>
      <bottom/>
      <diagonal/>
    </border>
    <border>
      <left/>
      <right/>
      <top/>
      <bottom style="thin">
        <color auto="1"/>
      </bottom>
      <diagonal/>
    </border>
    <border>
      <left/>
      <right style="hair">
        <color auto="1"/>
      </right>
      <top/>
      <bottom style="thin">
        <color auto="1"/>
      </bottom>
      <diagonal/>
    </border>
    <border>
      <left style="hair">
        <color auto="1"/>
      </left>
      <right style="hair">
        <color auto="1"/>
      </right>
      <top/>
      <bottom style="thin">
        <color auto="1"/>
      </bottom>
      <diagonal/>
    </border>
    <border>
      <left style="hair">
        <color auto="1"/>
      </left>
      <right style="hair">
        <color auto="1"/>
      </right>
      <top/>
      <bottom style="hair">
        <color auto="1"/>
      </bottom>
      <diagonal/>
    </border>
    <border>
      <left style="hair">
        <color auto="1"/>
      </left>
      <right/>
      <top/>
      <bottom/>
      <diagonal/>
    </border>
    <border>
      <left/>
      <right/>
      <top style="double">
        <color theme="0" tint="-0.249977111117893"/>
      </top>
      <bottom/>
      <diagonal/>
    </border>
    <border>
      <left style="thin">
        <color rgb="FF7F7F7F"/>
      </left>
      <right style="thin">
        <color rgb="FF7F7F7F"/>
      </right>
      <top style="thin">
        <color rgb="FF7F7F7F"/>
      </top>
      <bottom style="thin">
        <color rgb="FF7F7F7F"/>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bottom style="thin">
        <color theme="0" tint="-0.14999847407452621"/>
      </bottom>
      <diagonal/>
    </border>
    <border>
      <left/>
      <right style="thin">
        <color theme="0" tint="-0.14999847407452621"/>
      </right>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top style="thin">
        <color theme="0" tint="-0.14999847407452621"/>
      </top>
      <bottom/>
      <diagonal/>
    </border>
    <border>
      <left style="thin">
        <color theme="0" tint="-0.14996795556505021"/>
      </left>
      <right/>
      <top/>
      <bottom/>
      <diagonal/>
    </border>
    <border>
      <left/>
      <right style="thin">
        <color theme="0" tint="-0.14996795556505021"/>
      </right>
      <top/>
      <bottom/>
      <diagonal/>
    </border>
    <border>
      <left/>
      <right style="thin">
        <color theme="0" tint="-0.14996795556505021"/>
      </right>
      <top style="thin">
        <color auto="1"/>
      </top>
      <bottom/>
      <diagonal/>
    </border>
    <border>
      <left/>
      <right style="thin">
        <color theme="0" tint="-0.14996795556505021"/>
      </right>
      <top/>
      <bottom style="thin">
        <color auto="1"/>
      </bottom>
      <diagonal/>
    </border>
    <border>
      <left style="thin">
        <color theme="0" tint="-0.14996795556505021"/>
      </left>
      <right/>
      <top style="thin">
        <color auto="1"/>
      </top>
      <bottom/>
      <diagonal/>
    </border>
    <border>
      <left style="thin">
        <color theme="0" tint="-0.14996795556505021"/>
      </left>
      <right/>
      <top/>
      <bottom style="thin">
        <color auto="1"/>
      </bottom>
      <diagonal/>
    </border>
    <border>
      <left/>
      <right style="hair">
        <color theme="0" tint="-0.14996795556505021"/>
      </right>
      <top style="thin">
        <color theme="0" tint="-0.14999847407452621"/>
      </top>
      <bottom style="thin">
        <color theme="0" tint="-0.14999847407452621"/>
      </bottom>
      <diagonal/>
    </border>
    <border>
      <left style="hair">
        <color theme="0" tint="-0.14996795556505021"/>
      </left>
      <right style="hair">
        <color theme="0" tint="-0.14996795556505021"/>
      </right>
      <top style="thin">
        <color theme="0" tint="-0.14999847407452621"/>
      </top>
      <bottom style="thin">
        <color theme="0" tint="-0.14999847407452621"/>
      </bottom>
      <diagonal/>
    </border>
    <border>
      <left style="hair">
        <color theme="0" tint="-0.14996795556505021"/>
      </left>
      <right style="thin">
        <color theme="0" tint="-0.14999847407452621"/>
      </right>
      <top style="thin">
        <color theme="0" tint="-0.14999847407452621"/>
      </top>
      <bottom style="thin">
        <color theme="0" tint="-0.14999847407452621"/>
      </bottom>
      <diagonal/>
    </border>
    <border>
      <left/>
      <right style="hair">
        <color theme="0" tint="-0.14996795556505021"/>
      </right>
      <top/>
      <bottom/>
      <diagonal/>
    </border>
    <border>
      <left style="hair">
        <color theme="0" tint="-0.14996795556505021"/>
      </left>
      <right style="hair">
        <color theme="0" tint="-0.14996795556505021"/>
      </right>
      <top/>
      <bottom/>
      <diagonal/>
    </border>
    <border>
      <left style="hair">
        <color theme="0" tint="-0.14996795556505021"/>
      </left>
      <right style="thin">
        <color theme="0" tint="-0.14996795556505021"/>
      </right>
      <top/>
      <bottom/>
      <diagonal/>
    </border>
    <border>
      <left/>
      <right style="hair">
        <color theme="0" tint="-0.14996795556505021"/>
      </right>
      <top style="thin">
        <color auto="1"/>
      </top>
      <bottom/>
      <diagonal/>
    </border>
    <border>
      <left style="hair">
        <color theme="0" tint="-0.14996795556505021"/>
      </left>
      <right style="hair">
        <color theme="0" tint="-0.14996795556505021"/>
      </right>
      <top style="thin">
        <color auto="1"/>
      </top>
      <bottom/>
      <diagonal/>
    </border>
    <border>
      <left/>
      <right style="hair">
        <color theme="0" tint="-0.14996795556505021"/>
      </right>
      <top/>
      <bottom style="thin">
        <color auto="1"/>
      </bottom>
      <diagonal/>
    </border>
    <border>
      <left style="hair">
        <color theme="0" tint="-0.14996795556505021"/>
      </left>
      <right style="hair">
        <color theme="0" tint="-0.14996795556505021"/>
      </right>
      <top/>
      <bottom style="thin">
        <color auto="1"/>
      </bottom>
      <diagonal/>
    </border>
    <border>
      <left style="hair">
        <color theme="0" tint="-0.14996795556505021"/>
      </left>
      <right style="thin">
        <color theme="0" tint="-0.14996795556505021"/>
      </right>
      <top/>
      <bottom style="thin">
        <color auto="1"/>
      </bottom>
      <diagonal/>
    </border>
    <border>
      <left style="hair">
        <color theme="0" tint="-0.14996795556505021"/>
      </left>
      <right style="hair">
        <color auto="1"/>
      </right>
      <top/>
      <bottom/>
      <diagonal/>
    </border>
    <border>
      <left style="hair">
        <color theme="0" tint="-0.14996795556505021"/>
      </left>
      <right/>
      <top/>
      <bottom/>
      <diagonal/>
    </border>
    <border>
      <left/>
      <right/>
      <top style="thin">
        <color theme="0" tint="-0.14999847407452621"/>
      </top>
      <bottom/>
      <diagonal/>
    </border>
    <border>
      <left/>
      <right style="hair">
        <color theme="0" tint="-0.14996795556505021"/>
      </right>
      <top style="thin">
        <color theme="0" tint="-0.14999847407452621"/>
      </top>
      <bottom/>
      <diagonal/>
    </border>
    <border>
      <left style="hair">
        <color theme="0" tint="-0.14996795556505021"/>
      </left>
      <right style="hair">
        <color theme="0" tint="-0.14996795556505021"/>
      </right>
      <top style="thin">
        <color theme="0" tint="-0.14999847407452621"/>
      </top>
      <bottom/>
      <diagonal/>
    </border>
    <border>
      <left style="hair">
        <color theme="0" tint="-0.14996795556505021"/>
      </left>
      <right style="thin">
        <color theme="0" tint="-0.14999847407452621"/>
      </right>
      <top style="thin">
        <color theme="0" tint="-0.14999847407452621"/>
      </top>
      <bottom/>
      <diagonal/>
    </border>
    <border>
      <left style="thin">
        <color theme="0" tint="-0.14999847407452621"/>
      </left>
      <right/>
      <top/>
      <bottom/>
      <diagonal/>
    </border>
    <border>
      <left style="hair">
        <color theme="0" tint="-0.14996795556505021"/>
      </left>
      <right style="thin">
        <color theme="0" tint="-0.14999847407452621"/>
      </right>
      <top/>
      <bottom/>
      <diagonal/>
    </border>
    <border>
      <left/>
      <right/>
      <top/>
      <bottom style="thin">
        <color theme="0" tint="-0.14999847407452621"/>
      </bottom>
      <diagonal/>
    </border>
    <border>
      <left/>
      <right style="hair">
        <color theme="0" tint="-0.14996795556505021"/>
      </right>
      <top/>
      <bottom style="thin">
        <color theme="0" tint="-0.14999847407452621"/>
      </bottom>
      <diagonal/>
    </border>
    <border>
      <left style="hair">
        <color theme="0" tint="-0.14996795556505021"/>
      </left>
      <right style="hair">
        <color theme="0" tint="-0.14996795556505021"/>
      </right>
      <top/>
      <bottom style="thin">
        <color theme="0" tint="-0.14999847407452621"/>
      </bottom>
      <diagonal/>
    </border>
    <border>
      <left style="hair">
        <color theme="0" tint="-0.14996795556505021"/>
      </left>
      <right style="thin">
        <color theme="0" tint="-0.14999847407452621"/>
      </right>
      <top/>
      <bottom style="thin">
        <color theme="0" tint="-0.14999847407452621"/>
      </bottom>
      <diagonal/>
    </border>
    <border>
      <left style="thin">
        <color theme="0" tint="-0.14996795556505021"/>
      </left>
      <right/>
      <top style="double">
        <color theme="0" tint="-0.14993743705557422"/>
      </top>
      <bottom style="thin">
        <color theme="0" tint="-0.14993743705557422"/>
      </bottom>
      <diagonal/>
    </border>
    <border>
      <left/>
      <right/>
      <top style="double">
        <color theme="0" tint="-0.14993743705557422"/>
      </top>
      <bottom style="thin">
        <color theme="0" tint="-0.14993743705557422"/>
      </bottom>
      <diagonal/>
    </border>
    <border>
      <left/>
      <right style="hair">
        <color theme="0" tint="-0.14996795556505021"/>
      </right>
      <top style="double">
        <color theme="0" tint="-0.14993743705557422"/>
      </top>
      <bottom style="thin">
        <color theme="0" tint="-0.14993743705557422"/>
      </bottom>
      <diagonal/>
    </border>
    <border>
      <left style="hair">
        <color theme="0" tint="-0.14996795556505021"/>
      </left>
      <right style="hair">
        <color theme="0" tint="-0.14996795556505021"/>
      </right>
      <top style="double">
        <color theme="0" tint="-0.14993743705557422"/>
      </top>
      <bottom style="thin">
        <color theme="0" tint="-0.14993743705557422"/>
      </bottom>
      <diagonal/>
    </border>
    <border>
      <left style="hair">
        <color theme="0" tint="-0.14996795556505021"/>
      </left>
      <right style="thin">
        <color theme="0" tint="-0.14996795556505021"/>
      </right>
      <top style="double">
        <color theme="0" tint="-0.14993743705557422"/>
      </top>
      <bottom style="thin">
        <color theme="0" tint="-0.14993743705557422"/>
      </bottom>
      <diagonal/>
    </border>
    <border>
      <left style="thin">
        <color theme="0" tint="-0.14996795556505021"/>
      </left>
      <right/>
      <top style="thin">
        <color theme="0" tint="-0.14999847407452621"/>
      </top>
      <bottom/>
      <diagonal/>
    </border>
    <border>
      <left style="hair">
        <color theme="0" tint="-0.14996795556505021"/>
      </left>
      <right style="thin">
        <color theme="0" tint="-0.14996795556505021"/>
      </right>
      <top style="thin">
        <color theme="0" tint="-0.14999847407452621"/>
      </top>
      <bottom/>
      <diagonal/>
    </border>
    <border>
      <left style="thin">
        <color theme="0" tint="-0.14999847407452621"/>
      </left>
      <right/>
      <top/>
      <bottom style="thin">
        <color auto="1"/>
      </bottom>
      <diagonal/>
    </border>
    <border>
      <left style="hair">
        <color theme="0" tint="-0.14996795556505021"/>
      </left>
      <right style="thin">
        <color theme="0" tint="-0.14999847407452621"/>
      </right>
      <top/>
      <bottom style="thin">
        <color auto="1"/>
      </bottom>
      <diagonal/>
    </border>
    <border>
      <left style="thin">
        <color theme="0" tint="-0.14999847407452621"/>
      </left>
      <right/>
      <top style="double">
        <color theme="0" tint="-0.14996795556505021"/>
      </top>
      <bottom style="thin">
        <color theme="0" tint="-0.14996795556505021"/>
      </bottom>
      <diagonal/>
    </border>
    <border>
      <left/>
      <right/>
      <top style="double">
        <color theme="0" tint="-0.14996795556505021"/>
      </top>
      <bottom style="thin">
        <color theme="0" tint="-0.14996795556505021"/>
      </bottom>
      <diagonal/>
    </border>
    <border>
      <left/>
      <right style="hair">
        <color theme="0" tint="-0.14996795556505021"/>
      </right>
      <top style="double">
        <color theme="0" tint="-0.14996795556505021"/>
      </top>
      <bottom style="thin">
        <color theme="0" tint="-0.14996795556505021"/>
      </bottom>
      <diagonal/>
    </border>
    <border>
      <left style="hair">
        <color theme="0" tint="-0.14996795556505021"/>
      </left>
      <right style="hair">
        <color theme="0" tint="-0.14996795556505021"/>
      </right>
      <top style="double">
        <color theme="0" tint="-0.14996795556505021"/>
      </top>
      <bottom style="thin">
        <color theme="0" tint="-0.14996795556505021"/>
      </bottom>
      <diagonal/>
    </border>
    <border>
      <left style="hair">
        <color theme="0" tint="-0.14996795556505021"/>
      </left>
      <right style="thin">
        <color theme="0" tint="-0.14999847407452621"/>
      </right>
      <top style="double">
        <color theme="0" tint="-0.14996795556505021"/>
      </top>
      <bottom style="thin">
        <color theme="0" tint="-0.14996795556505021"/>
      </bottom>
      <diagonal/>
    </border>
    <border>
      <left style="hair">
        <color theme="0" tint="-0.14996795556505021"/>
      </left>
      <right style="thin">
        <color theme="0" tint="-0.14996795556505021"/>
      </right>
      <top/>
      <bottom style="thin">
        <color theme="0" tint="-0.14999847407452621"/>
      </bottom>
      <diagonal/>
    </border>
    <border>
      <left/>
      <right/>
      <top style="thin">
        <color theme="0" tint="-0.14993743705557422"/>
      </top>
      <bottom/>
      <diagonal/>
    </border>
    <border>
      <left/>
      <right style="hair">
        <color theme="0" tint="-0.14996795556505021"/>
      </right>
      <top style="thin">
        <color theme="0" tint="-0.14993743705557422"/>
      </top>
      <bottom/>
      <diagonal/>
    </border>
    <border>
      <left style="thin">
        <color theme="0" tint="-0.14996795556505021"/>
      </left>
      <right/>
      <top style="double">
        <color theme="0" tint="-0.14993743705557422"/>
      </top>
      <bottom style="thin">
        <color theme="0" tint="-0.14999847407452621"/>
      </bottom>
      <diagonal/>
    </border>
    <border>
      <left/>
      <right/>
      <top style="double">
        <color theme="0" tint="-0.14993743705557422"/>
      </top>
      <bottom style="thin">
        <color theme="0" tint="-0.14999847407452621"/>
      </bottom>
      <diagonal/>
    </border>
    <border>
      <left/>
      <right style="hair">
        <color theme="0" tint="-0.14996795556505021"/>
      </right>
      <top style="double">
        <color theme="0" tint="-0.14993743705557422"/>
      </top>
      <bottom style="thin">
        <color theme="0" tint="-0.14999847407452621"/>
      </bottom>
      <diagonal/>
    </border>
    <border>
      <left style="hair">
        <color theme="0" tint="-0.14996795556505021"/>
      </left>
      <right style="hair">
        <color theme="0" tint="-0.14996795556505021"/>
      </right>
      <top style="double">
        <color theme="0" tint="-0.14993743705557422"/>
      </top>
      <bottom style="thin">
        <color theme="0" tint="-0.14999847407452621"/>
      </bottom>
      <diagonal/>
    </border>
    <border>
      <left style="hair">
        <color theme="0" tint="-0.14996795556505021"/>
      </left>
      <right style="thin">
        <color theme="0" tint="-0.14996795556505021"/>
      </right>
      <top style="double">
        <color theme="0" tint="-0.14993743705557422"/>
      </top>
      <bottom style="thin">
        <color theme="0" tint="-0.14999847407452621"/>
      </bottom>
      <diagonal/>
    </border>
    <border>
      <left/>
      <right style="thin">
        <color theme="0" tint="-0.14999847407452621"/>
      </right>
      <top/>
      <bottom/>
      <diagonal/>
    </border>
    <border>
      <left style="thin">
        <color theme="0" tint="-0.14999847407452621"/>
      </left>
      <right/>
      <top style="double">
        <color theme="0" tint="-0.14993743705557422"/>
      </top>
      <bottom style="thin">
        <color theme="0" tint="-0.14999847407452621"/>
      </bottom>
      <diagonal/>
    </border>
    <border>
      <left style="hair">
        <color theme="0" tint="-0.14996795556505021"/>
      </left>
      <right style="thin">
        <color theme="0" tint="-0.14999847407452621"/>
      </right>
      <top style="double">
        <color theme="0" tint="-0.14993743705557422"/>
      </top>
      <bottom style="thin">
        <color theme="0" tint="-0.14999847407452621"/>
      </bottom>
      <diagonal/>
    </border>
    <border>
      <left style="hair">
        <color theme="0" tint="-0.14996795556505021"/>
      </left>
      <right style="thin">
        <color theme="0" tint="-0.14999847407452621"/>
      </right>
      <top style="thin">
        <color auto="1"/>
      </top>
      <bottom/>
      <diagonal/>
    </border>
    <border>
      <left style="thin">
        <color theme="0" tint="-0.14996795556505021"/>
      </left>
      <right/>
      <top style="thin">
        <color theme="0" tint="-0.14996795556505021"/>
      </top>
      <bottom style="thin">
        <color theme="0" tint="-0.14999847407452621"/>
      </bottom>
      <diagonal/>
    </border>
    <border>
      <left/>
      <right/>
      <top style="thin">
        <color theme="0" tint="-0.14996795556505021"/>
      </top>
      <bottom style="thin">
        <color theme="0" tint="-0.14999847407452621"/>
      </bottom>
      <diagonal/>
    </border>
    <border>
      <left style="thin">
        <color theme="0" tint="-0.14996795556505021"/>
      </left>
      <right/>
      <top/>
      <bottom style="thin">
        <color theme="0" tint="-0.14996795556505021"/>
      </bottom>
      <diagonal/>
    </border>
    <border>
      <left/>
      <right/>
      <top/>
      <bottom style="thin">
        <color theme="0" tint="-0.14996795556505021"/>
      </bottom>
      <diagonal/>
    </border>
    <border>
      <left/>
      <right style="thin">
        <color theme="0" tint="-0.14996795556505021"/>
      </right>
      <top style="thin">
        <color theme="0" tint="-0.14996795556505021"/>
      </top>
      <bottom style="thin">
        <color theme="0" tint="-0.14996795556505021"/>
      </bottom>
      <diagonal/>
    </border>
    <border>
      <left style="hair">
        <color theme="0" tint="-0.14993743705557422"/>
      </left>
      <right style="hair">
        <color theme="0" tint="-0.14993743705557422"/>
      </right>
      <top/>
      <bottom/>
      <diagonal/>
    </border>
    <border>
      <left style="hair">
        <color theme="0" tint="-0.14993743705557422"/>
      </left>
      <right style="thin">
        <color theme="0" tint="-0.14996795556505021"/>
      </right>
      <top/>
      <bottom/>
      <diagonal/>
    </border>
    <border>
      <left/>
      <right style="hair">
        <color theme="0" tint="-0.14993743705557422"/>
      </right>
      <top/>
      <bottom/>
      <diagonal/>
    </border>
    <border>
      <left/>
      <right style="hair">
        <color theme="0" tint="-0.14993743705557422"/>
      </right>
      <top/>
      <bottom style="thin">
        <color theme="0" tint="-0.14996795556505021"/>
      </bottom>
      <diagonal/>
    </border>
    <border>
      <left style="hair">
        <color theme="0" tint="-0.14993743705557422"/>
      </left>
      <right style="hair">
        <color theme="0" tint="-0.14993743705557422"/>
      </right>
      <top/>
      <bottom style="thin">
        <color theme="0" tint="-0.14996795556505021"/>
      </bottom>
      <diagonal/>
    </border>
    <border>
      <left style="hair">
        <color theme="0" tint="-0.14993743705557422"/>
      </left>
      <right style="thin">
        <color theme="0" tint="-0.14996795556505021"/>
      </right>
      <top/>
      <bottom style="thin">
        <color theme="0" tint="-0.14996795556505021"/>
      </bottom>
      <diagonal/>
    </border>
    <border>
      <left/>
      <right style="hair">
        <color theme="0" tint="-0.14993743705557422"/>
      </right>
      <top style="thin">
        <color theme="0" tint="-0.14999847407452621"/>
      </top>
      <bottom/>
      <diagonal/>
    </border>
    <border>
      <left/>
      <right style="thin">
        <color theme="0" tint="-0.14996795556505021"/>
      </right>
      <top style="thin">
        <color theme="0" tint="-0.14999847407452621"/>
      </top>
      <bottom/>
      <diagonal/>
    </border>
    <border>
      <left/>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right style="thin">
        <color theme="0" tint="-0.14996795556505021"/>
      </right>
      <top/>
      <bottom style="thin">
        <color theme="0" tint="-0.14999847407452621"/>
      </bottom>
      <diagonal/>
    </border>
    <border>
      <left style="thin">
        <color theme="0" tint="-0.14996795556505021"/>
      </left>
      <right/>
      <top/>
      <bottom style="thin">
        <color theme="0" tint="-0.14999847407452621"/>
      </bottom>
      <diagonal/>
    </border>
    <border>
      <left style="hair">
        <color auto="1"/>
      </left>
      <right style="thin">
        <color theme="0" tint="-0.14999847407452621"/>
      </right>
      <top/>
      <bottom style="thin">
        <color auto="1"/>
      </bottom>
      <diagonal/>
    </border>
    <border>
      <left style="thin">
        <color theme="0" tint="-0.14999847407452621"/>
      </left>
      <right style="hair">
        <color auto="1"/>
      </right>
      <top/>
      <bottom style="thin">
        <color auto="1"/>
      </bottom>
      <diagonal/>
    </border>
    <border>
      <left/>
      <right/>
      <top/>
      <bottom style="hair">
        <color auto="1"/>
      </bottom>
      <diagonal/>
    </border>
    <border>
      <left style="thin">
        <color theme="0" tint="-0.14999847407452621"/>
      </left>
      <right style="hair">
        <color theme="0" tint="-0.14996795556505021"/>
      </right>
      <top style="thin">
        <color theme="0" tint="-0.14999847407452621"/>
      </top>
      <bottom style="thin">
        <color theme="0" tint="-0.14999847407452621"/>
      </bottom>
      <diagonal/>
    </border>
    <border>
      <left style="thin">
        <color rgb="FF000000"/>
      </left>
      <right style="hair">
        <color theme="0" tint="-0.14996795556505021"/>
      </right>
      <top style="thin">
        <color theme="0" tint="-0.14999847407452621"/>
      </top>
      <bottom/>
      <diagonal/>
    </border>
    <border>
      <left/>
      <right style="hair">
        <color theme="0" tint="-0.14996795556505021"/>
      </right>
      <top/>
      <bottom style="thin">
        <color rgb="FF000000"/>
      </bottom>
      <diagonal/>
    </border>
    <border>
      <left style="hair">
        <color theme="0" tint="-0.14996795556505021"/>
      </left>
      <right style="hair">
        <color theme="0" tint="-0.14996795556505021"/>
      </right>
      <top/>
      <bottom style="thin">
        <color rgb="FF000000"/>
      </bottom>
      <diagonal/>
    </border>
    <border>
      <left/>
      <right style="hair">
        <color theme="0" tint="-0.14996795556505021"/>
      </right>
      <top style="double">
        <color theme="0" tint="-0.249977111117893"/>
      </top>
      <bottom/>
      <diagonal/>
    </border>
    <border>
      <left style="hair">
        <color theme="0" tint="-0.14996795556505021"/>
      </left>
      <right style="hair">
        <color theme="0" tint="-0.14996795556505021"/>
      </right>
      <top style="double">
        <color theme="0" tint="-0.249977111117893"/>
      </top>
      <bottom/>
      <diagonal/>
    </border>
    <border>
      <left style="thin">
        <color theme="0" tint="-0.14999847407452621"/>
      </left>
      <right/>
      <top/>
      <bottom style="thin">
        <color rgb="FF000000"/>
      </bottom>
      <diagonal/>
    </border>
    <border>
      <left style="thin">
        <color theme="0" tint="-0.14999847407452621"/>
      </left>
      <right/>
      <top style="double">
        <color theme="0" tint="-0.14996795556505021"/>
      </top>
      <bottom/>
      <diagonal/>
    </border>
    <border>
      <left/>
      <right/>
      <top style="double">
        <color theme="0" tint="-0.14996795556505021"/>
      </top>
      <bottom/>
      <diagonal/>
    </border>
    <border>
      <left/>
      <right style="hair">
        <color theme="0" tint="-0.14996795556505021"/>
      </right>
      <top style="double">
        <color theme="0" tint="-0.14996795556505021"/>
      </top>
      <bottom/>
      <diagonal/>
    </border>
    <border>
      <left style="hair">
        <color theme="0" tint="-0.14996795556505021"/>
      </left>
      <right style="hair">
        <color theme="0" tint="-0.14996795556505021"/>
      </right>
      <top style="double">
        <color theme="0" tint="-0.14996795556505021"/>
      </top>
      <bottom/>
      <diagonal/>
    </border>
    <border>
      <left style="hair">
        <color theme="0" tint="-0.14996795556505021"/>
      </left>
      <right style="thin">
        <color theme="0" tint="-0.14999847407452621"/>
      </right>
      <top style="double">
        <color theme="0" tint="-0.14996795556505021"/>
      </top>
      <bottom/>
      <diagonal/>
    </border>
    <border>
      <left style="thin">
        <color rgb="FF000000"/>
      </left>
      <right style="hair">
        <color theme="0" tint="-0.14996795556505021"/>
      </right>
      <top style="thin">
        <color theme="0" tint="-0.14999847407452621"/>
      </top>
      <bottom style="double">
        <color theme="0" tint="-0.14996795556505021"/>
      </bottom>
      <diagonal/>
    </border>
    <border>
      <left style="hair">
        <color theme="0" tint="-0.14996795556505021"/>
      </left>
      <right style="hair">
        <color theme="0" tint="-0.14996795556505021"/>
      </right>
      <top style="thin">
        <color theme="0" tint="-0.14999847407452621"/>
      </top>
      <bottom style="double">
        <color theme="0" tint="-0.14996795556505021"/>
      </bottom>
      <diagonal/>
    </border>
    <border>
      <left style="thin">
        <color theme="0" tint="-0.14999847407452621"/>
      </left>
      <right/>
      <top/>
      <bottom style="double">
        <color auto="1"/>
      </bottom>
      <diagonal/>
    </border>
    <border>
      <left style="hair">
        <color theme="0" tint="-0.14996795556505021"/>
      </left>
      <right style="thin">
        <color theme="0" tint="-0.14999847407452621"/>
      </right>
      <top style="double">
        <color theme="0" tint="-0.249977111117893"/>
      </top>
      <bottom/>
      <diagonal/>
    </border>
    <border>
      <left style="thin">
        <color theme="0" tint="-0.14999847407452621"/>
      </left>
      <right/>
      <top style="double">
        <color theme="0" tint="-0.14996795556505021"/>
      </top>
      <bottom style="thin">
        <color theme="0" tint="-0.14999847407452621"/>
      </bottom>
      <diagonal/>
    </border>
  </borders>
  <cellStyleXfs count="2569">
    <xf numFmtId="177" fontId="0" fillId="0" borderId="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177" fontId="16" fillId="0" borderId="0" applyNumberFormat="0" applyFill="0" applyBorder="0" applyAlignment="0" applyProtection="0"/>
    <xf numFmtId="177" fontId="17" fillId="0" borderId="0" applyNumberFormat="0" applyFill="0" applyBorder="0" applyAlignment="0" applyProtection="0"/>
    <xf numFmtId="0" fontId="23"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0" fontId="26" fillId="0" borderId="0" applyFill="0" applyBorder="0" applyProtection="0">
      <protection locked="0"/>
    </xf>
    <xf numFmtId="0" fontId="1" fillId="0" borderId="0"/>
    <xf numFmtId="9" fontId="14" fillId="0" borderId="0" applyFon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9" fontId="29" fillId="0" borderId="0" applyFont="0" applyFill="0" applyBorder="0" applyAlignment="0" applyProtection="0"/>
    <xf numFmtId="0" fontId="30" fillId="6" borderId="11" applyNumberFormat="0" applyFont="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67" fontId="14" fillId="0" borderId="0" applyFon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xf numFmtId="177" fontId="17" fillId="0" borderId="0" applyNumberFormat="0" applyFill="0" applyBorder="0" applyAlignment="0" applyProtection="0"/>
  </cellStyleXfs>
  <cellXfs count="512">
    <xf numFmtId="177" fontId="0" fillId="0" borderId="0" xfId="0"/>
    <xf numFmtId="177" fontId="2" fillId="2" borderId="0" xfId="0" applyFont="1" applyFill="1"/>
    <xf numFmtId="177" fontId="0" fillId="0" borderId="1" xfId="0" applyBorder="1"/>
    <xf numFmtId="177" fontId="10" fillId="0" borderId="1" xfId="0" applyFont="1" applyBorder="1" applyAlignment="1">
      <alignment horizontal="center"/>
    </xf>
    <xf numFmtId="177" fontId="8" fillId="0" borderId="1" xfId="0" applyFont="1" applyBorder="1" applyAlignment="1">
      <alignment horizontal="center"/>
    </xf>
    <xf numFmtId="174" fontId="6" fillId="0" borderId="0" xfId="0" applyNumberFormat="1" applyFont="1" applyAlignment="1">
      <alignment vertical="center"/>
    </xf>
    <xf numFmtId="168" fontId="13" fillId="0" borderId="0" xfId="0" applyNumberFormat="1" applyFont="1" applyAlignment="1">
      <alignment vertical="center"/>
    </xf>
    <xf numFmtId="174" fontId="13" fillId="0" borderId="0" xfId="0" applyNumberFormat="1" applyFont="1" applyAlignment="1">
      <alignment vertical="center"/>
    </xf>
    <xf numFmtId="177" fontId="3" fillId="0" borderId="0" xfId="0" applyFont="1"/>
    <xf numFmtId="177" fontId="5" fillId="0" borderId="2" xfId="0" applyFont="1" applyBorder="1"/>
    <xf numFmtId="177" fontId="0" fillId="0" borderId="0" xfId="0" applyAlignment="1">
      <alignment horizontal="left"/>
    </xf>
    <xf numFmtId="177" fontId="8" fillId="0" borderId="0" xfId="0" applyFont="1" applyAlignment="1">
      <alignment horizontal="center"/>
    </xf>
    <xf numFmtId="10" fontId="3" fillId="0" borderId="0" xfId="0" applyNumberFormat="1" applyFont="1"/>
    <xf numFmtId="177" fontId="10" fillId="0" borderId="0" xfId="0" applyFont="1" applyAlignment="1">
      <alignment horizontal="center"/>
    </xf>
    <xf numFmtId="177" fontId="12" fillId="0" borderId="0" xfId="0" applyFont="1" applyAlignment="1">
      <alignment horizontal="center"/>
    </xf>
    <xf numFmtId="177" fontId="0" fillId="0" borderId="0" xfId="0" applyAlignment="1">
      <alignment horizontal="right"/>
    </xf>
    <xf numFmtId="10" fontId="3" fillId="0" borderId="0" xfId="0" applyNumberFormat="1" applyFont="1" applyAlignment="1">
      <alignment horizontal="right"/>
    </xf>
    <xf numFmtId="10" fontId="3" fillId="0" borderId="0" xfId="0" applyNumberFormat="1" applyFont="1" applyAlignment="1">
      <alignment horizontal="left"/>
    </xf>
    <xf numFmtId="177" fontId="3" fillId="0" borderId="0" xfId="0" applyFont="1" applyAlignment="1">
      <alignment horizontal="center"/>
    </xf>
    <xf numFmtId="168" fontId="0" fillId="0" borderId="0" xfId="0" applyNumberFormat="1"/>
    <xf numFmtId="170" fontId="3" fillId="0" borderId="0" xfId="0" applyNumberFormat="1" applyFont="1" applyAlignment="1">
      <alignment horizontal="right"/>
    </xf>
    <xf numFmtId="177" fontId="11" fillId="0" borderId="0" xfId="0" applyFont="1"/>
    <xf numFmtId="177" fontId="3" fillId="0" borderId="0" xfId="0" applyFont="1" applyAlignment="1">
      <alignment horizontal="right"/>
    </xf>
    <xf numFmtId="168" fontId="3" fillId="0" borderId="0" xfId="0" applyNumberFormat="1" applyFont="1"/>
    <xf numFmtId="177" fontId="14" fillId="0" borderId="0" xfId="0" applyFont="1"/>
    <xf numFmtId="177" fontId="19" fillId="3" borderId="0" xfId="0" applyFont="1" applyFill="1"/>
    <xf numFmtId="177" fontId="20" fillId="3" borderId="0" xfId="0" applyFont="1" applyFill="1"/>
    <xf numFmtId="177" fontId="19" fillId="4" borderId="0" xfId="0" applyFont="1" applyFill="1"/>
    <xf numFmtId="177" fontId="21" fillId="3" borderId="0" xfId="0" applyFont="1" applyFill="1"/>
    <xf numFmtId="177" fontId="22" fillId="3" borderId="0" xfId="0" applyFont="1" applyFill="1"/>
    <xf numFmtId="177" fontId="21" fillId="3" borderId="0" xfId="0" applyFont="1" applyFill="1" applyAlignment="1">
      <alignment horizontal="right"/>
    </xf>
    <xf numFmtId="177" fontId="21" fillId="5" borderId="0" xfId="0" applyFont="1" applyFill="1" applyAlignment="1">
      <alignment horizontal="right"/>
    </xf>
    <xf numFmtId="177" fontId="0" fillId="0" borderId="3" xfId="0" applyBorder="1"/>
    <xf numFmtId="177" fontId="0" fillId="0" borderId="5" xfId="0" applyBorder="1"/>
    <xf numFmtId="177" fontId="4" fillId="0" borderId="0" xfId="0" applyFont="1" applyAlignment="1">
      <alignment vertical="center"/>
    </xf>
    <xf numFmtId="177" fontId="0" fillId="0" borderId="4" xfId="0" applyBorder="1"/>
    <xf numFmtId="177" fontId="0" fillId="0" borderId="0" xfId="0" applyAlignment="1">
      <alignment vertical="center" wrapText="1"/>
    </xf>
    <xf numFmtId="168" fontId="9" fillId="0" borderId="0" xfId="0" applyNumberFormat="1" applyFont="1" applyAlignment="1">
      <alignment horizontal="right"/>
    </xf>
    <xf numFmtId="177" fontId="21" fillId="3" borderId="0" xfId="0" applyFont="1" applyFill="1" applyAlignment="1">
      <alignment horizontal="left" indent="1"/>
    </xf>
    <xf numFmtId="174" fontId="15" fillId="0" borderId="0" xfId="0" applyNumberFormat="1" applyFont="1" applyAlignment="1">
      <alignment vertical="center"/>
    </xf>
    <xf numFmtId="174" fontId="14" fillId="0" borderId="0" xfId="0" applyNumberFormat="1" applyFont="1"/>
    <xf numFmtId="177" fontId="0" fillId="0" borderId="10" xfId="0" applyBorder="1"/>
    <xf numFmtId="174" fontId="6" fillId="0" borderId="10" xfId="0" applyNumberFormat="1" applyFont="1" applyBorder="1" applyAlignment="1">
      <alignment vertical="center"/>
    </xf>
    <xf numFmtId="174" fontId="13" fillId="0" borderId="10" xfId="0" applyNumberFormat="1" applyFont="1" applyBorder="1" applyAlignment="1">
      <alignment vertical="center"/>
    </xf>
    <xf numFmtId="0" fontId="9" fillId="0" borderId="0" xfId="0" applyNumberFormat="1" applyFont="1" applyAlignment="1">
      <alignment horizontal="right"/>
    </xf>
    <xf numFmtId="177" fontId="19" fillId="3" borderId="0" xfId="0" applyFont="1" applyFill="1" applyAlignment="1">
      <alignment horizontal="left" indent="1"/>
    </xf>
    <xf numFmtId="177" fontId="2" fillId="0" borderId="0" xfId="0" applyFont="1"/>
    <xf numFmtId="0" fontId="27" fillId="5" borderId="0" xfId="765" applyFont="1" applyFill="1" applyBorder="1" applyAlignment="1"/>
    <xf numFmtId="0" fontId="27" fillId="5" borderId="0" xfId="765" applyFont="1" applyFill="1" applyBorder="1" applyAlignment="1">
      <alignment horizontal="left" indent="1"/>
    </xf>
    <xf numFmtId="177" fontId="22" fillId="0" borderId="0" xfId="0" applyFont="1"/>
    <xf numFmtId="177" fontId="3" fillId="0" borderId="0" xfId="0" applyFont="1" applyAlignment="1">
      <alignment horizontal="left"/>
    </xf>
    <xf numFmtId="177" fontId="9" fillId="0" borderId="0" xfId="0" applyFont="1" applyAlignment="1">
      <alignment horizontal="right"/>
    </xf>
    <xf numFmtId="168" fontId="3" fillId="0" borderId="0" xfId="0" applyNumberFormat="1" applyFont="1" applyAlignment="1">
      <alignment horizontal="left"/>
    </xf>
    <xf numFmtId="1" fontId="9" fillId="0" borderId="0" xfId="0" applyNumberFormat="1" applyFont="1" applyAlignment="1">
      <alignment horizontal="right"/>
    </xf>
    <xf numFmtId="177" fontId="0" fillId="0" borderId="0" xfId="0" applyAlignment="1">
      <alignment vertical="top"/>
    </xf>
    <xf numFmtId="177" fontId="0" fillId="0" borderId="0" xfId="0" applyAlignment="1">
      <alignment horizontal="center" vertical="center"/>
    </xf>
    <xf numFmtId="177" fontId="31" fillId="3" borderId="0" xfId="0" applyFont="1" applyFill="1"/>
    <xf numFmtId="10" fontId="3" fillId="0" borderId="0" xfId="0" applyNumberFormat="1" applyFont="1" applyAlignment="1">
      <alignment wrapText="1"/>
    </xf>
    <xf numFmtId="10" fontId="0" fillId="0" borderId="0" xfId="0" applyNumberFormat="1"/>
    <xf numFmtId="10" fontId="24" fillId="0" borderId="0" xfId="0" applyNumberFormat="1" applyFont="1" applyAlignment="1">
      <alignment horizontal="right"/>
    </xf>
    <xf numFmtId="9" fontId="24" fillId="0" borderId="0" xfId="0" applyNumberFormat="1" applyFont="1" applyAlignment="1">
      <alignment horizontal="center" vertical="center"/>
    </xf>
    <xf numFmtId="1" fontId="24" fillId="0" borderId="0" xfId="0" applyNumberFormat="1" applyFont="1" applyAlignment="1">
      <alignment horizontal="center" vertical="center"/>
    </xf>
    <xf numFmtId="177" fontId="28" fillId="0" borderId="0" xfId="765" applyNumberFormat="1" applyFont="1" applyBorder="1" applyAlignment="1">
      <alignment vertical="center"/>
    </xf>
    <xf numFmtId="177" fontId="33" fillId="0" borderId="0" xfId="0" applyFont="1"/>
    <xf numFmtId="177" fontId="33" fillId="0" borderId="0" xfId="0" applyFont="1" applyAlignment="1">
      <alignment horizontal="left" indent="1"/>
    </xf>
    <xf numFmtId="177" fontId="33" fillId="0" borderId="0" xfId="0" applyFont="1" applyAlignment="1">
      <alignment vertical="center"/>
    </xf>
    <xf numFmtId="177" fontId="33" fillId="3" borderId="0" xfId="0" applyFont="1" applyFill="1"/>
    <xf numFmtId="177" fontId="33" fillId="4" borderId="0" xfId="0" applyFont="1" applyFill="1"/>
    <xf numFmtId="177" fontId="33" fillId="0" borderId="0" xfId="0" applyFont="1" applyAlignment="1">
      <alignment vertical="center" wrapText="1"/>
    </xf>
    <xf numFmtId="177" fontId="33" fillId="0" borderId="0" xfId="0" applyFont="1" applyAlignment="1">
      <alignment horizontal="left" vertical="center"/>
    </xf>
    <xf numFmtId="177" fontId="35" fillId="3" borderId="0" xfId="0" applyFont="1" applyFill="1" applyAlignment="1">
      <alignment wrapText="1"/>
    </xf>
    <xf numFmtId="177" fontId="37" fillId="3" borderId="0" xfId="0" applyFont="1" applyFill="1" applyAlignment="1">
      <alignment horizontal="left" indent="1"/>
    </xf>
    <xf numFmtId="9" fontId="36" fillId="0" borderId="0" xfId="0" applyNumberFormat="1" applyFont="1" applyAlignment="1">
      <alignment horizontal="right"/>
    </xf>
    <xf numFmtId="177" fontId="33" fillId="0" borderId="0" xfId="0" applyFont="1" applyAlignment="1">
      <alignment horizontal="left" vertical="center" wrapText="1"/>
    </xf>
    <xf numFmtId="177" fontId="33" fillId="0" borderId="0" xfId="0" applyFont="1" applyAlignment="1">
      <alignment horizontal="center" vertical="center" wrapText="1"/>
    </xf>
    <xf numFmtId="0" fontId="23" fillId="3" borderId="0" xfId="765" applyFill="1" applyBorder="1" applyAlignment="1">
      <alignment horizontal="left" indent="1"/>
    </xf>
    <xf numFmtId="177" fontId="33" fillId="0" borderId="0" xfId="0" applyFont="1" applyAlignment="1">
      <alignment horizontal="right" vertical="center"/>
    </xf>
    <xf numFmtId="177" fontId="37" fillId="3" borderId="0" xfId="0" applyFont="1" applyFill="1"/>
    <xf numFmtId="0" fontId="23" fillId="3" borderId="0" xfId="765" applyFill="1"/>
    <xf numFmtId="177" fontId="39" fillId="0" borderId="0" xfId="0" applyFont="1"/>
    <xf numFmtId="177" fontId="43" fillId="3" borderId="0" xfId="0" applyFont="1" applyFill="1" applyAlignment="1">
      <alignment vertical="center"/>
    </xf>
    <xf numFmtId="177" fontId="35" fillId="3" borderId="0" xfId="0" applyFont="1" applyFill="1" applyAlignment="1">
      <alignment vertical="center" wrapText="1"/>
    </xf>
    <xf numFmtId="177" fontId="42" fillId="3" borderId="0" xfId="0" applyFont="1" applyFill="1" applyAlignment="1">
      <alignment vertical="center"/>
    </xf>
    <xf numFmtId="177" fontId="38" fillId="3" borderId="0" xfId="0" applyFont="1" applyFill="1" applyAlignment="1">
      <alignment horizontal="left" indent="1"/>
    </xf>
    <xf numFmtId="177" fontId="19" fillId="3" borderId="0" xfId="0" applyFont="1" applyFill="1" applyAlignment="1">
      <alignment horizontal="right" vertical="center"/>
    </xf>
    <xf numFmtId="177" fontId="19" fillId="3" borderId="0" xfId="0" applyFont="1" applyFill="1" applyAlignment="1">
      <alignment vertical="center"/>
    </xf>
    <xf numFmtId="177" fontId="34" fillId="3" borderId="0" xfId="0" applyFont="1" applyFill="1"/>
    <xf numFmtId="177" fontId="45" fillId="0" borderId="0" xfId="0" applyFont="1"/>
    <xf numFmtId="177" fontId="46" fillId="3" borderId="0" xfId="0" applyFont="1" applyFill="1" applyAlignment="1">
      <alignment horizontal="left" indent="1"/>
    </xf>
    <xf numFmtId="177" fontId="47" fillId="3" borderId="0" xfId="0" applyFont="1" applyFill="1" applyAlignment="1">
      <alignment horizontal="left" indent="1"/>
    </xf>
    <xf numFmtId="177" fontId="48" fillId="0" borderId="0" xfId="0" applyFont="1" applyAlignment="1">
      <alignment horizontal="left" indent="1"/>
    </xf>
    <xf numFmtId="177" fontId="48" fillId="0" borderId="0" xfId="0" applyFont="1"/>
    <xf numFmtId="49" fontId="41" fillId="7" borderId="12" xfId="765" applyNumberFormat="1" applyFont="1" applyFill="1" applyBorder="1" applyAlignment="1">
      <alignment horizontal="center" vertical="center"/>
    </xf>
    <xf numFmtId="49" fontId="41" fillId="7" borderId="20" xfId="765" applyNumberFormat="1" applyFont="1" applyFill="1" applyBorder="1" applyAlignment="1">
      <alignment horizontal="center" vertical="center"/>
    </xf>
    <xf numFmtId="9" fontId="36" fillId="8" borderId="12" xfId="0" applyNumberFormat="1" applyFont="1" applyFill="1" applyBorder="1" applyAlignment="1">
      <alignment horizontal="left" indent="1"/>
    </xf>
    <xf numFmtId="177" fontId="50" fillId="0" borderId="0" xfId="0" applyFont="1"/>
    <xf numFmtId="177" fontId="55" fillId="0" borderId="0" xfId="0" applyFont="1"/>
    <xf numFmtId="177" fontId="45" fillId="0" borderId="5" xfId="0" applyFont="1" applyBorder="1"/>
    <xf numFmtId="177" fontId="56" fillId="0" borderId="0" xfId="0" applyFont="1"/>
    <xf numFmtId="177" fontId="19" fillId="0" borderId="0" xfId="0" applyFont="1"/>
    <xf numFmtId="173" fontId="57" fillId="0" borderId="0" xfId="0" applyNumberFormat="1" applyFont="1"/>
    <xf numFmtId="9" fontId="54" fillId="0" borderId="0" xfId="0" applyNumberFormat="1" applyFont="1" applyAlignment="1">
      <alignment vertical="center"/>
    </xf>
    <xf numFmtId="177" fontId="54" fillId="0" borderId="0" xfId="0" applyFont="1" applyAlignment="1">
      <alignment vertical="center"/>
    </xf>
    <xf numFmtId="177" fontId="52" fillId="0" borderId="0" xfId="0" applyFont="1" applyAlignment="1">
      <alignment vertical="center"/>
    </xf>
    <xf numFmtId="177" fontId="58" fillId="0" borderId="0" xfId="0" applyFont="1" applyAlignment="1">
      <alignment vertical="center"/>
    </xf>
    <xf numFmtId="177" fontId="59" fillId="0" borderId="0" xfId="0" applyFont="1" applyAlignment="1">
      <alignment vertical="center"/>
    </xf>
    <xf numFmtId="177" fontId="0" fillId="0" borderId="0" xfId="0" applyAlignment="1">
      <alignment horizontal="left" wrapText="1"/>
    </xf>
    <xf numFmtId="174" fontId="62" fillId="0" borderId="0" xfId="0" applyNumberFormat="1" applyFont="1" applyAlignment="1">
      <alignment horizontal="center" vertical="center"/>
    </xf>
    <xf numFmtId="174" fontId="63" fillId="0" borderId="0" xfId="0" applyNumberFormat="1" applyFont="1" applyAlignment="1">
      <alignment horizontal="left" vertical="center"/>
    </xf>
    <xf numFmtId="0" fontId="32" fillId="5" borderId="0" xfId="765" applyFont="1" applyFill="1" applyBorder="1" applyAlignment="1"/>
    <xf numFmtId="177" fontId="28" fillId="0" borderId="0" xfId="765" applyNumberFormat="1" applyFont="1" applyAlignment="1">
      <alignment vertical="center"/>
    </xf>
    <xf numFmtId="176" fontId="36" fillId="8" borderId="12" xfId="842" applyNumberFormat="1" applyFont="1" applyFill="1" applyBorder="1" applyAlignment="1">
      <alignment horizontal="left" indent="1"/>
    </xf>
    <xf numFmtId="177" fontId="45" fillId="0" borderId="22" xfId="0" applyFont="1" applyBorder="1"/>
    <xf numFmtId="173" fontId="57" fillId="0" borderId="22" xfId="0" applyNumberFormat="1" applyFont="1" applyBorder="1"/>
    <xf numFmtId="177" fontId="49" fillId="0" borderId="27" xfId="0" applyFont="1" applyBorder="1"/>
    <xf numFmtId="177" fontId="49" fillId="0" borderId="22" xfId="0" applyFont="1" applyBorder="1"/>
    <xf numFmtId="177" fontId="64" fillId="3" borderId="13" xfId="0" applyFont="1" applyFill="1" applyBorder="1" applyAlignment="1">
      <alignment vertical="center"/>
    </xf>
    <xf numFmtId="177" fontId="64" fillId="3" borderId="14" xfId="0" applyFont="1" applyFill="1" applyBorder="1" applyAlignment="1">
      <alignment vertical="center"/>
    </xf>
    <xf numFmtId="177" fontId="65" fillId="3" borderId="28" xfId="0" applyFont="1" applyFill="1" applyBorder="1" applyAlignment="1">
      <alignment horizontal="center" vertical="center"/>
    </xf>
    <xf numFmtId="177" fontId="65" fillId="3" borderId="29" xfId="0" applyFont="1" applyFill="1" applyBorder="1" applyAlignment="1">
      <alignment horizontal="center" vertical="center"/>
    </xf>
    <xf numFmtId="177" fontId="65" fillId="3" borderId="30" xfId="0" applyFont="1" applyFill="1" applyBorder="1" applyAlignment="1">
      <alignment horizontal="center" vertical="center"/>
    </xf>
    <xf numFmtId="177" fontId="50" fillId="0" borderId="31" xfId="0" applyFont="1" applyBorder="1"/>
    <xf numFmtId="177" fontId="50" fillId="0" borderId="32" xfId="0" applyFont="1" applyBorder="1"/>
    <xf numFmtId="177" fontId="50" fillId="0" borderId="33" xfId="0" applyFont="1" applyBorder="1"/>
    <xf numFmtId="171" fontId="45" fillId="0" borderId="31" xfId="0" applyNumberFormat="1" applyFont="1" applyBorder="1"/>
    <xf numFmtId="171" fontId="45" fillId="0" borderId="32" xfId="0" applyNumberFormat="1" applyFont="1" applyBorder="1"/>
    <xf numFmtId="171" fontId="45" fillId="0" borderId="33" xfId="0" applyNumberFormat="1" applyFont="1" applyBorder="1"/>
    <xf numFmtId="176" fontId="45" fillId="0" borderId="31" xfId="0" applyNumberFormat="1" applyFont="1" applyBorder="1"/>
    <xf numFmtId="176" fontId="45" fillId="0" borderId="32" xfId="0" applyNumberFormat="1" applyFont="1" applyBorder="1"/>
    <xf numFmtId="176" fontId="45" fillId="0" borderId="33" xfId="0" applyNumberFormat="1" applyFont="1" applyBorder="1"/>
    <xf numFmtId="169" fontId="45" fillId="0" borderId="31" xfId="0" applyNumberFormat="1" applyFont="1" applyBorder="1"/>
    <xf numFmtId="169" fontId="45" fillId="0" borderId="32" xfId="0" applyNumberFormat="1" applyFont="1" applyBorder="1"/>
    <xf numFmtId="169" fontId="45" fillId="0" borderId="33" xfId="0" applyNumberFormat="1" applyFont="1" applyBorder="1"/>
    <xf numFmtId="177" fontId="45" fillId="0" borderId="31" xfId="0" applyFont="1" applyBorder="1"/>
    <xf numFmtId="177" fontId="45" fillId="0" borderId="32" xfId="0" applyFont="1" applyBorder="1"/>
    <xf numFmtId="177" fontId="45" fillId="0" borderId="33" xfId="0" applyFont="1" applyBorder="1"/>
    <xf numFmtId="173" fontId="57" fillId="0" borderId="31" xfId="0" applyNumberFormat="1" applyFont="1" applyBorder="1"/>
    <xf numFmtId="173" fontId="57" fillId="0" borderId="32" xfId="0" applyNumberFormat="1" applyFont="1" applyBorder="1"/>
    <xf numFmtId="173" fontId="57" fillId="0" borderId="33" xfId="0" applyNumberFormat="1" applyFont="1" applyBorder="1"/>
    <xf numFmtId="173" fontId="19" fillId="0" borderId="31" xfId="0" applyNumberFormat="1" applyFont="1" applyBorder="1"/>
    <xf numFmtId="173" fontId="19" fillId="0" borderId="32" xfId="0" applyNumberFormat="1" applyFont="1" applyBorder="1"/>
    <xf numFmtId="173" fontId="19" fillId="0" borderId="33" xfId="0" applyNumberFormat="1" applyFont="1" applyBorder="1"/>
    <xf numFmtId="168" fontId="57" fillId="0" borderId="31" xfId="0" applyNumberFormat="1" applyFont="1" applyBorder="1"/>
    <xf numFmtId="168" fontId="57" fillId="0" borderId="32" xfId="0" applyNumberFormat="1" applyFont="1" applyBorder="1"/>
    <xf numFmtId="168" fontId="57" fillId="0" borderId="33" xfId="0" applyNumberFormat="1" applyFont="1" applyBorder="1"/>
    <xf numFmtId="10" fontId="49" fillId="0" borderId="36" xfId="0" applyNumberFormat="1" applyFont="1" applyBorder="1" applyAlignment="1">
      <alignment horizontal="left"/>
    </xf>
    <xf numFmtId="10" fontId="49" fillId="0" borderId="37" xfId="0" applyNumberFormat="1" applyFont="1" applyBorder="1" applyAlignment="1">
      <alignment horizontal="left"/>
    </xf>
    <xf numFmtId="10" fontId="49" fillId="0" borderId="38" xfId="0" applyNumberFormat="1" applyFont="1" applyBorder="1" applyAlignment="1">
      <alignment horizontal="left"/>
    </xf>
    <xf numFmtId="176" fontId="53" fillId="0" borderId="31" xfId="0" applyNumberFormat="1" applyFont="1" applyBorder="1"/>
    <xf numFmtId="176" fontId="53" fillId="0" borderId="32" xfId="0" applyNumberFormat="1" applyFont="1" applyBorder="1"/>
    <xf numFmtId="176" fontId="45" fillId="0" borderId="36" xfId="0" applyNumberFormat="1" applyFont="1" applyBorder="1"/>
    <xf numFmtId="176" fontId="45" fillId="0" borderId="37" xfId="0" applyNumberFormat="1" applyFont="1" applyBorder="1"/>
    <xf numFmtId="166" fontId="45" fillId="0" borderId="31" xfId="0" applyNumberFormat="1" applyFont="1" applyBorder="1"/>
    <xf numFmtId="166" fontId="45" fillId="0" borderId="32" xfId="0" applyNumberFormat="1" applyFont="1" applyBorder="1"/>
    <xf numFmtId="166" fontId="45" fillId="0" borderId="39" xfId="0" applyNumberFormat="1" applyFont="1" applyBorder="1"/>
    <xf numFmtId="177" fontId="59" fillId="0" borderId="31" xfId="0" applyFont="1" applyBorder="1" applyAlignment="1">
      <alignment horizontal="center" vertical="center"/>
    </xf>
    <xf numFmtId="177" fontId="59" fillId="0" borderId="32" xfId="0" applyFont="1" applyBorder="1" applyAlignment="1">
      <alignment horizontal="center" vertical="center"/>
    </xf>
    <xf numFmtId="176" fontId="53" fillId="0" borderId="34" xfId="0" applyNumberFormat="1" applyFont="1" applyBorder="1"/>
    <xf numFmtId="176" fontId="53" fillId="0" borderId="35" xfId="0" applyNumberFormat="1" applyFont="1" applyBorder="1"/>
    <xf numFmtId="173" fontId="45" fillId="0" borderId="31" xfId="0" applyNumberFormat="1" applyFont="1" applyBorder="1"/>
    <xf numFmtId="173" fontId="45" fillId="0" borderId="32" xfId="0" applyNumberFormat="1" applyFont="1" applyBorder="1"/>
    <xf numFmtId="177" fontId="45" fillId="0" borderId="45" xfId="0" applyFont="1" applyBorder="1"/>
    <xf numFmtId="176" fontId="45" fillId="0" borderId="46" xfId="0" applyNumberFormat="1" applyFont="1" applyBorder="1"/>
    <xf numFmtId="177" fontId="45" fillId="0" borderId="47" xfId="0" applyFont="1" applyBorder="1"/>
    <xf numFmtId="174" fontId="60" fillId="0" borderId="51" xfId="0" applyNumberFormat="1" applyFont="1" applyBorder="1" applyAlignment="1">
      <alignment vertical="center"/>
    </xf>
    <xf numFmtId="174" fontId="60" fillId="0" borderId="52" xfId="0" applyNumberFormat="1" applyFont="1" applyBorder="1" applyAlignment="1">
      <alignment vertical="center"/>
    </xf>
    <xf numFmtId="177" fontId="61" fillId="0" borderId="52" xfId="0" applyFont="1" applyBorder="1"/>
    <xf numFmtId="176" fontId="60" fillId="0" borderId="53" xfId="0" applyNumberFormat="1" applyFont="1" applyBorder="1"/>
    <xf numFmtId="176" fontId="60" fillId="0" borderId="54" xfId="0" applyNumberFormat="1" applyFont="1" applyBorder="1"/>
    <xf numFmtId="176" fontId="60" fillId="0" borderId="55" xfId="0" applyNumberFormat="1" applyFont="1" applyBorder="1"/>
    <xf numFmtId="177" fontId="68" fillId="0" borderId="22" xfId="0" applyFont="1" applyBorder="1" applyAlignment="1">
      <alignment vertical="center"/>
    </xf>
    <xf numFmtId="177" fontId="68" fillId="0" borderId="0" xfId="0" applyFont="1" applyAlignment="1">
      <alignment vertical="center"/>
    </xf>
    <xf numFmtId="9" fontId="68" fillId="0" borderId="31" xfId="0" applyNumberFormat="1" applyFont="1" applyBorder="1" applyAlignment="1">
      <alignment vertical="center"/>
    </xf>
    <xf numFmtId="9" fontId="68" fillId="0" borderId="32" xfId="0" applyNumberFormat="1" applyFont="1" applyBorder="1" applyAlignment="1">
      <alignment vertical="center"/>
    </xf>
    <xf numFmtId="9" fontId="68" fillId="0" borderId="33" xfId="0" applyNumberFormat="1" applyFont="1" applyBorder="1" applyAlignment="1">
      <alignment vertical="center"/>
    </xf>
    <xf numFmtId="174" fontId="60" fillId="0" borderId="22" xfId="0" applyNumberFormat="1" applyFont="1" applyBorder="1" applyAlignment="1">
      <alignment vertical="center"/>
    </xf>
    <xf numFmtId="177" fontId="69" fillId="0" borderId="21" xfId="0" applyFont="1" applyBorder="1"/>
    <xf numFmtId="177" fontId="69" fillId="0" borderId="41" xfId="0" applyFont="1" applyBorder="1"/>
    <xf numFmtId="176" fontId="69" fillId="0" borderId="42" xfId="2336" applyNumberFormat="1" applyFont="1" applyBorder="1"/>
    <xf numFmtId="176" fontId="69" fillId="0" borderId="43" xfId="2336" applyNumberFormat="1" applyFont="1" applyBorder="1"/>
    <xf numFmtId="176" fontId="69" fillId="0" borderId="44" xfId="2336" applyNumberFormat="1" applyFont="1" applyBorder="1"/>
    <xf numFmtId="177" fontId="69" fillId="0" borderId="45" xfId="0" applyFont="1" applyBorder="1"/>
    <xf numFmtId="177" fontId="69" fillId="0" borderId="0" xfId="0" applyFont="1"/>
    <xf numFmtId="176" fontId="69" fillId="0" borderId="31" xfId="0" applyNumberFormat="1" applyFont="1" applyBorder="1"/>
    <xf numFmtId="176" fontId="69" fillId="0" borderId="32" xfId="0" applyNumberFormat="1" applyFont="1" applyBorder="1"/>
    <xf numFmtId="176" fontId="69" fillId="0" borderId="46" xfId="0" applyNumberFormat="1" applyFont="1" applyBorder="1"/>
    <xf numFmtId="176" fontId="69" fillId="0" borderId="31" xfId="2336" applyNumberFormat="1" applyFont="1" applyBorder="1"/>
    <xf numFmtId="176" fontId="69" fillId="0" borderId="32" xfId="2336" applyNumberFormat="1" applyFont="1" applyBorder="1"/>
    <xf numFmtId="176" fontId="69" fillId="0" borderId="46" xfId="2336" applyNumberFormat="1" applyFont="1" applyBorder="1"/>
    <xf numFmtId="177" fontId="70" fillId="0" borderId="0" xfId="0" applyFont="1"/>
    <xf numFmtId="177" fontId="69" fillId="0" borderId="18" xfId="0" applyFont="1" applyBorder="1"/>
    <xf numFmtId="177" fontId="69" fillId="0" borderId="47" xfId="0" applyFont="1" applyBorder="1"/>
    <xf numFmtId="176" fontId="69" fillId="0" borderId="48" xfId="2336" applyNumberFormat="1" applyFont="1" applyBorder="1"/>
    <xf numFmtId="176" fontId="69" fillId="0" borderId="49" xfId="2336" applyNumberFormat="1" applyFont="1" applyBorder="1"/>
    <xf numFmtId="176" fontId="69" fillId="0" borderId="50" xfId="2336" applyNumberFormat="1" applyFont="1" applyBorder="1"/>
    <xf numFmtId="177" fontId="69" fillId="0" borderId="21" xfId="0" applyFont="1" applyBorder="1" applyAlignment="1">
      <alignment horizontal="left" indent="2"/>
    </xf>
    <xf numFmtId="177" fontId="71" fillId="0" borderId="41" xfId="0" applyFont="1" applyBorder="1"/>
    <xf numFmtId="176" fontId="69" fillId="0" borderId="42" xfId="0" applyNumberFormat="1" applyFont="1" applyBorder="1"/>
    <xf numFmtId="176" fontId="69" fillId="0" borderId="43" xfId="0" applyNumberFormat="1" applyFont="1" applyBorder="1"/>
    <xf numFmtId="176" fontId="69" fillId="0" borderId="44" xfId="0" applyNumberFormat="1" applyFont="1" applyBorder="1"/>
    <xf numFmtId="177" fontId="69" fillId="0" borderId="45" xfId="0" applyFont="1" applyBorder="1" applyAlignment="1">
      <alignment horizontal="left" indent="2"/>
    </xf>
    <xf numFmtId="177" fontId="71" fillId="0" borderId="0" xfId="0" applyFont="1"/>
    <xf numFmtId="177" fontId="72" fillId="0" borderId="60" xfId="0" applyFont="1" applyBorder="1"/>
    <xf numFmtId="177" fontId="73" fillId="0" borderId="61" xfId="0" applyFont="1" applyBorder="1"/>
    <xf numFmtId="176" fontId="72" fillId="0" borderId="62" xfId="0" applyNumberFormat="1" applyFont="1" applyBorder="1"/>
    <xf numFmtId="176" fontId="72" fillId="0" borderId="63" xfId="0" applyNumberFormat="1" applyFont="1" applyBorder="1"/>
    <xf numFmtId="176" fontId="72" fillId="0" borderId="64" xfId="0" applyNumberFormat="1" applyFont="1" applyBorder="1"/>
    <xf numFmtId="168" fontId="69" fillId="0" borderId="31" xfId="0" applyNumberFormat="1" applyFont="1" applyBorder="1"/>
    <xf numFmtId="168" fontId="69" fillId="0" borderId="32" xfId="0" applyNumberFormat="1" applyFont="1" applyBorder="1"/>
    <xf numFmtId="168" fontId="69" fillId="0" borderId="46" xfId="0" applyNumberFormat="1" applyFont="1" applyBorder="1"/>
    <xf numFmtId="177" fontId="69" fillId="0" borderId="58" xfId="0" applyFont="1" applyBorder="1" applyAlignment="1">
      <alignment horizontal="left" indent="2"/>
    </xf>
    <xf numFmtId="177" fontId="69" fillId="0" borderId="5" xfId="0" applyFont="1" applyBorder="1"/>
    <xf numFmtId="168" fontId="69" fillId="0" borderId="36" xfId="0" applyNumberFormat="1" applyFont="1" applyBorder="1"/>
    <xf numFmtId="168" fontId="69" fillId="0" borderId="37" xfId="0" applyNumberFormat="1" applyFont="1" applyBorder="1"/>
    <xf numFmtId="168" fontId="69" fillId="0" borderId="59" xfId="0" applyNumberFormat="1" applyFont="1" applyBorder="1"/>
    <xf numFmtId="2" fontId="69" fillId="0" borderId="42" xfId="0" applyNumberFormat="1" applyFont="1" applyBorder="1"/>
    <xf numFmtId="2" fontId="69" fillId="0" borderId="43" xfId="0" applyNumberFormat="1" applyFont="1" applyBorder="1"/>
    <xf numFmtId="2" fontId="69" fillId="0" borderId="57" xfId="0" applyNumberFormat="1" applyFont="1" applyBorder="1"/>
    <xf numFmtId="168" fontId="69" fillId="0" borderId="33" xfId="0" applyNumberFormat="1" applyFont="1" applyBorder="1"/>
    <xf numFmtId="177" fontId="69" fillId="0" borderId="18" xfId="0" applyFont="1" applyBorder="1" applyAlignment="1">
      <alignment horizontal="left" indent="2"/>
    </xf>
    <xf numFmtId="177" fontId="71" fillId="0" borderId="47" xfId="0" applyFont="1" applyBorder="1"/>
    <xf numFmtId="168" fontId="69" fillId="0" borderId="48" xfId="0" applyNumberFormat="1" applyFont="1" applyBorder="1"/>
    <xf numFmtId="168" fontId="69" fillId="0" borderId="49" xfId="0" applyNumberFormat="1" applyFont="1" applyBorder="1"/>
    <xf numFmtId="168" fontId="69" fillId="0" borderId="65" xfId="0" applyNumberFormat="1" applyFont="1" applyBorder="1"/>
    <xf numFmtId="183" fontId="69" fillId="0" borderId="42" xfId="842" applyNumberFormat="1" applyFont="1" applyBorder="1"/>
    <xf numFmtId="183" fontId="69" fillId="0" borderId="31" xfId="842" applyNumberFormat="1" applyFont="1" applyBorder="1"/>
    <xf numFmtId="183" fontId="69" fillId="0" borderId="32" xfId="842" applyNumberFormat="1" applyFont="1" applyBorder="1"/>
    <xf numFmtId="183" fontId="69" fillId="0" borderId="33" xfId="842" applyNumberFormat="1" applyFont="1" applyBorder="1"/>
    <xf numFmtId="168" fontId="69" fillId="0" borderId="42" xfId="0" applyNumberFormat="1" applyFont="1" applyBorder="1"/>
    <xf numFmtId="168" fontId="69" fillId="0" borderId="43" xfId="0" applyNumberFormat="1" applyFont="1" applyBorder="1"/>
    <xf numFmtId="168" fontId="69" fillId="0" borderId="44" xfId="0" applyNumberFormat="1" applyFont="1" applyBorder="1"/>
    <xf numFmtId="168" fontId="69" fillId="0" borderId="50" xfId="0" applyNumberFormat="1" applyFont="1" applyBorder="1"/>
    <xf numFmtId="177" fontId="68" fillId="0" borderId="66" xfId="0" applyFont="1" applyBorder="1" applyAlignment="1">
      <alignment vertical="center"/>
    </xf>
    <xf numFmtId="9" fontId="68" fillId="0" borderId="67" xfId="0" applyNumberFormat="1" applyFont="1" applyBorder="1" applyAlignment="1">
      <alignment vertical="center"/>
    </xf>
    <xf numFmtId="9" fontId="68" fillId="0" borderId="66" xfId="0" applyNumberFormat="1" applyFont="1" applyBorder="1" applyAlignment="1">
      <alignment vertical="center"/>
    </xf>
    <xf numFmtId="169" fontId="54" fillId="0" borderId="31" xfId="0" applyNumberFormat="1" applyFont="1" applyBorder="1" applyAlignment="1">
      <alignment vertical="center"/>
    </xf>
    <xf numFmtId="174" fontId="60" fillId="0" borderId="68" xfId="0" applyNumberFormat="1" applyFont="1" applyBorder="1" applyAlignment="1">
      <alignment vertical="center"/>
    </xf>
    <xf numFmtId="174" fontId="60" fillId="0" borderId="69" xfId="0" applyNumberFormat="1" applyFont="1" applyBorder="1" applyAlignment="1">
      <alignment vertical="center"/>
    </xf>
    <xf numFmtId="177" fontId="61" fillId="0" borderId="69" xfId="0" applyFont="1" applyBorder="1"/>
    <xf numFmtId="176" fontId="60" fillId="0" borderId="70" xfId="0" applyNumberFormat="1" applyFont="1" applyBorder="1"/>
    <xf numFmtId="176" fontId="60" fillId="0" borderId="71" xfId="0" applyNumberFormat="1" applyFont="1" applyBorder="1"/>
    <xf numFmtId="176" fontId="60" fillId="0" borderId="72" xfId="0" applyNumberFormat="1" applyFont="1" applyBorder="1"/>
    <xf numFmtId="177" fontId="45" fillId="0" borderId="40" xfId="0" applyFont="1" applyBorder="1"/>
    <xf numFmtId="176" fontId="69" fillId="0" borderId="48" xfId="0" applyNumberFormat="1" applyFont="1" applyBorder="1"/>
    <xf numFmtId="176" fontId="69" fillId="0" borderId="49" xfId="0" applyNumberFormat="1" applyFont="1" applyBorder="1"/>
    <xf numFmtId="176" fontId="69" fillId="0" borderId="0" xfId="0" applyNumberFormat="1" applyFont="1"/>
    <xf numFmtId="177" fontId="52" fillId="0" borderId="45" xfId="0" applyFont="1" applyBorder="1" applyAlignment="1">
      <alignment vertical="center"/>
    </xf>
    <xf numFmtId="176" fontId="53" fillId="0" borderId="46" xfId="0" applyNumberFormat="1" applyFont="1" applyBorder="1"/>
    <xf numFmtId="176" fontId="69" fillId="0" borderId="73" xfId="0" applyNumberFormat="1" applyFont="1" applyBorder="1"/>
    <xf numFmtId="176" fontId="69" fillId="0" borderId="50" xfId="0" applyNumberFormat="1" applyFont="1" applyBorder="1"/>
    <xf numFmtId="174" fontId="60" fillId="0" borderId="74" xfId="0" applyNumberFormat="1" applyFont="1" applyBorder="1" applyAlignment="1">
      <alignment vertical="center"/>
    </xf>
    <xf numFmtId="176" fontId="60" fillId="0" borderId="75" xfId="0" applyNumberFormat="1" applyFont="1" applyBorder="1"/>
    <xf numFmtId="176" fontId="69" fillId="0" borderId="42" xfId="842" applyNumberFormat="1" applyFont="1" applyBorder="1"/>
    <xf numFmtId="176" fontId="69" fillId="0" borderId="31" xfId="842" applyNumberFormat="1" applyFont="1" applyBorder="1"/>
    <xf numFmtId="176" fontId="69" fillId="0" borderId="32" xfId="842" applyNumberFormat="1" applyFont="1" applyBorder="1"/>
    <xf numFmtId="176" fontId="69" fillId="0" borderId="19" xfId="842" applyNumberFormat="1" applyFont="1" applyBorder="1"/>
    <xf numFmtId="176" fontId="69" fillId="0" borderId="46" xfId="842" applyNumberFormat="1" applyFont="1" applyBorder="1"/>
    <xf numFmtId="177" fontId="58" fillId="0" borderId="45" xfId="0" applyFont="1" applyBorder="1" applyAlignment="1">
      <alignment vertical="center"/>
    </xf>
    <xf numFmtId="177" fontId="59" fillId="0" borderId="46" xfId="0" applyFont="1" applyBorder="1" applyAlignment="1">
      <alignment horizontal="center" vertical="center"/>
    </xf>
    <xf numFmtId="174" fontId="60" fillId="0" borderId="45" xfId="0" applyNumberFormat="1" applyFont="1" applyBorder="1" applyAlignment="1">
      <alignment vertical="center"/>
    </xf>
    <xf numFmtId="176" fontId="45" fillId="0" borderId="59" xfId="0" applyNumberFormat="1" applyFont="1" applyBorder="1"/>
    <xf numFmtId="176" fontId="53" fillId="0" borderId="76" xfId="0" applyNumberFormat="1" applyFont="1" applyBorder="1"/>
    <xf numFmtId="173" fontId="45" fillId="0" borderId="46" xfId="0" applyNumberFormat="1" applyFont="1" applyBorder="1"/>
    <xf numFmtId="174" fontId="61" fillId="0" borderId="74" xfId="0" applyNumberFormat="1" applyFont="1" applyBorder="1" applyAlignment="1">
      <alignment vertical="center"/>
    </xf>
    <xf numFmtId="174" fontId="61" fillId="0" borderId="69" xfId="0" applyNumberFormat="1" applyFont="1" applyBorder="1" applyAlignment="1">
      <alignment vertical="center"/>
    </xf>
    <xf numFmtId="176" fontId="61" fillId="0" borderId="70" xfId="0" applyNumberFormat="1" applyFont="1" applyBorder="1"/>
    <xf numFmtId="176" fontId="61" fillId="0" borderId="71" xfId="0" applyNumberFormat="1" applyFont="1" applyBorder="1"/>
    <xf numFmtId="176" fontId="61" fillId="0" borderId="75" xfId="0" applyNumberFormat="1" applyFont="1" applyBorder="1"/>
    <xf numFmtId="166" fontId="45" fillId="0" borderId="40" xfId="0" applyNumberFormat="1" applyFont="1" applyBorder="1"/>
    <xf numFmtId="177" fontId="75" fillId="0" borderId="0" xfId="0" applyFont="1"/>
    <xf numFmtId="177" fontId="45" fillId="0" borderId="22" xfId="0" applyFont="1" applyBorder="1" applyAlignment="1">
      <alignment vertical="center"/>
    </xf>
    <xf numFmtId="0" fontId="77" fillId="0" borderId="0" xfId="840" applyFont="1" applyBorder="1" applyAlignment="1" applyProtection="1">
      <alignment vertical="center"/>
    </xf>
    <xf numFmtId="0" fontId="77" fillId="0" borderId="0" xfId="840" applyFont="1" applyBorder="1" applyAlignment="1" applyProtection="1">
      <alignment horizontal="center" vertical="center"/>
    </xf>
    <xf numFmtId="164" fontId="45" fillId="0" borderId="88" xfId="841" applyNumberFormat="1" applyFont="1" applyBorder="1" applyAlignment="1">
      <alignment vertical="center"/>
    </xf>
    <xf numFmtId="164" fontId="45" fillId="0" borderId="82" xfId="841" applyNumberFormat="1" applyFont="1" applyBorder="1" applyAlignment="1">
      <alignment vertical="center"/>
    </xf>
    <xf numFmtId="164" fontId="45" fillId="0" borderId="83" xfId="841" applyNumberFormat="1" applyFont="1" applyBorder="1" applyAlignment="1">
      <alignment vertical="center"/>
    </xf>
    <xf numFmtId="177" fontId="51" fillId="0" borderId="0" xfId="0" applyFont="1" applyAlignment="1">
      <alignment vertical="center"/>
    </xf>
    <xf numFmtId="177" fontId="45" fillId="0" borderId="22" xfId="0" applyFont="1" applyBorder="1" applyAlignment="1">
      <alignment horizontal="left" vertical="center" indent="1"/>
    </xf>
    <xf numFmtId="177" fontId="45" fillId="0" borderId="0" xfId="0" applyFont="1" applyAlignment="1">
      <alignment vertical="center"/>
    </xf>
    <xf numFmtId="164" fontId="45" fillId="0" borderId="84" xfId="841" applyNumberFormat="1" applyFont="1" applyBorder="1" applyAlignment="1">
      <alignment vertical="center"/>
    </xf>
    <xf numFmtId="168" fontId="36" fillId="0" borderId="41" xfId="0" applyNumberFormat="1" applyFont="1" applyBorder="1" applyAlignment="1">
      <alignment horizontal="right"/>
    </xf>
    <xf numFmtId="37" fontId="45" fillId="0" borderId="84" xfId="0" applyNumberFormat="1" applyFont="1" applyBorder="1" applyAlignment="1">
      <alignment vertical="center"/>
    </xf>
    <xf numFmtId="37" fontId="45" fillId="0" borderId="82" xfId="0" applyNumberFormat="1" applyFont="1" applyBorder="1" applyAlignment="1">
      <alignment vertical="center"/>
    </xf>
    <xf numFmtId="37" fontId="45" fillId="0" borderId="83" xfId="0" applyNumberFormat="1" applyFont="1" applyBorder="1" applyAlignment="1">
      <alignment vertical="center"/>
    </xf>
    <xf numFmtId="177" fontId="78" fillId="0" borderId="0" xfId="0" applyFont="1" applyAlignment="1">
      <alignment vertical="center"/>
    </xf>
    <xf numFmtId="176" fontId="45" fillId="0" borderId="84" xfId="0" applyNumberFormat="1" applyFont="1" applyBorder="1"/>
    <xf numFmtId="176" fontId="45" fillId="0" borderId="82" xfId="0" applyNumberFormat="1" applyFont="1" applyBorder="1"/>
    <xf numFmtId="176" fontId="45" fillId="0" borderId="83" xfId="0" applyNumberFormat="1" applyFont="1" applyBorder="1"/>
    <xf numFmtId="168" fontId="36" fillId="0" borderId="0" xfId="0" applyNumberFormat="1" applyFont="1" applyAlignment="1">
      <alignment horizontal="right"/>
    </xf>
    <xf numFmtId="177" fontId="37" fillId="0" borderId="22" xfId="0" applyFont="1" applyBorder="1" applyAlignment="1">
      <alignment horizontal="left" vertical="center" indent="1"/>
    </xf>
    <xf numFmtId="176" fontId="37" fillId="0" borderId="84" xfId="0" applyNumberFormat="1" applyFont="1" applyBorder="1"/>
    <xf numFmtId="176" fontId="37" fillId="0" borderId="82" xfId="0" applyNumberFormat="1" applyFont="1" applyBorder="1"/>
    <xf numFmtId="176" fontId="37" fillId="0" borderId="83" xfId="0" applyNumberFormat="1" applyFont="1" applyBorder="1"/>
    <xf numFmtId="168" fontId="79" fillId="0" borderId="0" xfId="0" applyNumberFormat="1" applyFont="1" applyAlignment="1">
      <alignment horizontal="right"/>
    </xf>
    <xf numFmtId="177" fontId="45" fillId="0" borderId="79" xfId="0" applyFont="1" applyBorder="1" applyAlignment="1">
      <alignment horizontal="left" vertical="center" indent="1"/>
    </xf>
    <xf numFmtId="177" fontId="78" fillId="0" borderId="80" xfId="0" applyFont="1" applyBorder="1" applyAlignment="1">
      <alignment vertical="center"/>
    </xf>
    <xf numFmtId="176" fontId="45" fillId="0" borderId="85" xfId="0" applyNumberFormat="1" applyFont="1" applyBorder="1"/>
    <xf numFmtId="176" fontId="45" fillId="0" borderId="86" xfId="0" applyNumberFormat="1" applyFont="1" applyBorder="1"/>
    <xf numFmtId="176" fontId="45" fillId="0" borderId="87" xfId="0" applyNumberFormat="1" applyFont="1" applyBorder="1"/>
    <xf numFmtId="177" fontId="64" fillId="3" borderId="77" xfId="0" applyFont="1" applyFill="1" applyBorder="1"/>
    <xf numFmtId="177" fontId="64" fillId="3" borderId="78" xfId="0" applyFont="1" applyFill="1" applyBorder="1"/>
    <xf numFmtId="177" fontId="64" fillId="0" borderId="14" xfId="0" applyFont="1" applyBorder="1"/>
    <xf numFmtId="177" fontId="65" fillId="0" borderId="14" xfId="0" applyFont="1" applyBorder="1" applyAlignment="1">
      <alignment horizontal="center"/>
    </xf>
    <xf numFmtId="177" fontId="4" fillId="0" borderId="14" xfId="0" applyFont="1" applyBorder="1" applyAlignment="1">
      <alignment vertical="center"/>
    </xf>
    <xf numFmtId="174" fontId="80" fillId="0" borderId="0" xfId="0" applyNumberFormat="1" applyFont="1" applyAlignment="1">
      <alignment horizontal="left" vertical="center"/>
    </xf>
    <xf numFmtId="177" fontId="81" fillId="0" borderId="13" xfId="0" applyFont="1" applyBorder="1"/>
    <xf numFmtId="177" fontId="82" fillId="0" borderId="45" xfId="0" applyFont="1" applyBorder="1" applyAlignment="1">
      <alignment vertical="center"/>
    </xf>
    <xf numFmtId="177" fontId="83" fillId="0" borderId="45" xfId="0" applyFont="1" applyBorder="1"/>
    <xf numFmtId="177" fontId="74" fillId="0" borderId="45" xfId="0" applyFont="1" applyBorder="1"/>
    <xf numFmtId="177" fontId="74" fillId="0" borderId="0" xfId="0" applyFont="1"/>
    <xf numFmtId="177" fontId="4" fillId="0" borderId="89" xfId="0" applyFont="1" applyBorder="1" applyAlignment="1">
      <alignment vertical="center"/>
    </xf>
    <xf numFmtId="177" fontId="4" fillId="0" borderId="56" xfId="0" applyFont="1" applyBorder="1" applyAlignment="1">
      <alignment vertical="center"/>
    </xf>
    <xf numFmtId="177" fontId="0" fillId="0" borderId="23" xfId="0" applyBorder="1"/>
    <xf numFmtId="177" fontId="0" fillId="0" borderId="22" xfId="0" applyBorder="1"/>
    <xf numFmtId="177" fontId="0" fillId="0" borderId="25" xfId="0" applyBorder="1"/>
    <xf numFmtId="177" fontId="0" fillId="0" borderId="27" xfId="0" applyBorder="1"/>
    <xf numFmtId="177" fontId="0" fillId="0" borderId="24" xfId="0" applyBorder="1"/>
    <xf numFmtId="177" fontId="0" fillId="0" borderId="26" xfId="0" applyBorder="1"/>
    <xf numFmtId="177" fontId="0" fillId="0" borderId="90" xfId="0" applyBorder="1"/>
    <xf numFmtId="177" fontId="0" fillId="0" borderId="81" xfId="0" applyBorder="1"/>
    <xf numFmtId="177" fontId="0" fillId="0" borderId="91" xfId="0" applyBorder="1"/>
    <xf numFmtId="177" fontId="83" fillId="0" borderId="18" xfId="0" applyFont="1" applyBorder="1"/>
    <xf numFmtId="177" fontId="0" fillId="0" borderId="47" xfId="0" applyBorder="1"/>
    <xf numFmtId="177" fontId="0" fillId="0" borderId="92" xfId="0" applyBorder="1"/>
    <xf numFmtId="177" fontId="0" fillId="0" borderId="93" xfId="0" applyBorder="1"/>
    <xf numFmtId="177" fontId="73" fillId="0" borderId="0" xfId="0" applyFont="1"/>
    <xf numFmtId="177" fontId="64" fillId="3" borderId="13" xfId="0" applyFont="1" applyFill="1" applyBorder="1"/>
    <xf numFmtId="177" fontId="64" fillId="3" borderId="14" xfId="0" applyFont="1" applyFill="1" applyBorder="1"/>
    <xf numFmtId="177" fontId="64" fillId="3" borderId="15" xfId="0" applyFont="1" applyFill="1" applyBorder="1"/>
    <xf numFmtId="177" fontId="65" fillId="3" borderId="14" xfId="0" applyFont="1" applyFill="1" applyBorder="1"/>
    <xf numFmtId="177" fontId="65" fillId="3" borderId="15" xfId="0" applyFont="1" applyFill="1" applyBorder="1"/>
    <xf numFmtId="177" fontId="45" fillId="0" borderId="0" xfId="0" applyFont="1" applyAlignment="1">
      <alignment horizontal="right" indent="4"/>
    </xf>
    <xf numFmtId="177" fontId="87" fillId="0" borderId="45" xfId="0" applyFont="1" applyBorder="1" applyAlignment="1">
      <alignment vertical="center"/>
    </xf>
    <xf numFmtId="177" fontId="87" fillId="0" borderId="0" xfId="0" applyFont="1" applyAlignment="1">
      <alignment vertical="center"/>
    </xf>
    <xf numFmtId="177" fontId="45" fillId="0" borderId="0" xfId="0" applyFont="1" applyAlignment="1">
      <alignment vertical="center" wrapText="1"/>
    </xf>
    <xf numFmtId="177" fontId="45" fillId="0" borderId="45" xfId="0" applyFont="1" applyBorder="1" applyAlignment="1">
      <alignment vertical="center"/>
    </xf>
    <xf numFmtId="168" fontId="88" fillId="0" borderId="0" xfId="0" applyNumberFormat="1" applyFont="1" applyAlignment="1">
      <alignment horizontal="center" vertical="center"/>
    </xf>
    <xf numFmtId="177" fontId="45" fillId="0" borderId="73" xfId="0" applyFont="1" applyBorder="1" applyAlignment="1">
      <alignment vertical="center" wrapText="1"/>
    </xf>
    <xf numFmtId="177" fontId="45" fillId="0" borderId="0" xfId="0" applyFont="1" applyAlignment="1">
      <alignment wrapText="1"/>
    </xf>
    <xf numFmtId="177" fontId="45" fillId="0" borderId="6" xfId="0" applyFont="1" applyBorder="1" applyAlignment="1">
      <alignment horizontal="center" vertical="center" wrapText="1"/>
    </xf>
    <xf numFmtId="177" fontId="45" fillId="0" borderId="7" xfId="0" applyFont="1" applyBorder="1" applyAlignment="1">
      <alignment horizontal="center" vertical="center" wrapText="1"/>
    </xf>
    <xf numFmtId="177" fontId="45" fillId="0" borderId="94" xfId="0" applyFont="1" applyBorder="1" applyAlignment="1">
      <alignment horizontal="center" vertical="center" wrapText="1"/>
    </xf>
    <xf numFmtId="177" fontId="45" fillId="0" borderId="13" xfId="0" applyFont="1" applyBorder="1" applyAlignment="1">
      <alignment vertical="center"/>
    </xf>
    <xf numFmtId="177" fontId="45" fillId="0" borderId="95" xfId="0" applyFont="1" applyBorder="1" applyAlignment="1">
      <alignment horizontal="center" vertical="center" wrapText="1"/>
    </xf>
    <xf numFmtId="177" fontId="45" fillId="0" borderId="0" xfId="0" applyFont="1" applyAlignment="1">
      <alignment horizontal="left"/>
    </xf>
    <xf numFmtId="177" fontId="45" fillId="0" borderId="12" xfId="0" applyFont="1" applyBorder="1" applyAlignment="1">
      <alignment horizontal="center"/>
    </xf>
    <xf numFmtId="178" fontId="45" fillId="0" borderId="12" xfId="0" applyNumberFormat="1" applyFont="1" applyBorder="1" applyAlignment="1">
      <alignment horizontal="center" vertical="center"/>
    </xf>
    <xf numFmtId="176" fontId="60" fillId="0" borderId="53" xfId="0" applyNumberFormat="1" applyFont="1" applyBorder="1" applyAlignment="1">
      <alignment horizontal="center"/>
    </xf>
    <xf numFmtId="177" fontId="90" fillId="3" borderId="13" xfId="0" applyFont="1" applyFill="1" applyBorder="1"/>
    <xf numFmtId="177" fontId="67" fillId="0" borderId="96" xfId="0" applyFont="1" applyBorder="1" applyAlignment="1">
      <alignment vertical="center" wrapText="1"/>
    </xf>
    <xf numFmtId="177" fontId="67" fillId="0" borderId="8" xfId="0" applyFont="1" applyBorder="1" applyAlignment="1">
      <alignment horizontal="center" vertical="center" wrapText="1"/>
    </xf>
    <xf numFmtId="177" fontId="67" fillId="0" borderId="0" xfId="0" applyFont="1" applyAlignment="1">
      <alignment horizontal="center"/>
    </xf>
    <xf numFmtId="178" fontId="67" fillId="0" borderId="0" xfId="0" applyNumberFormat="1" applyFont="1" applyAlignment="1">
      <alignment horizontal="center" vertical="center"/>
    </xf>
    <xf numFmtId="178" fontId="67" fillId="0" borderId="47" xfId="0" applyNumberFormat="1" applyFont="1" applyBorder="1" applyAlignment="1">
      <alignment horizontal="center" vertical="center"/>
    </xf>
    <xf numFmtId="177" fontId="67" fillId="0" borderId="45" xfId="0" applyFont="1" applyBorder="1" applyAlignment="1">
      <alignment horizontal="center"/>
    </xf>
    <xf numFmtId="178" fontId="67" fillId="0" borderId="45" xfId="0" applyNumberFormat="1" applyFont="1" applyBorder="1" applyAlignment="1">
      <alignment horizontal="center" vertical="center"/>
    </xf>
    <xf numFmtId="178" fontId="67" fillId="0" borderId="18" xfId="0" applyNumberFormat="1" applyFont="1" applyBorder="1" applyAlignment="1">
      <alignment horizontal="center" vertical="center"/>
    </xf>
    <xf numFmtId="177" fontId="67" fillId="0" borderId="13" xfId="0" applyFont="1" applyBorder="1" applyAlignment="1">
      <alignment horizontal="center" vertical="center"/>
    </xf>
    <xf numFmtId="177" fontId="67" fillId="0" borderId="12" xfId="0" applyFont="1" applyBorder="1" applyAlignment="1">
      <alignment horizontal="center" vertical="center" wrapText="1"/>
    </xf>
    <xf numFmtId="177" fontId="67" fillId="0" borderId="15" xfId="0" applyFont="1" applyBorder="1" applyAlignment="1">
      <alignment horizontal="center" vertical="center" wrapText="1"/>
    </xf>
    <xf numFmtId="177" fontId="64" fillId="3" borderId="97" xfId="0" applyFont="1" applyFill="1" applyBorder="1" applyAlignment="1">
      <alignment horizontal="center"/>
    </xf>
    <xf numFmtId="177" fontId="64" fillId="3" borderId="29" xfId="0" applyFont="1" applyFill="1" applyBorder="1" applyAlignment="1">
      <alignment horizontal="center"/>
    </xf>
    <xf numFmtId="177" fontId="64" fillId="3" borderId="30" xfId="0" applyFont="1" applyFill="1" applyBorder="1" applyAlignment="1">
      <alignment horizontal="center"/>
    </xf>
    <xf numFmtId="178" fontId="11" fillId="0" borderId="98" xfId="0" applyNumberFormat="1" applyFont="1" applyBorder="1" applyAlignment="1">
      <alignment horizontal="center"/>
    </xf>
    <xf numFmtId="178" fontId="11" fillId="0" borderId="43" xfId="0" applyNumberFormat="1" applyFont="1" applyBorder="1" applyAlignment="1">
      <alignment horizontal="center"/>
    </xf>
    <xf numFmtId="177" fontId="11" fillId="0" borderId="31" xfId="0" applyFont="1" applyBorder="1" applyAlignment="1">
      <alignment horizontal="center"/>
    </xf>
    <xf numFmtId="177" fontId="11" fillId="0" borderId="32" xfId="0" applyFont="1" applyBorder="1" applyAlignment="1">
      <alignment horizontal="center"/>
    </xf>
    <xf numFmtId="177" fontId="0" fillId="0" borderId="31" xfId="0" applyBorder="1"/>
    <xf numFmtId="177" fontId="0" fillId="0" borderId="32" xfId="0" applyBorder="1"/>
    <xf numFmtId="170" fontId="11" fillId="0" borderId="32" xfId="0" applyNumberFormat="1" applyFont="1" applyBorder="1"/>
    <xf numFmtId="1" fontId="0" fillId="0" borderId="31" xfId="0" applyNumberFormat="1" applyBorder="1"/>
    <xf numFmtId="1" fontId="0" fillId="0" borderId="32" xfId="0" applyNumberFormat="1" applyBorder="1"/>
    <xf numFmtId="180" fontId="0" fillId="0" borderId="32" xfId="0" applyNumberFormat="1" applyBorder="1"/>
    <xf numFmtId="10" fontId="11" fillId="0" borderId="31" xfId="0" applyNumberFormat="1" applyFont="1" applyBorder="1"/>
    <xf numFmtId="10" fontId="11" fillId="0" borderId="32" xfId="0" applyNumberFormat="1" applyFont="1" applyBorder="1"/>
    <xf numFmtId="1" fontId="0" fillId="0" borderId="31" xfId="0" applyNumberFormat="1" applyBorder="1" applyAlignment="1">
      <alignment horizontal="right"/>
    </xf>
    <xf numFmtId="181" fontId="0" fillId="0" borderId="32" xfId="0" applyNumberFormat="1" applyBorder="1" applyAlignment="1">
      <alignment horizontal="right"/>
    </xf>
    <xf numFmtId="177" fontId="0" fillId="0" borderId="99" xfId="0" applyBorder="1"/>
    <xf numFmtId="177" fontId="0" fillId="0" borderId="100" xfId="0" applyBorder="1"/>
    <xf numFmtId="176" fontId="0" fillId="0" borderId="31" xfId="0" applyNumberFormat="1" applyBorder="1"/>
    <xf numFmtId="176" fontId="0" fillId="0" borderId="32" xfId="0" applyNumberFormat="1" applyBorder="1"/>
    <xf numFmtId="177" fontId="0" fillId="0" borderId="40" xfId="0" applyBorder="1"/>
    <xf numFmtId="168" fontId="0" fillId="0" borderId="31" xfId="0" applyNumberFormat="1" applyBorder="1"/>
    <xf numFmtId="168" fontId="0" fillId="0" borderId="32" xfId="0" applyNumberFormat="1" applyBorder="1"/>
    <xf numFmtId="175" fontId="0" fillId="0" borderId="32" xfId="0" applyNumberFormat="1" applyBorder="1"/>
    <xf numFmtId="168" fontId="0" fillId="0" borderId="36" xfId="0" applyNumberFormat="1" applyBorder="1"/>
    <xf numFmtId="168" fontId="0" fillId="0" borderId="37" xfId="0" applyNumberFormat="1" applyBorder="1"/>
    <xf numFmtId="169" fontId="3" fillId="0" borderId="31" xfId="0" applyNumberFormat="1" applyFont="1" applyBorder="1"/>
    <xf numFmtId="169" fontId="3" fillId="0" borderId="32" xfId="0" applyNumberFormat="1" applyFont="1" applyBorder="1"/>
    <xf numFmtId="168" fontId="6" fillId="0" borderId="31" xfId="0" applyNumberFormat="1" applyFont="1" applyBorder="1" applyAlignment="1">
      <alignment vertical="center"/>
    </xf>
    <xf numFmtId="168" fontId="6" fillId="0" borderId="32" xfId="0" applyNumberFormat="1" applyFont="1" applyBorder="1" applyAlignment="1">
      <alignment vertical="center"/>
    </xf>
    <xf numFmtId="176" fontId="0" fillId="0" borderId="101" xfId="0" applyNumberFormat="1" applyBorder="1"/>
    <xf numFmtId="176" fontId="0" fillId="0" borderId="102" xfId="0" applyNumberFormat="1" applyBorder="1"/>
    <xf numFmtId="176" fontId="18" fillId="0" borderId="31" xfId="0" applyNumberFormat="1" applyFont="1" applyBorder="1"/>
    <xf numFmtId="176" fontId="18" fillId="0" borderId="32" xfId="0" applyNumberFormat="1" applyFont="1" applyBorder="1"/>
    <xf numFmtId="168" fontId="0" fillId="0" borderId="40" xfId="0" applyNumberFormat="1" applyBorder="1"/>
    <xf numFmtId="182" fontId="0" fillId="0" borderId="32" xfId="0" applyNumberFormat="1" applyBorder="1"/>
    <xf numFmtId="179" fontId="0" fillId="0" borderId="32" xfId="0" applyNumberFormat="1" applyBorder="1"/>
    <xf numFmtId="178" fontId="5" fillId="0" borderId="31" xfId="0" applyNumberFormat="1" applyFont="1" applyBorder="1" applyAlignment="1">
      <alignment horizontal="center"/>
    </xf>
    <xf numFmtId="178" fontId="5" fillId="0" borderId="32" xfId="0" applyNumberFormat="1" applyFont="1" applyBorder="1" applyAlignment="1">
      <alignment horizontal="center"/>
    </xf>
    <xf numFmtId="174" fontId="83" fillId="0" borderId="0" xfId="0" applyNumberFormat="1" applyFont="1" applyAlignment="1">
      <alignment vertical="center"/>
    </xf>
    <xf numFmtId="177" fontId="74" fillId="0" borderId="21" xfId="0" applyFont="1" applyBorder="1"/>
    <xf numFmtId="177" fontId="0" fillId="0" borderId="41" xfId="0" applyBorder="1"/>
    <xf numFmtId="177" fontId="91" fillId="0" borderId="41" xfId="0" applyFont="1" applyBorder="1" applyAlignment="1">
      <alignment horizontal="right"/>
    </xf>
    <xf numFmtId="177" fontId="74" fillId="0" borderId="103" xfId="0" applyFont="1" applyBorder="1"/>
    <xf numFmtId="177" fontId="25" fillId="0" borderId="44" xfId="0" applyFont="1" applyBorder="1" applyAlignment="1">
      <alignment horizontal="center"/>
    </xf>
    <xf numFmtId="177" fontId="91" fillId="0" borderId="46" xfId="0" applyFont="1" applyBorder="1" applyAlignment="1">
      <alignment horizontal="center"/>
    </xf>
    <xf numFmtId="177" fontId="0" fillId="0" borderId="46" xfId="0" applyBorder="1"/>
    <xf numFmtId="172" fontId="0" fillId="0" borderId="46" xfId="0" applyNumberFormat="1" applyBorder="1"/>
    <xf numFmtId="172" fontId="3" fillId="0" borderId="46" xfId="0" applyNumberFormat="1" applyFont="1" applyBorder="1"/>
    <xf numFmtId="1" fontId="0" fillId="0" borderId="46" xfId="0" applyNumberFormat="1" applyBorder="1"/>
    <xf numFmtId="172" fontId="11" fillId="0" borderId="46" xfId="0" applyNumberFormat="1" applyFont="1" applyBorder="1"/>
    <xf numFmtId="177" fontId="3" fillId="0" borderId="46" xfId="0" applyFont="1" applyBorder="1"/>
    <xf numFmtId="177" fontId="5" fillId="0" borderId="46" xfId="0" applyFont="1" applyBorder="1"/>
    <xf numFmtId="174" fontId="6" fillId="0" borderId="31" xfId="0" applyNumberFormat="1" applyFont="1" applyBorder="1" applyAlignment="1">
      <alignment vertical="center"/>
    </xf>
    <xf numFmtId="174" fontId="6" fillId="0" borderId="32" xfId="0" applyNumberFormat="1" applyFont="1" applyBorder="1" applyAlignment="1">
      <alignment vertical="center"/>
    </xf>
    <xf numFmtId="168" fontId="7" fillId="0" borderId="40" xfId="0" applyNumberFormat="1" applyFont="1" applyBorder="1"/>
    <xf numFmtId="176" fontId="0" fillId="0" borderId="46" xfId="0" applyNumberFormat="1" applyBorder="1"/>
    <xf numFmtId="177" fontId="83" fillId="0" borderId="104" xfId="0" applyFont="1" applyBorder="1"/>
    <xf numFmtId="177" fontId="0" fillId="0" borderId="105" xfId="0" applyBorder="1"/>
    <xf numFmtId="177" fontId="10" fillId="0" borderId="105" xfId="0" applyFont="1" applyBorder="1" applyAlignment="1">
      <alignment horizontal="center"/>
    </xf>
    <xf numFmtId="176" fontId="0" fillId="0" borderId="106" xfId="0" applyNumberFormat="1" applyBorder="1"/>
    <xf numFmtId="176" fontId="0" fillId="0" borderId="107" xfId="0" applyNumberFormat="1" applyBorder="1"/>
    <xf numFmtId="176" fontId="0" fillId="0" borderId="108" xfId="0" applyNumberFormat="1" applyBorder="1"/>
    <xf numFmtId="177" fontId="74" fillId="0" borderId="45" xfId="0" applyFont="1" applyBorder="1" applyAlignment="1">
      <alignment horizontal="left"/>
    </xf>
    <xf numFmtId="168" fontId="0" fillId="0" borderId="46" xfId="0" applyNumberFormat="1" applyBorder="1"/>
    <xf numFmtId="177" fontId="92" fillId="0" borderId="45" xfId="0" applyFont="1" applyBorder="1"/>
    <xf numFmtId="168" fontId="5" fillId="0" borderId="46" xfId="0" applyNumberFormat="1" applyFont="1" applyBorder="1"/>
    <xf numFmtId="174" fontId="83" fillId="0" borderId="45" xfId="0" applyNumberFormat="1" applyFont="1" applyBorder="1" applyAlignment="1">
      <alignment vertical="center"/>
    </xf>
    <xf numFmtId="168" fontId="6" fillId="0" borderId="46" xfId="0" applyNumberFormat="1" applyFont="1" applyBorder="1" applyAlignment="1">
      <alignment vertical="center"/>
    </xf>
    <xf numFmtId="176" fontId="18" fillId="0" borderId="46" xfId="0" applyNumberFormat="1" applyFont="1" applyBorder="1"/>
    <xf numFmtId="177" fontId="74" fillId="0" borderId="111" xfId="0" applyFont="1" applyBorder="1"/>
    <xf numFmtId="177" fontId="7" fillId="0" borderId="46" xfId="0" applyFont="1" applyBorder="1" applyAlignment="1">
      <alignment horizontal="center"/>
    </xf>
    <xf numFmtId="176" fontId="0" fillId="0" borderId="112" xfId="0" applyNumberFormat="1" applyBorder="1"/>
    <xf numFmtId="174" fontId="60" fillId="0" borderId="113" xfId="0" applyNumberFormat="1" applyFont="1" applyBorder="1" applyAlignment="1">
      <alignment vertical="center"/>
    </xf>
    <xf numFmtId="177" fontId="45" fillId="0" borderId="46" xfId="0" applyFont="1" applyBorder="1"/>
    <xf numFmtId="179" fontId="67" fillId="3" borderId="0" xfId="0" applyNumberFormat="1" applyFont="1" applyFill="1" applyAlignment="1">
      <alignment horizontal="left"/>
    </xf>
    <xf numFmtId="177" fontId="67" fillId="3" borderId="0" xfId="0" applyFont="1" applyFill="1" applyAlignment="1">
      <alignment horizontal="left"/>
    </xf>
    <xf numFmtId="177" fontId="67" fillId="0" borderId="0" xfId="0" applyFont="1" applyAlignment="1">
      <alignment vertical="center"/>
    </xf>
    <xf numFmtId="177" fontId="66" fillId="3" borderId="0" xfId="0" applyFont="1" applyFill="1" applyAlignment="1">
      <alignment horizontal="left"/>
    </xf>
    <xf numFmtId="177" fontId="75" fillId="3" borderId="0" xfId="0" applyFont="1" applyFill="1" applyAlignment="1">
      <alignment horizontal="left" indent="1"/>
    </xf>
    <xf numFmtId="177" fontId="66" fillId="3" borderId="0" xfId="0" applyFont="1" applyFill="1" applyAlignment="1">
      <alignment horizontal="left" indent="1"/>
    </xf>
    <xf numFmtId="177" fontId="67" fillId="3" borderId="0" xfId="0" applyFont="1" applyFill="1" applyAlignment="1">
      <alignment horizontal="left" indent="1"/>
    </xf>
    <xf numFmtId="177" fontId="67" fillId="3" borderId="0" xfId="0" applyFont="1" applyFill="1" applyAlignment="1">
      <alignment vertical="center"/>
    </xf>
    <xf numFmtId="177" fontId="93" fillId="3" borderId="0" xfId="0" applyFont="1" applyFill="1"/>
    <xf numFmtId="177" fontId="66" fillId="3" borderId="0" xfId="0" applyFont="1" applyFill="1"/>
    <xf numFmtId="177" fontId="66" fillId="4" borderId="0" xfId="0" applyFont="1" applyFill="1" applyAlignment="1">
      <alignment horizontal="center"/>
    </xf>
    <xf numFmtId="177" fontId="66" fillId="4" borderId="0" xfId="0" applyFont="1" applyFill="1" applyAlignment="1">
      <alignment horizontal="center" vertical="center"/>
    </xf>
    <xf numFmtId="177" fontId="66" fillId="4" borderId="0" xfId="0" applyFont="1" applyFill="1" applyAlignment="1">
      <alignment vertical="center"/>
    </xf>
    <xf numFmtId="177" fontId="67" fillId="4" borderId="0" xfId="0" applyFont="1" applyFill="1" applyAlignment="1">
      <alignment horizontal="center" vertical="center"/>
    </xf>
    <xf numFmtId="178" fontId="67" fillId="0" borderId="15" xfId="0" applyNumberFormat="1" applyFont="1" applyBorder="1" applyAlignment="1">
      <alignment horizontal="center"/>
    </xf>
    <xf numFmtId="178" fontId="67" fillId="0" borderId="19" xfId="0" applyNumberFormat="1" applyFont="1" applyBorder="1" applyAlignment="1">
      <alignment horizontal="center"/>
    </xf>
    <xf numFmtId="176" fontId="94" fillId="7" borderId="12" xfId="0" applyNumberFormat="1" applyFont="1" applyFill="1" applyBorder="1" applyAlignment="1">
      <alignment horizontal="left" indent="1"/>
    </xf>
    <xf numFmtId="1" fontId="94" fillId="7" borderId="12" xfId="0" applyNumberFormat="1" applyFont="1" applyFill="1" applyBorder="1" applyAlignment="1">
      <alignment horizontal="right"/>
    </xf>
    <xf numFmtId="183" fontId="94" fillId="7" borderId="12" xfId="842" applyNumberFormat="1" applyFont="1" applyFill="1" applyBorder="1" applyAlignment="1">
      <alignment horizontal="right"/>
    </xf>
    <xf numFmtId="1" fontId="94" fillId="7" borderId="97" xfId="0" applyNumberFormat="1" applyFont="1" applyFill="1" applyBorder="1" applyAlignment="1">
      <alignment horizontal="right"/>
    </xf>
    <xf numFmtId="1" fontId="94" fillId="7" borderId="29" xfId="0" applyNumberFormat="1" applyFont="1" applyFill="1" applyBorder="1" applyAlignment="1">
      <alignment horizontal="right"/>
    </xf>
    <xf numFmtId="49" fontId="95" fillId="7" borderId="0" xfId="0" applyNumberFormat="1" applyFont="1" applyFill="1"/>
    <xf numFmtId="165" fontId="95" fillId="7" borderId="31" xfId="0" applyNumberFormat="1" applyFont="1" applyFill="1" applyBorder="1" applyAlignment="1">
      <alignment horizontal="right" indent="2"/>
    </xf>
    <xf numFmtId="165" fontId="95" fillId="7" borderId="32" xfId="0" applyNumberFormat="1" applyFont="1" applyFill="1" applyBorder="1" applyAlignment="1">
      <alignment horizontal="right" indent="2"/>
    </xf>
    <xf numFmtId="1" fontId="95" fillId="7" borderId="109" xfId="0" applyNumberFormat="1" applyFont="1" applyFill="1" applyBorder="1" applyAlignment="1">
      <alignment horizontal="right"/>
    </xf>
    <xf numFmtId="1" fontId="95" fillId="7" borderId="110" xfId="0" applyNumberFormat="1" applyFont="1" applyFill="1" applyBorder="1" applyAlignment="1">
      <alignment horizontal="right"/>
    </xf>
    <xf numFmtId="1" fontId="94" fillId="7" borderId="12" xfId="0" applyNumberFormat="1" applyFont="1" applyFill="1" applyBorder="1" applyAlignment="1">
      <alignment horizontal="center"/>
    </xf>
    <xf numFmtId="14" fontId="94" fillId="7" borderId="12" xfId="0" applyNumberFormat="1" applyFont="1" applyFill="1" applyBorder="1" applyAlignment="1">
      <alignment horizontal="center"/>
    </xf>
    <xf numFmtId="10" fontId="94" fillId="7" borderId="12" xfId="842" applyNumberFormat="1" applyFont="1" applyFill="1" applyBorder="1" applyAlignment="1">
      <alignment horizontal="center"/>
    </xf>
    <xf numFmtId="0" fontId="45" fillId="0" borderId="21" xfId="0" applyNumberFormat="1" applyFont="1" applyBorder="1" applyAlignment="1">
      <alignment horizontal="center"/>
    </xf>
    <xf numFmtId="0" fontId="45" fillId="0" borderId="45" xfId="0" applyNumberFormat="1" applyFont="1" applyBorder="1" applyAlignment="1">
      <alignment horizontal="center"/>
    </xf>
    <xf numFmtId="0" fontId="45" fillId="0" borderId="18" xfId="0" applyNumberFormat="1" applyFont="1" applyBorder="1" applyAlignment="1">
      <alignment horizontal="center"/>
    </xf>
    <xf numFmtId="9" fontId="94" fillId="7" borderId="12" xfId="0" applyNumberFormat="1" applyFont="1" applyFill="1" applyBorder="1" applyAlignment="1">
      <alignment horizontal="left" indent="1"/>
    </xf>
    <xf numFmtId="177" fontId="96" fillId="3" borderId="0" xfId="0" applyFont="1" applyFill="1" applyAlignment="1">
      <alignment horizontal="right" vertical="center"/>
    </xf>
    <xf numFmtId="178" fontId="96" fillId="3" borderId="0" xfId="0" applyNumberFormat="1" applyFont="1" applyFill="1" applyAlignment="1">
      <alignment horizontal="center" vertical="center"/>
    </xf>
    <xf numFmtId="184" fontId="36" fillId="0" borderId="12" xfId="0" applyNumberFormat="1" applyFont="1" applyBorder="1" applyAlignment="1">
      <alignment horizontal="left" indent="1"/>
    </xf>
    <xf numFmtId="177" fontId="67" fillId="0" borderId="12" xfId="0" applyFont="1" applyBorder="1" applyAlignment="1">
      <alignment horizontal="left" vertical="center" wrapText="1" indent="2"/>
    </xf>
    <xf numFmtId="177" fontId="67" fillId="0" borderId="13" xfId="0" applyFont="1" applyBorder="1" applyAlignment="1">
      <alignment horizontal="left" vertical="center" wrapText="1" indent="2"/>
    </xf>
    <xf numFmtId="177" fontId="67" fillId="0" borderId="20" xfId="0" applyFont="1" applyBorder="1" applyAlignment="1">
      <alignment horizontal="left" vertical="center" wrapText="1" indent="2"/>
    </xf>
    <xf numFmtId="177" fontId="67" fillId="0" borderId="21" xfId="0" applyFont="1" applyBorder="1" applyAlignment="1">
      <alignment horizontal="left" vertical="center" wrapText="1" indent="2"/>
    </xf>
    <xf numFmtId="49" fontId="67" fillId="0" borderId="12" xfId="765" applyNumberFormat="1" applyFont="1" applyFill="1" applyBorder="1" applyAlignment="1" applyProtection="1">
      <alignment horizontal="center" vertical="center" wrapText="1"/>
      <protection locked="0"/>
    </xf>
    <xf numFmtId="0" fontId="32" fillId="5" borderId="0" xfId="765" applyFont="1" applyFill="1" applyBorder="1" applyAlignment="1">
      <alignment horizontal="left"/>
    </xf>
    <xf numFmtId="177" fontId="75" fillId="3" borderId="0" xfId="0" applyFont="1" applyFill="1" applyAlignment="1">
      <alignment horizontal="left" vertical="center" wrapText="1"/>
    </xf>
    <xf numFmtId="177" fontId="32" fillId="3" borderId="0" xfId="765" applyNumberFormat="1" applyFont="1" applyFill="1" applyBorder="1" applyAlignment="1">
      <alignment horizontal="center" vertical="top"/>
    </xf>
    <xf numFmtId="178" fontId="67" fillId="0" borderId="15" xfId="0" applyNumberFormat="1" applyFont="1" applyBorder="1" applyAlignment="1">
      <alignment horizontal="center" vertical="center"/>
    </xf>
    <xf numFmtId="49" fontId="41" fillId="7" borderId="12" xfId="765" applyNumberFormat="1" applyFont="1" applyFill="1" applyBorder="1" applyAlignment="1">
      <alignment horizontal="center" vertical="center" wrapText="1"/>
    </xf>
    <xf numFmtId="177" fontId="33" fillId="0" borderId="0" xfId="0" applyFont="1" applyAlignment="1">
      <alignment horizontal="right" indent="4"/>
    </xf>
    <xf numFmtId="177" fontId="19" fillId="3" borderId="0" xfId="0" applyFont="1" applyFill="1" applyAlignment="1">
      <alignment horizontal="left" vertical="center" wrapText="1"/>
    </xf>
    <xf numFmtId="177" fontId="23" fillId="0" borderId="0" xfId="765" applyNumberFormat="1" applyAlignment="1">
      <alignment horizontal="left"/>
    </xf>
    <xf numFmtId="177" fontId="66" fillId="3" borderId="0" xfId="0" applyFont="1" applyFill="1" applyAlignment="1">
      <alignment horizontal="left"/>
    </xf>
    <xf numFmtId="9" fontId="40" fillId="7" borderId="13" xfId="0" applyNumberFormat="1" applyFont="1" applyFill="1" applyBorder="1" applyAlignment="1">
      <alignment horizontal="left" indent="1"/>
    </xf>
    <xf numFmtId="9" fontId="40" fillId="7" borderId="14" xfId="0" applyNumberFormat="1" applyFont="1" applyFill="1" applyBorder="1" applyAlignment="1">
      <alignment horizontal="left" indent="1"/>
    </xf>
    <xf numFmtId="9" fontId="40" fillId="7" borderId="15" xfId="0" applyNumberFormat="1" applyFont="1" applyFill="1" applyBorder="1" applyAlignment="1">
      <alignment horizontal="left" indent="1"/>
    </xf>
    <xf numFmtId="177" fontId="67" fillId="3" borderId="0" xfId="0" applyFont="1" applyFill="1" applyAlignment="1">
      <alignment horizontal="left" vertical="center" wrapText="1"/>
    </xf>
    <xf numFmtId="178" fontId="67" fillId="0" borderId="17" xfId="0" applyNumberFormat="1" applyFont="1" applyBorder="1" applyAlignment="1">
      <alignment horizontal="center" vertical="center"/>
    </xf>
    <xf numFmtId="49" fontId="67" fillId="0" borderId="16" xfId="765" applyNumberFormat="1" applyFont="1" applyFill="1" applyBorder="1" applyAlignment="1" applyProtection="1">
      <alignment horizontal="center" vertical="center" wrapText="1"/>
      <protection locked="0"/>
    </xf>
    <xf numFmtId="177" fontId="67" fillId="0" borderId="16" xfId="0" applyFont="1" applyBorder="1" applyAlignment="1">
      <alignment horizontal="left" vertical="center" wrapText="1" indent="2"/>
    </xf>
    <xf numFmtId="177" fontId="67" fillId="0" borderId="18" xfId="0" applyFont="1" applyBorder="1" applyAlignment="1">
      <alignment horizontal="left" vertical="center" wrapText="1" indent="2"/>
    </xf>
    <xf numFmtId="177" fontId="34" fillId="3" borderId="0" xfId="0" applyFont="1" applyFill="1" applyAlignment="1">
      <alignment horizontal="left"/>
    </xf>
    <xf numFmtId="177" fontId="0" fillId="0" borderId="0" xfId="0" applyAlignment="1">
      <alignment horizontal="right" indent="4"/>
    </xf>
    <xf numFmtId="177" fontId="0" fillId="0" borderId="0" xfId="0" applyAlignment="1">
      <alignment horizontal="left" wrapText="1"/>
    </xf>
    <xf numFmtId="177" fontId="0" fillId="0" borderId="0" xfId="0" applyAlignment="1">
      <alignment horizontal="left" vertical="center" wrapText="1"/>
    </xf>
    <xf numFmtId="177" fontId="3" fillId="0" borderId="0" xfId="0" applyFont="1" applyAlignment="1">
      <alignment horizontal="left" vertical="top" wrapText="1"/>
    </xf>
    <xf numFmtId="177" fontId="3" fillId="0" borderId="0" xfId="0" applyFont="1" applyAlignment="1">
      <alignment horizontal="left" wrapText="1"/>
    </xf>
    <xf numFmtId="177" fontId="45" fillId="0" borderId="0" xfId="0" applyFont="1" applyAlignment="1">
      <alignment horizontal="center" vertical="center"/>
    </xf>
    <xf numFmtId="177" fontId="67" fillId="0" borderId="0" xfId="0" applyFont="1" applyAlignment="1">
      <alignment horizontal="left" vertical="center" wrapText="1"/>
    </xf>
    <xf numFmtId="177" fontId="67" fillId="0" borderId="73" xfId="0" applyFont="1" applyBorder="1" applyAlignment="1">
      <alignment horizontal="left" vertical="center" wrapText="1"/>
    </xf>
    <xf numFmtId="177" fontId="67" fillId="0" borderId="45" xfId="0" applyFont="1" applyBorder="1" applyAlignment="1">
      <alignment horizontal="left" vertical="center" wrapText="1"/>
    </xf>
    <xf numFmtId="177" fontId="67" fillId="0" borderId="9" xfId="0" applyFont="1" applyBorder="1" applyAlignment="1">
      <alignment horizontal="center" vertical="center" wrapText="1"/>
    </xf>
    <xf numFmtId="177" fontId="67" fillId="0" borderId="73" xfId="0" applyFont="1" applyBorder="1" applyAlignment="1">
      <alignment horizontal="center" vertical="center" wrapText="1"/>
    </xf>
    <xf numFmtId="184" fontId="36" fillId="0" borderId="13" xfId="0" applyNumberFormat="1" applyFont="1" applyBorder="1" applyAlignment="1">
      <alignment horizontal="center"/>
    </xf>
    <xf numFmtId="184" fontId="36" fillId="0" borderId="15" xfId="0" applyNumberFormat="1" applyFont="1" applyBorder="1" applyAlignment="1">
      <alignment horizontal="center"/>
    </xf>
    <xf numFmtId="178" fontId="96" fillId="3" borderId="41" xfId="0" applyNumberFormat="1" applyFont="1" applyFill="1" applyBorder="1" applyAlignment="1">
      <alignment horizontal="center" vertical="center"/>
    </xf>
    <xf numFmtId="177" fontId="84" fillId="0" borderId="0" xfId="765" applyNumberFormat="1" applyFont="1" applyBorder="1" applyAlignment="1">
      <alignment horizontal="center" vertical="center"/>
    </xf>
    <xf numFmtId="177" fontId="84" fillId="0" borderId="18" xfId="765" applyNumberFormat="1" applyFont="1" applyBorder="1" applyAlignment="1">
      <alignment horizontal="center" vertical="center"/>
    </xf>
    <xf numFmtId="177" fontId="84" fillId="0" borderId="47" xfId="765" applyNumberFormat="1" applyFont="1" applyBorder="1" applyAlignment="1">
      <alignment horizontal="center" vertical="center"/>
    </xf>
  </cellXfs>
  <cellStyles count="2569">
    <cellStyle name="AFE" xfId="840" xr:uid="{00000000-0005-0000-0000-000000000000}"/>
    <cellStyle name="Currency" xfId="2336" builtinId="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7"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Followed Hyperlink" xfId="891" builtinId="9" hidden="1"/>
    <cellStyle name="Followed Hyperlink" xfId="892" builtinId="9" hidden="1"/>
    <cellStyle name="Followed Hyperlink" xfId="893" builtinId="9" hidden="1"/>
    <cellStyle name="Followed Hyperlink" xfId="894" builtinId="9" hidden="1"/>
    <cellStyle name="Followed Hyperlink" xfId="895" builtinId="9" hidden="1"/>
    <cellStyle name="Followed Hyperlink" xfId="896" builtinId="9" hidden="1"/>
    <cellStyle name="Followed Hyperlink" xfId="897" builtinId="9" hidden="1"/>
    <cellStyle name="Followed Hyperlink" xfId="898" builtinId="9" hidden="1"/>
    <cellStyle name="Followed Hyperlink" xfId="899" builtinId="9" hidden="1"/>
    <cellStyle name="Followed Hyperlink" xfId="900" builtinId="9" hidden="1"/>
    <cellStyle name="Followed Hyperlink" xfId="901" builtinId="9" hidden="1"/>
    <cellStyle name="Followed Hyperlink" xfId="902" builtinId="9" hidden="1"/>
    <cellStyle name="Followed Hyperlink" xfId="903" builtinId="9" hidden="1"/>
    <cellStyle name="Followed Hyperlink" xfId="904" builtinId="9" hidden="1"/>
    <cellStyle name="Followed Hyperlink" xfId="905" builtinId="9" hidden="1"/>
    <cellStyle name="Followed Hyperlink" xfId="906" builtinId="9" hidden="1"/>
    <cellStyle name="Followed Hyperlink" xfId="907" builtinId="9" hidden="1"/>
    <cellStyle name="Followed Hyperlink" xfId="908" builtinId="9" hidden="1"/>
    <cellStyle name="Followed Hyperlink" xfId="909" builtinId="9" hidden="1"/>
    <cellStyle name="Followed Hyperlink" xfId="910" builtinId="9" hidden="1"/>
    <cellStyle name="Followed Hyperlink" xfId="911" builtinId="9" hidden="1"/>
    <cellStyle name="Followed Hyperlink" xfId="912" builtinId="9" hidden="1"/>
    <cellStyle name="Followed Hyperlink" xfId="913" builtinId="9" hidden="1"/>
    <cellStyle name="Followed Hyperlink" xfId="914" builtinId="9" hidden="1"/>
    <cellStyle name="Followed Hyperlink" xfId="915" builtinId="9" hidden="1"/>
    <cellStyle name="Followed Hyperlink" xfId="916" builtinId="9" hidden="1"/>
    <cellStyle name="Followed Hyperlink" xfId="917" builtinId="9" hidden="1"/>
    <cellStyle name="Followed Hyperlink" xfId="918" builtinId="9" hidden="1"/>
    <cellStyle name="Followed Hyperlink" xfId="919" builtinId="9" hidden="1"/>
    <cellStyle name="Followed Hyperlink" xfId="920" builtinId="9" hidden="1"/>
    <cellStyle name="Followed Hyperlink" xfId="921" builtinId="9" hidden="1"/>
    <cellStyle name="Followed Hyperlink" xfId="922" builtinId="9" hidden="1"/>
    <cellStyle name="Followed Hyperlink" xfId="923" builtinId="9" hidden="1"/>
    <cellStyle name="Followed Hyperlink" xfId="924" builtinId="9" hidden="1"/>
    <cellStyle name="Followed Hyperlink" xfId="925" builtinId="9" hidden="1"/>
    <cellStyle name="Followed Hyperlink" xfId="926" builtinId="9" hidden="1"/>
    <cellStyle name="Followed Hyperlink" xfId="927" builtinId="9" hidden="1"/>
    <cellStyle name="Followed Hyperlink" xfId="928" builtinId="9" hidden="1"/>
    <cellStyle name="Followed Hyperlink" xfId="929" builtinId="9" hidden="1"/>
    <cellStyle name="Followed Hyperlink" xfId="930" builtinId="9" hidden="1"/>
    <cellStyle name="Followed Hyperlink" xfId="931" builtinId="9" hidden="1"/>
    <cellStyle name="Followed Hyperlink" xfId="932" builtinId="9" hidden="1"/>
    <cellStyle name="Followed Hyperlink" xfId="933" builtinId="9" hidden="1"/>
    <cellStyle name="Followed Hyperlink" xfId="934" builtinId="9" hidden="1"/>
    <cellStyle name="Followed Hyperlink" xfId="935" builtinId="9" hidden="1"/>
    <cellStyle name="Followed Hyperlink" xfId="936" builtinId="9" hidden="1"/>
    <cellStyle name="Followed Hyperlink" xfId="937" builtinId="9" hidden="1"/>
    <cellStyle name="Followed Hyperlink" xfId="938" builtinId="9" hidden="1"/>
    <cellStyle name="Followed Hyperlink" xfId="939" builtinId="9" hidden="1"/>
    <cellStyle name="Followed Hyperlink" xfId="940" builtinId="9" hidden="1"/>
    <cellStyle name="Followed Hyperlink" xfId="941" builtinId="9" hidden="1"/>
    <cellStyle name="Followed Hyperlink" xfId="942" builtinId="9" hidden="1"/>
    <cellStyle name="Followed Hyperlink" xfId="943" builtinId="9" hidden="1"/>
    <cellStyle name="Followed Hyperlink" xfId="944" builtinId="9" hidden="1"/>
    <cellStyle name="Followed Hyperlink" xfId="945" builtinId="9" hidden="1"/>
    <cellStyle name="Followed Hyperlink" xfId="946" builtinId="9" hidden="1"/>
    <cellStyle name="Followed Hyperlink" xfId="947" builtinId="9" hidden="1"/>
    <cellStyle name="Followed Hyperlink" xfId="948" builtinId="9" hidden="1"/>
    <cellStyle name="Followed Hyperlink" xfId="949" builtinId="9" hidden="1"/>
    <cellStyle name="Followed Hyperlink" xfId="950" builtinId="9" hidden="1"/>
    <cellStyle name="Followed Hyperlink" xfId="951" builtinId="9" hidden="1"/>
    <cellStyle name="Followed Hyperlink" xfId="952" builtinId="9" hidden="1"/>
    <cellStyle name="Followed Hyperlink" xfId="953" builtinId="9" hidden="1"/>
    <cellStyle name="Followed Hyperlink" xfId="954" builtinId="9" hidden="1"/>
    <cellStyle name="Followed Hyperlink" xfId="955" builtinId="9" hidden="1"/>
    <cellStyle name="Followed Hyperlink" xfId="956" builtinId="9" hidden="1"/>
    <cellStyle name="Followed Hyperlink" xfId="957" builtinId="9" hidden="1"/>
    <cellStyle name="Followed Hyperlink" xfId="958" builtinId="9" hidden="1"/>
    <cellStyle name="Followed Hyperlink" xfId="959" builtinId="9" hidden="1"/>
    <cellStyle name="Followed Hyperlink" xfId="960" builtinId="9" hidden="1"/>
    <cellStyle name="Followed Hyperlink" xfId="961" builtinId="9" hidden="1"/>
    <cellStyle name="Followed Hyperlink" xfId="962" builtinId="9" hidden="1"/>
    <cellStyle name="Followed Hyperlink" xfId="963" builtinId="9" hidden="1"/>
    <cellStyle name="Followed Hyperlink" xfId="964" builtinId="9" hidden="1"/>
    <cellStyle name="Followed Hyperlink" xfId="965" builtinId="9" hidden="1"/>
    <cellStyle name="Followed Hyperlink" xfId="966" builtinId="9" hidden="1"/>
    <cellStyle name="Followed Hyperlink" xfId="967" builtinId="9" hidden="1"/>
    <cellStyle name="Followed Hyperlink" xfId="968" builtinId="9" hidden="1"/>
    <cellStyle name="Followed Hyperlink" xfId="969" builtinId="9" hidden="1"/>
    <cellStyle name="Followed Hyperlink" xfId="970" builtinId="9" hidden="1"/>
    <cellStyle name="Followed Hyperlink" xfId="971" builtinId="9" hidden="1"/>
    <cellStyle name="Followed Hyperlink" xfId="972" builtinId="9" hidden="1"/>
    <cellStyle name="Followed Hyperlink" xfId="973" builtinId="9" hidden="1"/>
    <cellStyle name="Followed Hyperlink" xfId="974" builtinId="9" hidden="1"/>
    <cellStyle name="Followed Hyperlink" xfId="975" builtinId="9" hidden="1"/>
    <cellStyle name="Followed Hyperlink" xfId="976" builtinId="9" hidden="1"/>
    <cellStyle name="Followed Hyperlink" xfId="977" builtinId="9" hidden="1"/>
    <cellStyle name="Followed Hyperlink" xfId="978" builtinId="9" hidden="1"/>
    <cellStyle name="Followed Hyperlink" xfId="979" builtinId="9" hidden="1"/>
    <cellStyle name="Followed Hyperlink" xfId="980" builtinId="9" hidden="1"/>
    <cellStyle name="Followed Hyperlink" xfId="981" builtinId="9" hidden="1"/>
    <cellStyle name="Followed Hyperlink" xfId="982" builtinId="9" hidden="1"/>
    <cellStyle name="Followed Hyperlink" xfId="983" builtinId="9" hidden="1"/>
    <cellStyle name="Followed Hyperlink" xfId="984" builtinId="9" hidden="1"/>
    <cellStyle name="Followed Hyperlink" xfId="985" builtinId="9" hidden="1"/>
    <cellStyle name="Followed Hyperlink" xfId="986" builtinId="9" hidden="1"/>
    <cellStyle name="Followed Hyperlink" xfId="987" builtinId="9" hidden="1"/>
    <cellStyle name="Followed Hyperlink" xfId="988" builtinId="9" hidden="1"/>
    <cellStyle name="Followed Hyperlink" xfId="989" builtinId="9" hidden="1"/>
    <cellStyle name="Followed Hyperlink" xfId="990" builtinId="9" hidden="1"/>
    <cellStyle name="Followed Hyperlink" xfId="991" builtinId="9" hidden="1"/>
    <cellStyle name="Followed Hyperlink" xfId="992" builtinId="9" hidden="1"/>
    <cellStyle name="Followed Hyperlink" xfId="993" builtinId="9" hidden="1"/>
    <cellStyle name="Followed Hyperlink" xfId="994" builtinId="9" hidden="1"/>
    <cellStyle name="Followed Hyperlink" xfId="995" builtinId="9" hidden="1"/>
    <cellStyle name="Followed Hyperlink" xfId="996" builtinId="9" hidden="1"/>
    <cellStyle name="Followed Hyperlink" xfId="997" builtinId="9" hidden="1"/>
    <cellStyle name="Followed Hyperlink" xfId="998" builtinId="9" hidden="1"/>
    <cellStyle name="Followed Hyperlink" xfId="999" builtinId="9" hidden="1"/>
    <cellStyle name="Followed Hyperlink" xfId="1000" builtinId="9" hidden="1"/>
    <cellStyle name="Followed Hyperlink" xfId="1001" builtinId="9" hidden="1"/>
    <cellStyle name="Followed Hyperlink" xfId="1002" builtinId="9" hidden="1"/>
    <cellStyle name="Followed Hyperlink" xfId="1003" builtinId="9" hidden="1"/>
    <cellStyle name="Followed Hyperlink" xfId="1004" builtinId="9" hidden="1"/>
    <cellStyle name="Followed Hyperlink" xfId="1005" builtinId="9" hidden="1"/>
    <cellStyle name="Followed Hyperlink" xfId="1006" builtinId="9" hidden="1"/>
    <cellStyle name="Followed Hyperlink" xfId="1007" builtinId="9" hidden="1"/>
    <cellStyle name="Followed Hyperlink" xfId="1008" builtinId="9" hidden="1"/>
    <cellStyle name="Followed Hyperlink" xfId="1009" builtinId="9" hidden="1"/>
    <cellStyle name="Followed Hyperlink" xfId="1010" builtinId="9" hidden="1"/>
    <cellStyle name="Followed Hyperlink" xfId="1011" builtinId="9" hidden="1"/>
    <cellStyle name="Followed Hyperlink" xfId="1012" builtinId="9" hidden="1"/>
    <cellStyle name="Followed Hyperlink" xfId="1013" builtinId="9" hidden="1"/>
    <cellStyle name="Followed Hyperlink" xfId="1014" builtinId="9" hidden="1"/>
    <cellStyle name="Followed Hyperlink" xfId="1015" builtinId="9" hidden="1"/>
    <cellStyle name="Followed Hyperlink" xfId="1016" builtinId="9" hidden="1"/>
    <cellStyle name="Followed Hyperlink" xfId="1017" builtinId="9" hidden="1"/>
    <cellStyle name="Followed Hyperlink" xfId="1018" builtinId="9" hidden="1"/>
    <cellStyle name="Followed Hyperlink" xfId="1019" builtinId="9" hidden="1"/>
    <cellStyle name="Followed Hyperlink" xfId="1020" builtinId="9" hidden="1"/>
    <cellStyle name="Followed Hyperlink" xfId="1021" builtinId="9" hidden="1"/>
    <cellStyle name="Followed Hyperlink" xfId="1022" builtinId="9" hidden="1"/>
    <cellStyle name="Followed Hyperlink" xfId="1023" builtinId="9" hidden="1"/>
    <cellStyle name="Followed Hyperlink" xfId="1024" builtinId="9" hidden="1"/>
    <cellStyle name="Followed Hyperlink" xfId="1025" builtinId="9" hidden="1"/>
    <cellStyle name="Followed Hyperlink" xfId="1026" builtinId="9" hidden="1"/>
    <cellStyle name="Followed Hyperlink" xfId="1027" builtinId="9" hidden="1"/>
    <cellStyle name="Followed Hyperlink" xfId="1028" builtinId="9" hidden="1"/>
    <cellStyle name="Followed Hyperlink" xfId="1029" builtinId="9" hidden="1"/>
    <cellStyle name="Followed Hyperlink" xfId="1030" builtinId="9" hidden="1"/>
    <cellStyle name="Followed Hyperlink" xfId="1031" builtinId="9" hidden="1"/>
    <cellStyle name="Followed Hyperlink" xfId="1032" builtinId="9" hidden="1"/>
    <cellStyle name="Followed Hyperlink" xfId="1033" builtinId="9" hidden="1"/>
    <cellStyle name="Followed Hyperlink" xfId="1034" builtinId="9" hidden="1"/>
    <cellStyle name="Followed Hyperlink" xfId="1035" builtinId="9" hidden="1"/>
    <cellStyle name="Followed Hyperlink" xfId="1036" builtinId="9" hidden="1"/>
    <cellStyle name="Followed Hyperlink" xfId="1037" builtinId="9" hidden="1"/>
    <cellStyle name="Followed Hyperlink" xfId="1038" builtinId="9" hidden="1"/>
    <cellStyle name="Followed Hyperlink" xfId="1039" builtinId="9" hidden="1"/>
    <cellStyle name="Followed Hyperlink" xfId="1040" builtinId="9" hidden="1"/>
    <cellStyle name="Followed Hyperlink" xfId="1041" builtinId="9" hidden="1"/>
    <cellStyle name="Followed Hyperlink" xfId="1042" builtinId="9" hidden="1"/>
    <cellStyle name="Followed Hyperlink" xfId="1043" builtinId="9" hidden="1"/>
    <cellStyle name="Followed Hyperlink" xfId="1044" builtinId="9" hidden="1"/>
    <cellStyle name="Followed Hyperlink" xfId="1045" builtinId="9" hidden="1"/>
    <cellStyle name="Followed Hyperlink" xfId="1046" builtinId="9" hidden="1"/>
    <cellStyle name="Followed Hyperlink" xfId="1047" builtinId="9" hidden="1"/>
    <cellStyle name="Followed Hyperlink" xfId="1048" builtinId="9" hidden="1"/>
    <cellStyle name="Followed Hyperlink" xfId="1049" builtinId="9" hidden="1"/>
    <cellStyle name="Followed Hyperlink" xfId="1050" builtinId="9" hidden="1"/>
    <cellStyle name="Followed Hyperlink" xfId="1051" builtinId="9" hidden="1"/>
    <cellStyle name="Followed Hyperlink" xfId="1052" builtinId="9" hidden="1"/>
    <cellStyle name="Followed Hyperlink" xfId="1053" builtinId="9" hidden="1"/>
    <cellStyle name="Followed Hyperlink" xfId="1054" builtinId="9" hidden="1"/>
    <cellStyle name="Followed Hyperlink" xfId="1055" builtinId="9" hidden="1"/>
    <cellStyle name="Followed Hyperlink" xfId="1056" builtinId="9" hidden="1"/>
    <cellStyle name="Followed Hyperlink" xfId="1057" builtinId="9" hidden="1"/>
    <cellStyle name="Followed Hyperlink" xfId="1058" builtinId="9" hidden="1"/>
    <cellStyle name="Followed Hyperlink" xfId="1059" builtinId="9" hidden="1"/>
    <cellStyle name="Followed Hyperlink" xfId="1060" builtinId="9" hidden="1"/>
    <cellStyle name="Followed Hyperlink" xfId="1061" builtinId="9" hidden="1"/>
    <cellStyle name="Followed Hyperlink" xfId="1062" builtinId="9" hidden="1"/>
    <cellStyle name="Followed Hyperlink" xfId="1063" builtinId="9" hidden="1"/>
    <cellStyle name="Followed Hyperlink" xfId="1064" builtinId="9" hidden="1"/>
    <cellStyle name="Followed Hyperlink" xfId="1065" builtinId="9" hidden="1"/>
    <cellStyle name="Followed Hyperlink" xfId="1066" builtinId="9" hidden="1"/>
    <cellStyle name="Followed Hyperlink" xfId="1067" builtinId="9" hidden="1"/>
    <cellStyle name="Followed Hyperlink" xfId="1068" builtinId="9" hidden="1"/>
    <cellStyle name="Followed Hyperlink" xfId="1069" builtinId="9" hidden="1"/>
    <cellStyle name="Followed Hyperlink" xfId="1070" builtinId="9" hidden="1"/>
    <cellStyle name="Followed Hyperlink" xfId="1071" builtinId="9" hidden="1"/>
    <cellStyle name="Followed Hyperlink" xfId="1072" builtinId="9" hidden="1"/>
    <cellStyle name="Followed Hyperlink" xfId="1073" builtinId="9" hidden="1"/>
    <cellStyle name="Followed Hyperlink" xfId="1074" builtinId="9" hidden="1"/>
    <cellStyle name="Followed Hyperlink" xfId="1075" builtinId="9" hidden="1"/>
    <cellStyle name="Followed Hyperlink" xfId="1076" builtinId="9" hidden="1"/>
    <cellStyle name="Followed Hyperlink" xfId="1077" builtinId="9" hidden="1"/>
    <cellStyle name="Followed Hyperlink" xfId="1078" builtinId="9" hidden="1"/>
    <cellStyle name="Followed Hyperlink" xfId="1079" builtinId="9" hidden="1"/>
    <cellStyle name="Followed Hyperlink" xfId="1080" builtinId="9" hidden="1"/>
    <cellStyle name="Followed Hyperlink" xfId="1081" builtinId="9" hidden="1"/>
    <cellStyle name="Followed Hyperlink" xfId="1082" builtinId="9" hidden="1"/>
    <cellStyle name="Followed Hyperlink" xfId="1083" builtinId="9" hidden="1"/>
    <cellStyle name="Followed Hyperlink" xfId="1084" builtinId="9" hidden="1"/>
    <cellStyle name="Followed Hyperlink" xfId="1085" builtinId="9" hidden="1"/>
    <cellStyle name="Followed Hyperlink" xfId="1086" builtinId="9" hidden="1"/>
    <cellStyle name="Followed Hyperlink" xfId="1087" builtinId="9" hidden="1"/>
    <cellStyle name="Followed Hyperlink" xfId="1088" builtinId="9" hidden="1"/>
    <cellStyle name="Followed Hyperlink" xfId="1089" builtinId="9" hidden="1"/>
    <cellStyle name="Followed Hyperlink" xfId="1090" builtinId="9" hidden="1"/>
    <cellStyle name="Followed Hyperlink" xfId="1091" builtinId="9" hidden="1"/>
    <cellStyle name="Followed Hyperlink" xfId="1092" builtinId="9" hidden="1"/>
    <cellStyle name="Followed Hyperlink" xfId="1093" builtinId="9" hidden="1"/>
    <cellStyle name="Followed Hyperlink" xfId="1094" builtinId="9" hidden="1"/>
    <cellStyle name="Followed Hyperlink" xfId="1095" builtinId="9" hidden="1"/>
    <cellStyle name="Followed Hyperlink" xfId="1096" builtinId="9" hidden="1"/>
    <cellStyle name="Followed Hyperlink" xfId="1097" builtinId="9" hidden="1"/>
    <cellStyle name="Followed Hyperlink" xfId="1098" builtinId="9" hidden="1"/>
    <cellStyle name="Followed Hyperlink" xfId="1099" builtinId="9" hidden="1"/>
    <cellStyle name="Followed Hyperlink" xfId="1100" builtinId="9" hidden="1"/>
    <cellStyle name="Followed Hyperlink" xfId="1101" builtinId="9" hidden="1"/>
    <cellStyle name="Followed Hyperlink" xfId="1102" builtinId="9" hidden="1"/>
    <cellStyle name="Followed Hyperlink" xfId="1103" builtinId="9" hidden="1"/>
    <cellStyle name="Followed Hyperlink" xfId="1104" builtinId="9" hidden="1"/>
    <cellStyle name="Followed Hyperlink" xfId="1105" builtinId="9" hidden="1"/>
    <cellStyle name="Followed Hyperlink" xfId="1106" builtinId="9" hidden="1"/>
    <cellStyle name="Followed Hyperlink" xfId="1107" builtinId="9" hidden="1"/>
    <cellStyle name="Followed Hyperlink" xfId="1108" builtinId="9" hidden="1"/>
    <cellStyle name="Followed Hyperlink" xfId="1109" builtinId="9" hidden="1"/>
    <cellStyle name="Followed Hyperlink" xfId="1110" builtinId="9" hidden="1"/>
    <cellStyle name="Followed Hyperlink" xfId="1111" builtinId="9" hidden="1"/>
    <cellStyle name="Followed Hyperlink" xfId="1112" builtinId="9" hidden="1"/>
    <cellStyle name="Followed Hyperlink" xfId="1113" builtinId="9" hidden="1"/>
    <cellStyle name="Followed Hyperlink" xfId="1114" builtinId="9" hidden="1"/>
    <cellStyle name="Followed Hyperlink" xfId="1115" builtinId="9" hidden="1"/>
    <cellStyle name="Followed Hyperlink" xfId="1116" builtinId="9" hidden="1"/>
    <cellStyle name="Followed Hyperlink" xfId="1117" builtinId="9" hidden="1"/>
    <cellStyle name="Followed Hyperlink" xfId="1118" builtinId="9" hidden="1"/>
    <cellStyle name="Followed Hyperlink" xfId="1119" builtinId="9" hidden="1"/>
    <cellStyle name="Followed Hyperlink" xfId="1120" builtinId="9" hidden="1"/>
    <cellStyle name="Followed Hyperlink" xfId="1121" builtinId="9" hidden="1"/>
    <cellStyle name="Followed Hyperlink" xfId="1122" builtinId="9" hidden="1"/>
    <cellStyle name="Followed Hyperlink" xfId="1123" builtinId="9" hidden="1"/>
    <cellStyle name="Followed Hyperlink" xfId="1124" builtinId="9" hidden="1"/>
    <cellStyle name="Followed Hyperlink" xfId="1125" builtinId="9" hidden="1"/>
    <cellStyle name="Followed Hyperlink" xfId="1126" builtinId="9" hidden="1"/>
    <cellStyle name="Followed Hyperlink" xfId="1127" builtinId="9" hidden="1"/>
    <cellStyle name="Followed Hyperlink" xfId="1128" builtinId="9" hidden="1"/>
    <cellStyle name="Followed Hyperlink" xfId="1129" builtinId="9" hidden="1"/>
    <cellStyle name="Followed Hyperlink" xfId="1130" builtinId="9" hidden="1"/>
    <cellStyle name="Followed Hyperlink" xfId="1131" builtinId="9" hidden="1"/>
    <cellStyle name="Followed Hyperlink" xfId="1132" builtinId="9" hidden="1"/>
    <cellStyle name="Followed Hyperlink" xfId="1133" builtinId="9" hidden="1"/>
    <cellStyle name="Followed Hyperlink" xfId="1134" builtinId="9" hidden="1"/>
    <cellStyle name="Followed Hyperlink" xfId="1135" builtinId="9" hidden="1"/>
    <cellStyle name="Followed Hyperlink" xfId="1136" builtinId="9" hidden="1"/>
    <cellStyle name="Followed Hyperlink" xfId="1137" builtinId="9" hidden="1"/>
    <cellStyle name="Followed Hyperlink" xfId="1138" builtinId="9" hidden="1"/>
    <cellStyle name="Followed Hyperlink" xfId="1139" builtinId="9" hidden="1"/>
    <cellStyle name="Followed Hyperlink" xfId="1140" builtinId="9" hidden="1"/>
    <cellStyle name="Followed Hyperlink" xfId="1141" builtinId="9" hidden="1"/>
    <cellStyle name="Followed Hyperlink" xfId="1142" builtinId="9" hidden="1"/>
    <cellStyle name="Followed Hyperlink" xfId="1143" builtinId="9" hidden="1"/>
    <cellStyle name="Followed Hyperlink" xfId="1144" builtinId="9" hidden="1"/>
    <cellStyle name="Followed Hyperlink" xfId="1145" builtinId="9" hidden="1"/>
    <cellStyle name="Followed Hyperlink" xfId="1146" builtinId="9" hidden="1"/>
    <cellStyle name="Followed Hyperlink" xfId="1147" builtinId="9" hidden="1"/>
    <cellStyle name="Followed Hyperlink" xfId="1148" builtinId="9" hidden="1"/>
    <cellStyle name="Followed Hyperlink" xfId="1149" builtinId="9" hidden="1"/>
    <cellStyle name="Followed Hyperlink" xfId="1150" builtinId="9" hidden="1"/>
    <cellStyle name="Followed Hyperlink" xfId="1151" builtinId="9" hidden="1"/>
    <cellStyle name="Followed Hyperlink" xfId="1152" builtinId="9" hidden="1"/>
    <cellStyle name="Followed Hyperlink" xfId="1153" builtinId="9" hidden="1"/>
    <cellStyle name="Followed Hyperlink" xfId="1154" builtinId="9" hidden="1"/>
    <cellStyle name="Followed Hyperlink" xfId="1155" builtinId="9" hidden="1"/>
    <cellStyle name="Followed Hyperlink" xfId="1156" builtinId="9" hidden="1"/>
    <cellStyle name="Followed Hyperlink" xfId="1157" builtinId="9" hidden="1"/>
    <cellStyle name="Followed Hyperlink" xfId="1158" builtinId="9" hidden="1"/>
    <cellStyle name="Followed Hyperlink" xfId="1159" builtinId="9" hidden="1"/>
    <cellStyle name="Followed Hyperlink" xfId="1160" builtinId="9" hidden="1"/>
    <cellStyle name="Followed Hyperlink" xfId="1161" builtinId="9" hidden="1"/>
    <cellStyle name="Followed Hyperlink" xfId="1162" builtinId="9" hidden="1"/>
    <cellStyle name="Followed Hyperlink" xfId="1163" builtinId="9" hidden="1"/>
    <cellStyle name="Followed Hyperlink" xfId="1164" builtinId="9" hidden="1"/>
    <cellStyle name="Followed Hyperlink" xfId="1165" builtinId="9" hidden="1"/>
    <cellStyle name="Followed Hyperlink" xfId="1166" builtinId="9" hidden="1"/>
    <cellStyle name="Followed Hyperlink" xfId="1167" builtinId="9" hidden="1"/>
    <cellStyle name="Followed Hyperlink" xfId="1168" builtinId="9" hidden="1"/>
    <cellStyle name="Followed Hyperlink" xfId="1169" builtinId="9" hidden="1"/>
    <cellStyle name="Followed Hyperlink" xfId="1170" builtinId="9" hidden="1"/>
    <cellStyle name="Followed Hyperlink" xfId="1171" builtinId="9" hidden="1"/>
    <cellStyle name="Followed Hyperlink" xfId="1172" builtinId="9" hidden="1"/>
    <cellStyle name="Followed Hyperlink" xfId="1173" builtinId="9" hidden="1"/>
    <cellStyle name="Followed Hyperlink" xfId="1174" builtinId="9" hidden="1"/>
    <cellStyle name="Followed Hyperlink" xfId="1175" builtinId="9" hidden="1"/>
    <cellStyle name="Followed Hyperlink" xfId="1176" builtinId="9" hidden="1"/>
    <cellStyle name="Followed Hyperlink" xfId="1177" builtinId="9" hidden="1"/>
    <cellStyle name="Followed Hyperlink" xfId="1178" builtinId="9" hidden="1"/>
    <cellStyle name="Followed Hyperlink" xfId="1179" builtinId="9" hidden="1"/>
    <cellStyle name="Followed Hyperlink" xfId="1180" builtinId="9" hidden="1"/>
    <cellStyle name="Followed Hyperlink" xfId="1181" builtinId="9" hidden="1"/>
    <cellStyle name="Followed Hyperlink" xfId="1182" builtinId="9" hidden="1"/>
    <cellStyle name="Followed Hyperlink" xfId="1183" builtinId="9" hidden="1"/>
    <cellStyle name="Followed Hyperlink" xfId="1184" builtinId="9" hidden="1"/>
    <cellStyle name="Followed Hyperlink" xfId="1185" builtinId="9" hidden="1"/>
    <cellStyle name="Followed Hyperlink" xfId="1186" builtinId="9" hidden="1"/>
    <cellStyle name="Followed Hyperlink" xfId="1187" builtinId="9" hidden="1"/>
    <cellStyle name="Followed Hyperlink" xfId="1188" builtinId="9" hidden="1"/>
    <cellStyle name="Followed Hyperlink" xfId="1189" builtinId="9" hidden="1"/>
    <cellStyle name="Followed Hyperlink" xfId="1190" builtinId="9" hidden="1"/>
    <cellStyle name="Followed Hyperlink" xfId="1191" builtinId="9" hidden="1"/>
    <cellStyle name="Followed Hyperlink" xfId="1192" builtinId="9" hidden="1"/>
    <cellStyle name="Followed Hyperlink" xfId="1193" builtinId="9" hidden="1"/>
    <cellStyle name="Followed Hyperlink" xfId="1194" builtinId="9" hidden="1"/>
    <cellStyle name="Followed Hyperlink" xfId="1195" builtinId="9" hidden="1"/>
    <cellStyle name="Followed Hyperlink" xfId="1196" builtinId="9" hidden="1"/>
    <cellStyle name="Followed Hyperlink" xfId="1197" builtinId="9" hidden="1"/>
    <cellStyle name="Followed Hyperlink" xfId="1198" builtinId="9" hidden="1"/>
    <cellStyle name="Followed Hyperlink" xfId="1199" builtinId="9" hidden="1"/>
    <cellStyle name="Followed Hyperlink" xfId="1200" builtinId="9" hidden="1"/>
    <cellStyle name="Followed Hyperlink" xfId="1201" builtinId="9" hidden="1"/>
    <cellStyle name="Followed Hyperlink" xfId="1202" builtinId="9" hidden="1"/>
    <cellStyle name="Followed Hyperlink" xfId="1203" builtinId="9" hidden="1"/>
    <cellStyle name="Followed Hyperlink" xfId="1204" builtinId="9" hidden="1"/>
    <cellStyle name="Followed Hyperlink" xfId="1205" builtinId="9" hidden="1"/>
    <cellStyle name="Followed Hyperlink" xfId="1206" builtinId="9" hidden="1"/>
    <cellStyle name="Followed Hyperlink" xfId="1207" builtinId="9" hidden="1"/>
    <cellStyle name="Followed Hyperlink" xfId="1208" builtinId="9" hidden="1"/>
    <cellStyle name="Followed Hyperlink" xfId="1209" builtinId="9" hidden="1"/>
    <cellStyle name="Followed Hyperlink" xfId="1210" builtinId="9" hidden="1"/>
    <cellStyle name="Followed Hyperlink" xfId="1211" builtinId="9" hidden="1"/>
    <cellStyle name="Followed Hyperlink" xfId="1212" builtinId="9" hidden="1"/>
    <cellStyle name="Followed Hyperlink" xfId="1213" builtinId="9" hidden="1"/>
    <cellStyle name="Followed Hyperlink" xfId="1214" builtinId="9" hidden="1"/>
    <cellStyle name="Followed Hyperlink" xfId="1215" builtinId="9" hidden="1"/>
    <cellStyle name="Followed Hyperlink" xfId="1216" builtinId="9" hidden="1"/>
    <cellStyle name="Followed Hyperlink" xfId="1217" builtinId="9" hidden="1"/>
    <cellStyle name="Followed Hyperlink" xfId="1218" builtinId="9" hidden="1"/>
    <cellStyle name="Followed Hyperlink" xfId="1219" builtinId="9" hidden="1"/>
    <cellStyle name="Followed Hyperlink" xfId="1220" builtinId="9" hidden="1"/>
    <cellStyle name="Followed Hyperlink" xfId="1221" builtinId="9" hidden="1"/>
    <cellStyle name="Followed Hyperlink" xfId="1222" builtinId="9" hidden="1"/>
    <cellStyle name="Followed Hyperlink" xfId="1223" builtinId="9" hidden="1"/>
    <cellStyle name="Followed Hyperlink" xfId="1224" builtinId="9" hidden="1"/>
    <cellStyle name="Followed Hyperlink" xfId="1225" builtinId="9" hidden="1"/>
    <cellStyle name="Followed Hyperlink" xfId="1226" builtinId="9" hidden="1"/>
    <cellStyle name="Followed Hyperlink" xfId="1227" builtinId="9" hidden="1"/>
    <cellStyle name="Followed Hyperlink" xfId="1228" builtinId="9" hidden="1"/>
    <cellStyle name="Followed Hyperlink" xfId="1229" builtinId="9" hidden="1"/>
    <cellStyle name="Followed Hyperlink" xfId="1230" builtinId="9" hidden="1"/>
    <cellStyle name="Followed Hyperlink" xfId="1231" builtinId="9" hidden="1"/>
    <cellStyle name="Followed Hyperlink" xfId="1232" builtinId="9" hidden="1"/>
    <cellStyle name="Followed Hyperlink" xfId="1233" builtinId="9" hidden="1"/>
    <cellStyle name="Followed Hyperlink" xfId="1234" builtinId="9" hidden="1"/>
    <cellStyle name="Followed Hyperlink" xfId="1235" builtinId="9" hidden="1"/>
    <cellStyle name="Followed Hyperlink" xfId="1236" builtinId="9" hidden="1"/>
    <cellStyle name="Followed Hyperlink" xfId="1237" builtinId="9" hidden="1"/>
    <cellStyle name="Followed Hyperlink" xfId="1238" builtinId="9" hidden="1"/>
    <cellStyle name="Followed Hyperlink" xfId="1239" builtinId="9" hidden="1"/>
    <cellStyle name="Followed Hyperlink" xfId="1240" builtinId="9" hidden="1"/>
    <cellStyle name="Followed Hyperlink" xfId="1241" builtinId="9" hidden="1"/>
    <cellStyle name="Followed Hyperlink" xfId="1242" builtinId="9" hidden="1"/>
    <cellStyle name="Followed Hyperlink" xfId="1243" builtinId="9" hidden="1"/>
    <cellStyle name="Followed Hyperlink" xfId="1244" builtinId="9" hidden="1"/>
    <cellStyle name="Followed Hyperlink" xfId="1245" builtinId="9" hidden="1"/>
    <cellStyle name="Followed Hyperlink" xfId="1246" builtinId="9" hidden="1"/>
    <cellStyle name="Followed Hyperlink" xfId="1247" builtinId="9" hidden="1"/>
    <cellStyle name="Followed Hyperlink" xfId="1248" builtinId="9" hidden="1"/>
    <cellStyle name="Followed Hyperlink" xfId="1249" builtinId="9" hidden="1"/>
    <cellStyle name="Followed Hyperlink" xfId="1250" builtinId="9" hidden="1"/>
    <cellStyle name="Followed Hyperlink" xfId="1251" builtinId="9" hidden="1"/>
    <cellStyle name="Followed Hyperlink" xfId="1252" builtinId="9" hidden="1"/>
    <cellStyle name="Followed Hyperlink" xfId="1253" builtinId="9" hidden="1"/>
    <cellStyle name="Followed Hyperlink" xfId="1254" builtinId="9" hidden="1"/>
    <cellStyle name="Followed Hyperlink" xfId="1255" builtinId="9" hidden="1"/>
    <cellStyle name="Followed Hyperlink" xfId="1256" builtinId="9" hidden="1"/>
    <cellStyle name="Followed Hyperlink" xfId="1257" builtinId="9" hidden="1"/>
    <cellStyle name="Followed Hyperlink" xfId="1258" builtinId="9" hidden="1"/>
    <cellStyle name="Followed Hyperlink" xfId="1259" builtinId="9" hidden="1"/>
    <cellStyle name="Followed Hyperlink" xfId="1260" builtinId="9" hidden="1"/>
    <cellStyle name="Followed Hyperlink" xfId="1261" builtinId="9" hidden="1"/>
    <cellStyle name="Followed Hyperlink" xfId="1262" builtinId="9" hidden="1"/>
    <cellStyle name="Followed Hyperlink" xfId="1263" builtinId="9" hidden="1"/>
    <cellStyle name="Followed Hyperlink" xfId="1266" builtinId="9" hidden="1"/>
    <cellStyle name="Followed Hyperlink" xfId="1267" builtinId="9" hidden="1"/>
    <cellStyle name="Followed Hyperlink" xfId="1268" builtinId="9" hidden="1"/>
    <cellStyle name="Followed Hyperlink" xfId="1269" builtinId="9" hidden="1"/>
    <cellStyle name="Followed Hyperlink" xfId="1270" builtinId="9" hidden="1"/>
    <cellStyle name="Followed Hyperlink" xfId="1271" builtinId="9" hidden="1"/>
    <cellStyle name="Followed Hyperlink" xfId="1272" builtinId="9" hidden="1"/>
    <cellStyle name="Followed Hyperlink" xfId="1273" builtinId="9" hidden="1"/>
    <cellStyle name="Followed Hyperlink" xfId="1274" builtinId="9" hidden="1"/>
    <cellStyle name="Followed Hyperlink" xfId="1275" builtinId="9" hidden="1"/>
    <cellStyle name="Followed Hyperlink" xfId="1276" builtinId="9" hidden="1"/>
    <cellStyle name="Followed Hyperlink" xfId="1277" builtinId="9" hidden="1"/>
    <cellStyle name="Followed Hyperlink" xfId="1278" builtinId="9" hidden="1"/>
    <cellStyle name="Followed Hyperlink" xfId="1279" builtinId="9" hidden="1"/>
    <cellStyle name="Followed Hyperlink" xfId="1280" builtinId="9" hidden="1"/>
    <cellStyle name="Followed Hyperlink" xfId="1281" builtinId="9" hidden="1"/>
    <cellStyle name="Followed Hyperlink" xfId="1282" builtinId="9" hidden="1"/>
    <cellStyle name="Followed Hyperlink" xfId="1283" builtinId="9" hidden="1"/>
    <cellStyle name="Followed Hyperlink" xfId="1284" builtinId="9" hidden="1"/>
    <cellStyle name="Followed Hyperlink" xfId="1285" builtinId="9" hidden="1"/>
    <cellStyle name="Followed Hyperlink" xfId="1286" builtinId="9" hidden="1"/>
    <cellStyle name="Followed Hyperlink" xfId="1287" builtinId="9" hidden="1"/>
    <cellStyle name="Followed Hyperlink" xfId="1288" builtinId="9" hidden="1"/>
    <cellStyle name="Followed Hyperlink" xfId="1289" builtinId="9" hidden="1"/>
    <cellStyle name="Followed Hyperlink" xfId="1290" builtinId="9" hidden="1"/>
    <cellStyle name="Followed Hyperlink" xfId="1291" builtinId="9" hidden="1"/>
    <cellStyle name="Followed Hyperlink" xfId="1292" builtinId="9" hidden="1"/>
    <cellStyle name="Followed Hyperlink" xfId="1293" builtinId="9" hidden="1"/>
    <cellStyle name="Followed Hyperlink" xfId="1294" builtinId="9" hidden="1"/>
    <cellStyle name="Followed Hyperlink" xfId="1295" builtinId="9" hidden="1"/>
    <cellStyle name="Followed Hyperlink" xfId="1296" builtinId="9" hidden="1"/>
    <cellStyle name="Followed Hyperlink" xfId="1297" builtinId="9" hidden="1"/>
    <cellStyle name="Followed Hyperlink" xfId="1298" builtinId="9" hidden="1"/>
    <cellStyle name="Followed Hyperlink" xfId="1299" builtinId="9" hidden="1"/>
    <cellStyle name="Followed Hyperlink" xfId="1300" builtinId="9" hidden="1"/>
    <cellStyle name="Followed Hyperlink" xfId="1301" builtinId="9" hidden="1"/>
    <cellStyle name="Followed Hyperlink" xfId="1302" builtinId="9" hidden="1"/>
    <cellStyle name="Followed Hyperlink" xfId="1303" builtinId="9" hidden="1"/>
    <cellStyle name="Followed Hyperlink" xfId="1304" builtinId="9" hidden="1"/>
    <cellStyle name="Followed Hyperlink" xfId="1305" builtinId="9" hidden="1"/>
    <cellStyle name="Followed Hyperlink" xfId="1306" builtinId="9" hidden="1"/>
    <cellStyle name="Followed Hyperlink" xfId="1307" builtinId="9" hidden="1"/>
    <cellStyle name="Followed Hyperlink" xfId="1308" builtinId="9" hidden="1"/>
    <cellStyle name="Followed Hyperlink" xfId="1309" builtinId="9" hidden="1"/>
    <cellStyle name="Followed Hyperlink" xfId="1310" builtinId="9" hidden="1"/>
    <cellStyle name="Followed Hyperlink" xfId="1311" builtinId="9" hidden="1"/>
    <cellStyle name="Followed Hyperlink" xfId="1312" builtinId="9" hidden="1"/>
    <cellStyle name="Followed Hyperlink" xfId="1313" builtinId="9" hidden="1"/>
    <cellStyle name="Followed Hyperlink" xfId="1314" builtinId="9" hidden="1"/>
    <cellStyle name="Followed Hyperlink" xfId="1315" builtinId="9" hidden="1"/>
    <cellStyle name="Followed Hyperlink" xfId="1316" builtinId="9" hidden="1"/>
    <cellStyle name="Followed Hyperlink" xfId="1317" builtinId="9" hidden="1"/>
    <cellStyle name="Followed Hyperlink" xfId="1318" builtinId="9" hidden="1"/>
    <cellStyle name="Followed Hyperlink" xfId="1319" builtinId="9" hidden="1"/>
    <cellStyle name="Followed Hyperlink" xfId="1320" builtinId="9" hidden="1"/>
    <cellStyle name="Followed Hyperlink" xfId="1321" builtinId="9" hidden="1"/>
    <cellStyle name="Followed Hyperlink" xfId="1322" builtinId="9" hidden="1"/>
    <cellStyle name="Followed Hyperlink" xfId="1323" builtinId="9" hidden="1"/>
    <cellStyle name="Followed Hyperlink" xfId="1324" builtinId="9" hidden="1"/>
    <cellStyle name="Followed Hyperlink" xfId="1325" builtinId="9" hidden="1"/>
    <cellStyle name="Followed Hyperlink" xfId="1326" builtinId="9" hidden="1"/>
    <cellStyle name="Followed Hyperlink" xfId="1327" builtinId="9" hidden="1"/>
    <cellStyle name="Followed Hyperlink" xfId="1328" builtinId="9" hidden="1"/>
    <cellStyle name="Followed Hyperlink" xfId="1329" builtinId="9" hidden="1"/>
    <cellStyle name="Followed Hyperlink" xfId="1330" builtinId="9" hidden="1"/>
    <cellStyle name="Followed Hyperlink" xfId="1331" builtinId="9" hidden="1"/>
    <cellStyle name="Followed Hyperlink" xfId="1332" builtinId="9" hidden="1"/>
    <cellStyle name="Followed Hyperlink" xfId="1333" builtinId="9" hidden="1"/>
    <cellStyle name="Followed Hyperlink" xfId="1334" builtinId="9" hidden="1"/>
    <cellStyle name="Followed Hyperlink" xfId="1335" builtinId="9" hidden="1"/>
    <cellStyle name="Followed Hyperlink" xfId="1336" builtinId="9" hidden="1"/>
    <cellStyle name="Followed Hyperlink" xfId="1337" builtinId="9" hidden="1"/>
    <cellStyle name="Followed Hyperlink" xfId="1338" builtinId="9" hidden="1"/>
    <cellStyle name="Followed Hyperlink" xfId="1339" builtinId="9" hidden="1"/>
    <cellStyle name="Followed Hyperlink" xfId="1340" builtinId="9" hidden="1"/>
    <cellStyle name="Followed Hyperlink" xfId="1341" builtinId="9" hidden="1"/>
    <cellStyle name="Followed Hyperlink" xfId="1342" builtinId="9" hidden="1"/>
    <cellStyle name="Followed Hyperlink" xfId="1343" builtinId="9" hidden="1"/>
    <cellStyle name="Followed Hyperlink" xfId="1344" builtinId="9" hidden="1"/>
    <cellStyle name="Followed Hyperlink" xfId="1345" builtinId="9" hidden="1"/>
    <cellStyle name="Followed Hyperlink" xfId="1346" builtinId="9" hidden="1"/>
    <cellStyle name="Followed Hyperlink" xfId="1347" builtinId="9" hidden="1"/>
    <cellStyle name="Followed Hyperlink" xfId="1348" builtinId="9" hidden="1"/>
    <cellStyle name="Followed Hyperlink" xfId="1349" builtinId="9" hidden="1"/>
    <cellStyle name="Followed Hyperlink" xfId="1350" builtinId="9" hidden="1"/>
    <cellStyle name="Followed Hyperlink" xfId="1351" builtinId="9" hidden="1"/>
    <cellStyle name="Followed Hyperlink" xfId="1352" builtinId="9" hidden="1"/>
    <cellStyle name="Followed Hyperlink" xfId="1353" builtinId="9" hidden="1"/>
    <cellStyle name="Followed Hyperlink" xfId="1354" builtinId="9" hidden="1"/>
    <cellStyle name="Followed Hyperlink" xfId="1355" builtinId="9" hidden="1"/>
    <cellStyle name="Followed Hyperlink" xfId="1356" builtinId="9" hidden="1"/>
    <cellStyle name="Followed Hyperlink" xfId="1357" builtinId="9" hidden="1"/>
    <cellStyle name="Followed Hyperlink" xfId="1358" builtinId="9" hidden="1"/>
    <cellStyle name="Followed Hyperlink" xfId="1359" builtinId="9" hidden="1"/>
    <cellStyle name="Followed Hyperlink" xfId="1360" builtinId="9" hidden="1"/>
    <cellStyle name="Followed Hyperlink" xfId="1361" builtinId="9" hidden="1"/>
    <cellStyle name="Followed Hyperlink" xfId="1362" builtinId="9" hidden="1"/>
    <cellStyle name="Followed Hyperlink" xfId="1363" builtinId="9" hidden="1"/>
    <cellStyle name="Followed Hyperlink" xfId="1364" builtinId="9" hidden="1"/>
    <cellStyle name="Followed Hyperlink" xfId="1365" builtinId="9" hidden="1"/>
    <cellStyle name="Followed Hyperlink" xfId="1366" builtinId="9" hidden="1"/>
    <cellStyle name="Followed Hyperlink" xfId="1367" builtinId="9" hidden="1"/>
    <cellStyle name="Followed Hyperlink" xfId="1368" builtinId="9" hidden="1"/>
    <cellStyle name="Followed Hyperlink" xfId="1369" builtinId="9" hidden="1"/>
    <cellStyle name="Followed Hyperlink" xfId="1370" builtinId="9" hidden="1"/>
    <cellStyle name="Followed Hyperlink" xfId="1371" builtinId="9" hidden="1"/>
    <cellStyle name="Followed Hyperlink" xfId="1372" builtinId="9" hidden="1"/>
    <cellStyle name="Followed Hyperlink" xfId="1373" builtinId="9" hidden="1"/>
    <cellStyle name="Followed Hyperlink" xfId="1374" builtinId="9" hidden="1"/>
    <cellStyle name="Followed Hyperlink" xfId="1375" builtinId="9" hidden="1"/>
    <cellStyle name="Followed Hyperlink" xfId="1376" builtinId="9" hidden="1"/>
    <cellStyle name="Followed Hyperlink" xfId="1377" builtinId="9" hidden="1"/>
    <cellStyle name="Followed Hyperlink" xfId="1378" builtinId="9" hidden="1"/>
    <cellStyle name="Followed Hyperlink" xfId="1379" builtinId="9" hidden="1"/>
    <cellStyle name="Followed Hyperlink" xfId="1380" builtinId="9" hidden="1"/>
    <cellStyle name="Followed Hyperlink" xfId="1381" builtinId="9" hidden="1"/>
    <cellStyle name="Followed Hyperlink" xfId="1382" builtinId="9" hidden="1"/>
    <cellStyle name="Followed Hyperlink" xfId="1383" builtinId="9" hidden="1"/>
    <cellStyle name="Followed Hyperlink" xfId="1384" builtinId="9" hidden="1"/>
    <cellStyle name="Followed Hyperlink" xfId="1385" builtinId="9" hidden="1"/>
    <cellStyle name="Followed Hyperlink" xfId="1386" builtinId="9" hidden="1"/>
    <cellStyle name="Followed Hyperlink" xfId="1387" builtinId="9" hidden="1"/>
    <cellStyle name="Followed Hyperlink" xfId="1388" builtinId="9" hidden="1"/>
    <cellStyle name="Followed Hyperlink" xfId="1389" builtinId="9" hidden="1"/>
    <cellStyle name="Followed Hyperlink" xfId="1390" builtinId="9" hidden="1"/>
    <cellStyle name="Followed Hyperlink" xfId="1391" builtinId="9" hidden="1"/>
    <cellStyle name="Followed Hyperlink" xfId="1392" builtinId="9" hidden="1"/>
    <cellStyle name="Followed Hyperlink" xfId="1393" builtinId="9" hidden="1"/>
    <cellStyle name="Followed Hyperlink" xfId="1394" builtinId="9" hidden="1"/>
    <cellStyle name="Followed Hyperlink" xfId="1395" builtinId="9" hidden="1"/>
    <cellStyle name="Followed Hyperlink" xfId="1396" builtinId="9" hidden="1"/>
    <cellStyle name="Followed Hyperlink" xfId="1397" builtinId="9" hidden="1"/>
    <cellStyle name="Followed Hyperlink" xfId="1398" builtinId="9" hidden="1"/>
    <cellStyle name="Followed Hyperlink" xfId="1399" builtinId="9" hidden="1"/>
    <cellStyle name="Followed Hyperlink" xfId="1400" builtinId="9" hidden="1"/>
    <cellStyle name="Followed Hyperlink" xfId="1401" builtinId="9" hidden="1"/>
    <cellStyle name="Followed Hyperlink" xfId="1402" builtinId="9" hidden="1"/>
    <cellStyle name="Followed Hyperlink" xfId="1403" builtinId="9" hidden="1"/>
    <cellStyle name="Followed Hyperlink" xfId="1404" builtinId="9" hidden="1"/>
    <cellStyle name="Followed Hyperlink" xfId="1405" builtinId="9" hidden="1"/>
    <cellStyle name="Followed Hyperlink" xfId="1406" builtinId="9" hidden="1"/>
    <cellStyle name="Followed Hyperlink" xfId="1407" builtinId="9" hidden="1"/>
    <cellStyle name="Followed Hyperlink" xfId="1408" builtinId="9" hidden="1"/>
    <cellStyle name="Followed Hyperlink" xfId="1409" builtinId="9" hidden="1"/>
    <cellStyle name="Followed Hyperlink" xfId="1410" builtinId="9" hidden="1"/>
    <cellStyle name="Followed Hyperlink" xfId="1411" builtinId="9" hidden="1"/>
    <cellStyle name="Followed Hyperlink" xfId="1412" builtinId="9" hidden="1"/>
    <cellStyle name="Followed Hyperlink" xfId="1413" builtinId="9" hidden="1"/>
    <cellStyle name="Followed Hyperlink" xfId="1414" builtinId="9" hidden="1"/>
    <cellStyle name="Followed Hyperlink" xfId="1415" builtinId="9" hidden="1"/>
    <cellStyle name="Followed Hyperlink" xfId="1416" builtinId="9" hidden="1"/>
    <cellStyle name="Followed Hyperlink" xfId="1417" builtinId="9" hidden="1"/>
    <cellStyle name="Followed Hyperlink" xfId="1418" builtinId="9" hidden="1"/>
    <cellStyle name="Followed Hyperlink" xfId="1419" builtinId="9" hidden="1"/>
    <cellStyle name="Followed Hyperlink" xfId="1420" builtinId="9" hidden="1"/>
    <cellStyle name="Followed Hyperlink" xfId="1421" builtinId="9" hidden="1"/>
    <cellStyle name="Followed Hyperlink" xfId="1422" builtinId="9" hidden="1"/>
    <cellStyle name="Followed Hyperlink" xfId="1423" builtinId="9" hidden="1"/>
    <cellStyle name="Followed Hyperlink" xfId="1424" builtinId="9" hidden="1"/>
    <cellStyle name="Followed Hyperlink" xfId="1425" builtinId="9" hidden="1"/>
    <cellStyle name="Followed Hyperlink" xfId="1426" builtinId="9" hidden="1"/>
    <cellStyle name="Followed Hyperlink" xfId="1427" builtinId="9" hidden="1"/>
    <cellStyle name="Followed Hyperlink" xfId="1428" builtinId="9" hidden="1"/>
    <cellStyle name="Followed Hyperlink" xfId="1429" builtinId="9" hidden="1"/>
    <cellStyle name="Followed Hyperlink" xfId="1430" builtinId="9" hidden="1"/>
    <cellStyle name="Followed Hyperlink" xfId="1431" builtinId="9" hidden="1"/>
    <cellStyle name="Followed Hyperlink" xfId="1432" builtinId="9" hidden="1"/>
    <cellStyle name="Followed Hyperlink" xfId="1433" builtinId="9" hidden="1"/>
    <cellStyle name="Followed Hyperlink" xfId="1434" builtinId="9" hidden="1"/>
    <cellStyle name="Followed Hyperlink" xfId="1435" builtinId="9" hidden="1"/>
    <cellStyle name="Followed Hyperlink" xfId="1436" builtinId="9" hidden="1"/>
    <cellStyle name="Followed Hyperlink" xfId="1437" builtinId="9" hidden="1"/>
    <cellStyle name="Followed Hyperlink" xfId="1438" builtinId="9" hidden="1"/>
    <cellStyle name="Followed Hyperlink" xfId="1439" builtinId="9" hidden="1"/>
    <cellStyle name="Followed Hyperlink" xfId="1440" builtinId="9" hidden="1"/>
    <cellStyle name="Followed Hyperlink" xfId="1441" builtinId="9" hidden="1"/>
    <cellStyle name="Followed Hyperlink" xfId="1442" builtinId="9" hidden="1"/>
    <cellStyle name="Followed Hyperlink" xfId="1443" builtinId="9" hidden="1"/>
    <cellStyle name="Followed Hyperlink" xfId="1444" builtinId="9" hidden="1"/>
    <cellStyle name="Followed Hyperlink" xfId="1445" builtinId="9" hidden="1"/>
    <cellStyle name="Followed Hyperlink" xfId="1446" builtinId="9" hidden="1"/>
    <cellStyle name="Followed Hyperlink" xfId="1447" builtinId="9" hidden="1"/>
    <cellStyle name="Followed Hyperlink" xfId="1448" builtinId="9" hidden="1"/>
    <cellStyle name="Followed Hyperlink" xfId="1449" builtinId="9" hidden="1"/>
    <cellStyle name="Followed Hyperlink" xfId="1450" builtinId="9" hidden="1"/>
    <cellStyle name="Followed Hyperlink" xfId="1451" builtinId="9" hidden="1"/>
    <cellStyle name="Followed Hyperlink" xfId="1452" builtinId="9" hidden="1"/>
    <cellStyle name="Followed Hyperlink" xfId="1453" builtinId="9" hidden="1"/>
    <cellStyle name="Followed Hyperlink" xfId="1454" builtinId="9" hidden="1"/>
    <cellStyle name="Followed Hyperlink" xfId="1455" builtinId="9" hidden="1"/>
    <cellStyle name="Followed Hyperlink" xfId="1456" builtinId="9" hidden="1"/>
    <cellStyle name="Followed Hyperlink" xfId="1457" builtinId="9" hidden="1"/>
    <cellStyle name="Followed Hyperlink" xfId="1458" builtinId="9" hidden="1"/>
    <cellStyle name="Followed Hyperlink" xfId="1459" builtinId="9" hidden="1"/>
    <cellStyle name="Followed Hyperlink" xfId="1460" builtinId="9" hidden="1"/>
    <cellStyle name="Followed Hyperlink" xfId="1461" builtinId="9" hidden="1"/>
    <cellStyle name="Followed Hyperlink" xfId="1462" builtinId="9" hidden="1"/>
    <cellStyle name="Followed Hyperlink" xfId="1463" builtinId="9" hidden="1"/>
    <cellStyle name="Followed Hyperlink" xfId="1464" builtinId="9" hidden="1"/>
    <cellStyle name="Followed Hyperlink" xfId="1465" builtinId="9" hidden="1"/>
    <cellStyle name="Followed Hyperlink" xfId="1466" builtinId="9" hidden="1"/>
    <cellStyle name="Followed Hyperlink" xfId="1467" builtinId="9" hidden="1"/>
    <cellStyle name="Followed Hyperlink" xfId="1468" builtinId="9" hidden="1"/>
    <cellStyle name="Followed Hyperlink" xfId="1469" builtinId="9" hidden="1"/>
    <cellStyle name="Followed Hyperlink" xfId="1470" builtinId="9" hidden="1"/>
    <cellStyle name="Followed Hyperlink" xfId="1471" builtinId="9" hidden="1"/>
    <cellStyle name="Followed Hyperlink" xfId="1472" builtinId="9" hidden="1"/>
    <cellStyle name="Followed Hyperlink" xfId="1473" builtinId="9" hidden="1"/>
    <cellStyle name="Followed Hyperlink" xfId="1474" builtinId="9" hidden="1"/>
    <cellStyle name="Followed Hyperlink" xfId="1475" builtinId="9" hidden="1"/>
    <cellStyle name="Followed Hyperlink" xfId="1476" builtinId="9" hidden="1"/>
    <cellStyle name="Followed Hyperlink" xfId="1477" builtinId="9" hidden="1"/>
    <cellStyle name="Followed Hyperlink" xfId="1478" builtinId="9" hidden="1"/>
    <cellStyle name="Followed Hyperlink" xfId="1479" builtinId="9" hidden="1"/>
    <cellStyle name="Followed Hyperlink" xfId="1480" builtinId="9" hidden="1"/>
    <cellStyle name="Followed Hyperlink" xfId="1481" builtinId="9" hidden="1"/>
    <cellStyle name="Followed Hyperlink" xfId="1482" builtinId="9" hidden="1"/>
    <cellStyle name="Followed Hyperlink" xfId="1483" builtinId="9" hidden="1"/>
    <cellStyle name="Followed Hyperlink" xfId="1484" builtinId="9" hidden="1"/>
    <cellStyle name="Followed Hyperlink" xfId="1485" builtinId="9" hidden="1"/>
    <cellStyle name="Followed Hyperlink" xfId="1486" builtinId="9" hidden="1"/>
    <cellStyle name="Followed Hyperlink" xfId="1487" builtinId="9" hidden="1"/>
    <cellStyle name="Followed Hyperlink" xfId="1488" builtinId="9" hidden="1"/>
    <cellStyle name="Followed Hyperlink" xfId="1489" builtinId="9" hidden="1"/>
    <cellStyle name="Followed Hyperlink" xfId="1490" builtinId="9" hidden="1"/>
    <cellStyle name="Followed Hyperlink" xfId="1491" builtinId="9" hidden="1"/>
    <cellStyle name="Followed Hyperlink" xfId="1492" builtinId="9" hidden="1"/>
    <cellStyle name="Followed Hyperlink" xfId="1493" builtinId="9" hidden="1"/>
    <cellStyle name="Followed Hyperlink" xfId="1494" builtinId="9" hidden="1"/>
    <cellStyle name="Followed Hyperlink" xfId="1495" builtinId="9" hidden="1"/>
    <cellStyle name="Followed Hyperlink" xfId="1496" builtinId="9" hidden="1"/>
    <cellStyle name="Followed Hyperlink" xfId="1497" builtinId="9" hidden="1"/>
    <cellStyle name="Followed Hyperlink" xfId="1498" builtinId="9" hidden="1"/>
    <cellStyle name="Followed Hyperlink" xfId="1499" builtinId="9" hidden="1"/>
    <cellStyle name="Followed Hyperlink" xfId="1500" builtinId="9" hidden="1"/>
    <cellStyle name="Followed Hyperlink" xfId="1501" builtinId="9" hidden="1"/>
    <cellStyle name="Followed Hyperlink" xfId="1502" builtinId="9" hidden="1"/>
    <cellStyle name="Followed Hyperlink" xfId="1503" builtinId="9" hidden="1"/>
    <cellStyle name="Followed Hyperlink" xfId="1504" builtinId="9" hidden="1"/>
    <cellStyle name="Followed Hyperlink" xfId="1505" builtinId="9" hidden="1"/>
    <cellStyle name="Followed Hyperlink" xfId="1506" builtinId="9" hidden="1"/>
    <cellStyle name="Followed Hyperlink" xfId="1507" builtinId="9" hidden="1"/>
    <cellStyle name="Followed Hyperlink" xfId="1508" builtinId="9" hidden="1"/>
    <cellStyle name="Followed Hyperlink" xfId="1509" builtinId="9" hidden="1"/>
    <cellStyle name="Followed Hyperlink" xfId="1510" builtinId="9" hidden="1"/>
    <cellStyle name="Followed Hyperlink" xfId="1511" builtinId="9" hidden="1"/>
    <cellStyle name="Followed Hyperlink" xfId="1512" builtinId="9" hidden="1"/>
    <cellStyle name="Followed Hyperlink" xfId="1513" builtinId="9" hidden="1"/>
    <cellStyle name="Followed Hyperlink" xfId="1514" builtinId="9" hidden="1"/>
    <cellStyle name="Followed Hyperlink" xfId="1515" builtinId="9" hidden="1"/>
    <cellStyle name="Followed Hyperlink" xfId="1516" builtinId="9" hidden="1"/>
    <cellStyle name="Followed Hyperlink" xfId="1517" builtinId="9" hidden="1"/>
    <cellStyle name="Followed Hyperlink" xfId="1518" builtinId="9" hidden="1"/>
    <cellStyle name="Followed Hyperlink" xfId="1519" builtinId="9" hidden="1"/>
    <cellStyle name="Followed Hyperlink" xfId="1520" builtinId="9" hidden="1"/>
    <cellStyle name="Followed Hyperlink" xfId="1521" builtinId="9" hidden="1"/>
    <cellStyle name="Followed Hyperlink" xfId="1522" builtinId="9" hidden="1"/>
    <cellStyle name="Followed Hyperlink" xfId="1523" builtinId="9" hidden="1"/>
    <cellStyle name="Followed Hyperlink" xfId="1524" builtinId="9" hidden="1"/>
    <cellStyle name="Followed Hyperlink" xfId="1525" builtinId="9" hidden="1"/>
    <cellStyle name="Followed Hyperlink" xfId="1526" builtinId="9" hidden="1"/>
    <cellStyle name="Followed Hyperlink" xfId="1527" builtinId="9" hidden="1"/>
    <cellStyle name="Followed Hyperlink" xfId="1528" builtinId="9" hidden="1"/>
    <cellStyle name="Followed Hyperlink" xfId="1529" builtinId="9" hidden="1"/>
    <cellStyle name="Followed Hyperlink" xfId="1530" builtinId="9" hidden="1"/>
    <cellStyle name="Followed Hyperlink" xfId="1531" builtinId="9" hidden="1"/>
    <cellStyle name="Followed Hyperlink" xfId="1532" builtinId="9" hidden="1"/>
    <cellStyle name="Followed Hyperlink" xfId="1533" builtinId="9" hidden="1"/>
    <cellStyle name="Followed Hyperlink" xfId="1534" builtinId="9" hidden="1"/>
    <cellStyle name="Followed Hyperlink" xfId="1535" builtinId="9" hidden="1"/>
    <cellStyle name="Followed Hyperlink" xfId="1536" builtinId="9" hidden="1"/>
    <cellStyle name="Followed Hyperlink" xfId="1537" builtinId="9" hidden="1"/>
    <cellStyle name="Followed Hyperlink" xfId="1538" builtinId="9" hidden="1"/>
    <cellStyle name="Followed Hyperlink" xfId="1539" builtinId="9" hidden="1"/>
    <cellStyle name="Followed Hyperlink" xfId="1540" builtinId="9" hidden="1"/>
    <cellStyle name="Followed Hyperlink" xfId="1541" builtinId="9" hidden="1"/>
    <cellStyle name="Followed Hyperlink" xfId="1542" builtinId="9" hidden="1"/>
    <cellStyle name="Followed Hyperlink" xfId="1543" builtinId="9" hidden="1"/>
    <cellStyle name="Followed Hyperlink" xfId="1544" builtinId="9" hidden="1"/>
    <cellStyle name="Followed Hyperlink" xfId="1545" builtinId="9" hidden="1"/>
    <cellStyle name="Followed Hyperlink" xfId="1546" builtinId="9" hidden="1"/>
    <cellStyle name="Followed Hyperlink" xfId="1547" builtinId="9" hidden="1"/>
    <cellStyle name="Followed Hyperlink" xfId="1548" builtinId="9" hidden="1"/>
    <cellStyle name="Followed Hyperlink" xfId="1549" builtinId="9" hidden="1"/>
    <cellStyle name="Followed Hyperlink" xfId="1550" builtinId="9" hidden="1"/>
    <cellStyle name="Followed Hyperlink" xfId="1551" builtinId="9" hidden="1"/>
    <cellStyle name="Followed Hyperlink" xfId="1552" builtinId="9" hidden="1"/>
    <cellStyle name="Followed Hyperlink" xfId="1553" builtinId="9" hidden="1"/>
    <cellStyle name="Followed Hyperlink" xfId="1554" builtinId="9" hidden="1"/>
    <cellStyle name="Followed Hyperlink" xfId="1555" builtinId="9" hidden="1"/>
    <cellStyle name="Followed Hyperlink" xfId="1556" builtinId="9" hidden="1"/>
    <cellStyle name="Followed Hyperlink" xfId="1557" builtinId="9" hidden="1"/>
    <cellStyle name="Followed Hyperlink" xfId="1558" builtinId="9" hidden="1"/>
    <cellStyle name="Followed Hyperlink" xfId="1559" builtinId="9" hidden="1"/>
    <cellStyle name="Followed Hyperlink" xfId="1560" builtinId="9" hidden="1"/>
    <cellStyle name="Followed Hyperlink" xfId="1561" builtinId="9" hidden="1"/>
    <cellStyle name="Followed Hyperlink" xfId="1562" builtinId="9" hidden="1"/>
    <cellStyle name="Followed Hyperlink" xfId="1563" builtinId="9" hidden="1"/>
    <cellStyle name="Followed Hyperlink" xfId="1564" builtinId="9" hidden="1"/>
    <cellStyle name="Followed Hyperlink" xfId="1565" builtinId="9" hidden="1"/>
    <cellStyle name="Followed Hyperlink" xfId="1566" builtinId="9" hidden="1"/>
    <cellStyle name="Followed Hyperlink" xfId="1567" builtinId="9" hidden="1"/>
    <cellStyle name="Followed Hyperlink" xfId="1568" builtinId="9" hidden="1"/>
    <cellStyle name="Followed Hyperlink" xfId="1569" builtinId="9" hidden="1"/>
    <cellStyle name="Followed Hyperlink" xfId="1570" builtinId="9" hidden="1"/>
    <cellStyle name="Followed Hyperlink" xfId="1571" builtinId="9" hidden="1"/>
    <cellStyle name="Followed Hyperlink" xfId="1572" builtinId="9" hidden="1"/>
    <cellStyle name="Followed Hyperlink" xfId="1573" builtinId="9" hidden="1"/>
    <cellStyle name="Followed Hyperlink" xfId="1574" builtinId="9" hidden="1"/>
    <cellStyle name="Followed Hyperlink" xfId="1575" builtinId="9" hidden="1"/>
    <cellStyle name="Followed Hyperlink" xfId="1576" builtinId="9" hidden="1"/>
    <cellStyle name="Followed Hyperlink" xfId="1577" builtinId="9" hidden="1"/>
    <cellStyle name="Followed Hyperlink" xfId="1578" builtinId="9" hidden="1"/>
    <cellStyle name="Followed Hyperlink" xfId="1579" builtinId="9" hidden="1"/>
    <cellStyle name="Followed Hyperlink" xfId="1580" builtinId="9" hidden="1"/>
    <cellStyle name="Followed Hyperlink" xfId="1581" builtinId="9" hidden="1"/>
    <cellStyle name="Followed Hyperlink" xfId="1582" builtinId="9" hidden="1"/>
    <cellStyle name="Followed Hyperlink" xfId="1583" builtinId="9" hidden="1"/>
    <cellStyle name="Followed Hyperlink" xfId="1584" builtinId="9" hidden="1"/>
    <cellStyle name="Followed Hyperlink" xfId="1585" builtinId="9" hidden="1"/>
    <cellStyle name="Followed Hyperlink" xfId="1586" builtinId="9" hidden="1"/>
    <cellStyle name="Followed Hyperlink" xfId="1587" builtinId="9" hidden="1"/>
    <cellStyle name="Followed Hyperlink" xfId="1588" builtinId="9" hidden="1"/>
    <cellStyle name="Followed Hyperlink" xfId="1589" builtinId="9" hidden="1"/>
    <cellStyle name="Followed Hyperlink" xfId="1590" builtinId="9" hidden="1"/>
    <cellStyle name="Followed Hyperlink" xfId="1591" builtinId="9" hidden="1"/>
    <cellStyle name="Followed Hyperlink" xfId="1592" builtinId="9" hidden="1"/>
    <cellStyle name="Followed Hyperlink" xfId="1593" builtinId="9" hidden="1"/>
    <cellStyle name="Followed Hyperlink" xfId="1594" builtinId="9" hidden="1"/>
    <cellStyle name="Followed Hyperlink" xfId="1595" builtinId="9" hidden="1"/>
    <cellStyle name="Followed Hyperlink" xfId="1596" builtinId="9" hidden="1"/>
    <cellStyle name="Followed Hyperlink" xfId="1597" builtinId="9" hidden="1"/>
    <cellStyle name="Followed Hyperlink" xfId="1598" builtinId="9" hidden="1"/>
    <cellStyle name="Followed Hyperlink" xfId="1599" builtinId="9" hidden="1"/>
    <cellStyle name="Followed Hyperlink" xfId="1600" builtinId="9" hidden="1"/>
    <cellStyle name="Followed Hyperlink" xfId="1601" builtinId="9" hidden="1"/>
    <cellStyle name="Followed Hyperlink" xfId="1602" builtinId="9" hidden="1"/>
    <cellStyle name="Followed Hyperlink" xfId="1603" builtinId="9" hidden="1"/>
    <cellStyle name="Followed Hyperlink" xfId="1604" builtinId="9" hidden="1"/>
    <cellStyle name="Followed Hyperlink" xfId="1605" builtinId="9" hidden="1"/>
    <cellStyle name="Followed Hyperlink" xfId="1606" builtinId="9" hidden="1"/>
    <cellStyle name="Followed Hyperlink" xfId="1607" builtinId="9" hidden="1"/>
    <cellStyle name="Followed Hyperlink" xfId="1608" builtinId="9" hidden="1"/>
    <cellStyle name="Followed Hyperlink" xfId="1609" builtinId="9" hidden="1"/>
    <cellStyle name="Followed Hyperlink" xfId="1610" builtinId="9" hidden="1"/>
    <cellStyle name="Followed Hyperlink" xfId="1611" builtinId="9" hidden="1"/>
    <cellStyle name="Followed Hyperlink" xfId="1612" builtinId="9" hidden="1"/>
    <cellStyle name="Followed Hyperlink" xfId="1613" builtinId="9" hidden="1"/>
    <cellStyle name="Followed Hyperlink" xfId="1614" builtinId="9" hidden="1"/>
    <cellStyle name="Followed Hyperlink" xfId="1615" builtinId="9" hidden="1"/>
    <cellStyle name="Followed Hyperlink" xfId="1616" builtinId="9" hidden="1"/>
    <cellStyle name="Followed Hyperlink" xfId="1617" builtinId="9" hidden="1"/>
    <cellStyle name="Followed Hyperlink" xfId="1618" builtinId="9" hidden="1"/>
    <cellStyle name="Followed Hyperlink" xfId="1619" builtinId="9" hidden="1"/>
    <cellStyle name="Followed Hyperlink" xfId="1620" builtinId="9" hidden="1"/>
    <cellStyle name="Followed Hyperlink" xfId="1621" builtinId="9" hidden="1"/>
    <cellStyle name="Followed Hyperlink" xfId="1622" builtinId="9" hidden="1"/>
    <cellStyle name="Followed Hyperlink" xfId="1623" builtinId="9" hidden="1"/>
    <cellStyle name="Followed Hyperlink" xfId="1624" builtinId="9" hidden="1"/>
    <cellStyle name="Followed Hyperlink" xfId="1625" builtinId="9" hidden="1"/>
    <cellStyle name="Followed Hyperlink" xfId="1626" builtinId="9" hidden="1"/>
    <cellStyle name="Followed Hyperlink" xfId="1627" builtinId="9" hidden="1"/>
    <cellStyle name="Followed Hyperlink" xfId="1628" builtinId="9" hidden="1"/>
    <cellStyle name="Followed Hyperlink" xfId="1629" builtinId="9" hidden="1"/>
    <cellStyle name="Followed Hyperlink" xfId="1630" builtinId="9" hidden="1"/>
    <cellStyle name="Followed Hyperlink" xfId="1631" builtinId="9" hidden="1"/>
    <cellStyle name="Followed Hyperlink" xfId="1632" builtinId="9" hidden="1"/>
    <cellStyle name="Followed Hyperlink" xfId="1633" builtinId="9" hidden="1"/>
    <cellStyle name="Followed Hyperlink" xfId="1634" builtinId="9" hidden="1"/>
    <cellStyle name="Followed Hyperlink" xfId="1635" builtinId="9" hidden="1"/>
    <cellStyle name="Followed Hyperlink" xfId="1636" builtinId="9" hidden="1"/>
    <cellStyle name="Followed Hyperlink" xfId="1637" builtinId="9" hidden="1"/>
    <cellStyle name="Followed Hyperlink" xfId="1638" builtinId="9" hidden="1"/>
    <cellStyle name="Followed Hyperlink" xfId="1639" builtinId="9" hidden="1"/>
    <cellStyle name="Followed Hyperlink" xfId="1640" builtinId="9" hidden="1"/>
    <cellStyle name="Followed Hyperlink" xfId="1641" builtinId="9" hidden="1"/>
    <cellStyle name="Followed Hyperlink" xfId="1642" builtinId="9" hidden="1"/>
    <cellStyle name="Followed Hyperlink" xfId="1643" builtinId="9" hidden="1"/>
    <cellStyle name="Followed Hyperlink" xfId="1644" builtinId="9" hidden="1"/>
    <cellStyle name="Followed Hyperlink" xfId="1645" builtinId="9" hidden="1"/>
    <cellStyle name="Followed Hyperlink" xfId="1646" builtinId="9" hidden="1"/>
    <cellStyle name="Followed Hyperlink" xfId="1647" builtinId="9" hidden="1"/>
    <cellStyle name="Followed Hyperlink" xfId="1648" builtinId="9" hidden="1"/>
    <cellStyle name="Followed Hyperlink" xfId="1649" builtinId="9" hidden="1"/>
    <cellStyle name="Followed Hyperlink" xfId="1650" builtinId="9" hidden="1"/>
    <cellStyle name="Followed Hyperlink" xfId="1651" builtinId="9" hidden="1"/>
    <cellStyle name="Followed Hyperlink" xfId="1652" builtinId="9" hidden="1"/>
    <cellStyle name="Followed Hyperlink" xfId="1653" builtinId="9" hidden="1"/>
    <cellStyle name="Followed Hyperlink" xfId="1654" builtinId="9" hidden="1"/>
    <cellStyle name="Followed Hyperlink" xfId="1655" builtinId="9" hidden="1"/>
    <cellStyle name="Followed Hyperlink" xfId="1656" builtinId="9" hidden="1"/>
    <cellStyle name="Followed Hyperlink" xfId="1657" builtinId="9" hidden="1"/>
    <cellStyle name="Followed Hyperlink" xfId="1658" builtinId="9" hidden="1"/>
    <cellStyle name="Followed Hyperlink" xfId="1659" builtinId="9" hidden="1"/>
    <cellStyle name="Followed Hyperlink" xfId="1660" builtinId="9" hidden="1"/>
    <cellStyle name="Followed Hyperlink" xfId="1661" builtinId="9" hidden="1"/>
    <cellStyle name="Followed Hyperlink" xfId="1662" builtinId="9" hidden="1"/>
    <cellStyle name="Followed Hyperlink" xfId="1663" builtinId="9" hidden="1"/>
    <cellStyle name="Followed Hyperlink" xfId="1664" builtinId="9" hidden="1"/>
    <cellStyle name="Followed Hyperlink" xfId="1665" builtinId="9" hidden="1"/>
    <cellStyle name="Followed Hyperlink" xfId="1666" builtinId="9" hidden="1"/>
    <cellStyle name="Followed Hyperlink" xfId="1667" builtinId="9" hidden="1"/>
    <cellStyle name="Followed Hyperlink" xfId="1668" builtinId="9" hidden="1"/>
    <cellStyle name="Followed Hyperlink" xfId="1669" builtinId="9" hidden="1"/>
    <cellStyle name="Followed Hyperlink" xfId="1670" builtinId="9" hidden="1"/>
    <cellStyle name="Followed Hyperlink" xfId="1671" builtinId="9" hidden="1"/>
    <cellStyle name="Followed Hyperlink" xfId="1672" builtinId="9" hidden="1"/>
    <cellStyle name="Followed Hyperlink" xfId="1673" builtinId="9" hidden="1"/>
    <cellStyle name="Followed Hyperlink" xfId="1674" builtinId="9" hidden="1"/>
    <cellStyle name="Followed Hyperlink" xfId="1675" builtinId="9" hidden="1"/>
    <cellStyle name="Followed Hyperlink" xfId="1676" builtinId="9" hidden="1"/>
    <cellStyle name="Followed Hyperlink" xfId="1677" builtinId="9" hidden="1"/>
    <cellStyle name="Followed Hyperlink" xfId="1678" builtinId="9" hidden="1"/>
    <cellStyle name="Followed Hyperlink" xfId="1679" builtinId="9" hidden="1"/>
    <cellStyle name="Followed Hyperlink" xfId="1680" builtinId="9" hidden="1"/>
    <cellStyle name="Followed Hyperlink" xfId="1681" builtinId="9" hidden="1"/>
    <cellStyle name="Followed Hyperlink" xfId="1682" builtinId="9" hidden="1"/>
    <cellStyle name="Followed Hyperlink" xfId="1683" builtinId="9" hidden="1"/>
    <cellStyle name="Followed Hyperlink" xfId="1684" builtinId="9" hidden="1"/>
    <cellStyle name="Followed Hyperlink" xfId="1685" builtinId="9" hidden="1"/>
    <cellStyle name="Followed Hyperlink" xfId="1686" builtinId="9" hidden="1"/>
    <cellStyle name="Followed Hyperlink" xfId="1687" builtinId="9" hidden="1"/>
    <cellStyle name="Followed Hyperlink" xfId="1688" builtinId="9" hidden="1"/>
    <cellStyle name="Followed Hyperlink" xfId="1689" builtinId="9" hidden="1"/>
    <cellStyle name="Followed Hyperlink" xfId="1690" builtinId="9" hidden="1"/>
    <cellStyle name="Followed Hyperlink" xfId="1691" builtinId="9" hidden="1"/>
    <cellStyle name="Followed Hyperlink" xfId="1692" builtinId="9" hidden="1"/>
    <cellStyle name="Followed Hyperlink" xfId="1693" builtinId="9" hidden="1"/>
    <cellStyle name="Followed Hyperlink" xfId="1694" builtinId="9" hidden="1"/>
    <cellStyle name="Followed Hyperlink" xfId="1695" builtinId="9" hidden="1"/>
    <cellStyle name="Followed Hyperlink" xfId="1696" builtinId="9" hidden="1"/>
    <cellStyle name="Followed Hyperlink" xfId="1697" builtinId="9" hidden="1"/>
    <cellStyle name="Followed Hyperlink" xfId="1698" builtinId="9" hidden="1"/>
    <cellStyle name="Followed Hyperlink" xfId="1699" builtinId="9" hidden="1"/>
    <cellStyle name="Followed Hyperlink" xfId="1700" builtinId="9" hidden="1"/>
    <cellStyle name="Followed Hyperlink" xfId="1701" builtinId="9" hidden="1"/>
    <cellStyle name="Followed Hyperlink" xfId="1702" builtinId="9" hidden="1"/>
    <cellStyle name="Followed Hyperlink" xfId="1703" builtinId="9" hidden="1"/>
    <cellStyle name="Followed Hyperlink" xfId="1704" builtinId="9" hidden="1"/>
    <cellStyle name="Followed Hyperlink" xfId="1705" builtinId="9" hidden="1"/>
    <cellStyle name="Followed Hyperlink" xfId="1706" builtinId="9" hidden="1"/>
    <cellStyle name="Followed Hyperlink" xfId="1707" builtinId="9" hidden="1"/>
    <cellStyle name="Followed Hyperlink" xfId="1708" builtinId="9" hidden="1"/>
    <cellStyle name="Followed Hyperlink" xfId="1709" builtinId="9" hidden="1"/>
    <cellStyle name="Followed Hyperlink" xfId="1710" builtinId="9" hidden="1"/>
    <cellStyle name="Followed Hyperlink" xfId="1711" builtinId="9" hidden="1"/>
    <cellStyle name="Followed Hyperlink" xfId="1712" builtinId="9" hidden="1"/>
    <cellStyle name="Followed Hyperlink" xfId="1713" builtinId="9" hidden="1"/>
    <cellStyle name="Followed Hyperlink" xfId="1714" builtinId="9" hidden="1"/>
    <cellStyle name="Followed Hyperlink" xfId="1715" builtinId="9" hidden="1"/>
    <cellStyle name="Followed Hyperlink" xfId="1716" builtinId="9" hidden="1"/>
    <cellStyle name="Followed Hyperlink" xfId="1717" builtinId="9" hidden="1"/>
    <cellStyle name="Followed Hyperlink" xfId="1718" builtinId="9" hidden="1"/>
    <cellStyle name="Followed Hyperlink" xfId="1719" builtinId="9" hidden="1"/>
    <cellStyle name="Followed Hyperlink" xfId="1720" builtinId="9" hidden="1"/>
    <cellStyle name="Followed Hyperlink" xfId="1721" builtinId="9" hidden="1"/>
    <cellStyle name="Followed Hyperlink" xfId="1722" builtinId="9" hidden="1"/>
    <cellStyle name="Followed Hyperlink" xfId="1723" builtinId="9" hidden="1"/>
    <cellStyle name="Followed Hyperlink" xfId="1724" builtinId="9" hidden="1"/>
    <cellStyle name="Followed Hyperlink" xfId="1725" builtinId="9" hidden="1"/>
    <cellStyle name="Followed Hyperlink" xfId="1726" builtinId="9" hidden="1"/>
    <cellStyle name="Followed Hyperlink" xfId="1727" builtinId="9" hidden="1"/>
    <cellStyle name="Followed Hyperlink" xfId="1728" builtinId="9" hidden="1"/>
    <cellStyle name="Followed Hyperlink" xfId="1729" builtinId="9" hidden="1"/>
    <cellStyle name="Followed Hyperlink" xfId="1730" builtinId="9" hidden="1"/>
    <cellStyle name="Followed Hyperlink" xfId="1731" builtinId="9" hidden="1"/>
    <cellStyle name="Followed Hyperlink" xfId="1732" builtinId="9" hidden="1"/>
    <cellStyle name="Followed Hyperlink" xfId="1733" builtinId="9" hidden="1"/>
    <cellStyle name="Followed Hyperlink" xfId="1734" builtinId="9" hidden="1"/>
    <cellStyle name="Followed Hyperlink" xfId="1735" builtinId="9" hidden="1"/>
    <cellStyle name="Followed Hyperlink" xfId="1736" builtinId="9" hidden="1"/>
    <cellStyle name="Followed Hyperlink" xfId="1737" builtinId="9" hidden="1"/>
    <cellStyle name="Followed Hyperlink" xfId="1738" builtinId="9" hidden="1"/>
    <cellStyle name="Followed Hyperlink" xfId="1739" builtinId="9" hidden="1"/>
    <cellStyle name="Followed Hyperlink" xfId="1740" builtinId="9" hidden="1"/>
    <cellStyle name="Followed Hyperlink" xfId="1741" builtinId="9" hidden="1"/>
    <cellStyle name="Followed Hyperlink" xfId="1742" builtinId="9" hidden="1"/>
    <cellStyle name="Followed Hyperlink" xfId="1743" builtinId="9" hidden="1"/>
    <cellStyle name="Followed Hyperlink" xfId="1744" builtinId="9" hidden="1"/>
    <cellStyle name="Followed Hyperlink" xfId="1745" builtinId="9" hidden="1"/>
    <cellStyle name="Followed Hyperlink" xfId="1746" builtinId="9" hidden="1"/>
    <cellStyle name="Followed Hyperlink" xfId="1747" builtinId="9" hidden="1"/>
    <cellStyle name="Followed Hyperlink" xfId="1748" builtinId="9" hidden="1"/>
    <cellStyle name="Followed Hyperlink" xfId="1749" builtinId="9" hidden="1"/>
    <cellStyle name="Followed Hyperlink" xfId="1750" builtinId="9" hidden="1"/>
    <cellStyle name="Followed Hyperlink" xfId="1751" builtinId="9" hidden="1"/>
    <cellStyle name="Followed Hyperlink" xfId="1752" builtinId="9" hidden="1"/>
    <cellStyle name="Followed Hyperlink" xfId="1753" builtinId="9" hidden="1"/>
    <cellStyle name="Followed Hyperlink" xfId="1754" builtinId="9" hidden="1"/>
    <cellStyle name="Followed Hyperlink" xfId="1755" builtinId="9" hidden="1"/>
    <cellStyle name="Followed Hyperlink" xfId="1756" builtinId="9" hidden="1"/>
    <cellStyle name="Followed Hyperlink" xfId="1757" builtinId="9" hidden="1"/>
    <cellStyle name="Followed Hyperlink" xfId="1758" builtinId="9" hidden="1"/>
    <cellStyle name="Followed Hyperlink" xfId="1759" builtinId="9" hidden="1"/>
    <cellStyle name="Followed Hyperlink" xfId="1760" builtinId="9" hidden="1"/>
    <cellStyle name="Followed Hyperlink" xfId="1761" builtinId="9" hidden="1"/>
    <cellStyle name="Followed Hyperlink" xfId="1762" builtinId="9" hidden="1"/>
    <cellStyle name="Followed Hyperlink" xfId="1763" builtinId="9" hidden="1"/>
    <cellStyle name="Followed Hyperlink" xfId="1764" builtinId="9" hidden="1"/>
    <cellStyle name="Followed Hyperlink" xfId="1765" builtinId="9" hidden="1"/>
    <cellStyle name="Followed Hyperlink" xfId="1766" builtinId="9" hidden="1"/>
    <cellStyle name="Followed Hyperlink" xfId="1767" builtinId="9" hidden="1"/>
    <cellStyle name="Followed Hyperlink" xfId="1768" builtinId="9" hidden="1"/>
    <cellStyle name="Followed Hyperlink" xfId="1769" builtinId="9" hidden="1"/>
    <cellStyle name="Followed Hyperlink" xfId="1770" builtinId="9" hidden="1"/>
    <cellStyle name="Followed Hyperlink" xfId="1771" builtinId="9" hidden="1"/>
    <cellStyle name="Followed Hyperlink" xfId="1772" builtinId="9" hidden="1"/>
    <cellStyle name="Followed Hyperlink" xfId="1773" builtinId="9" hidden="1"/>
    <cellStyle name="Followed Hyperlink" xfId="1774" builtinId="9" hidden="1"/>
    <cellStyle name="Followed Hyperlink" xfId="1775" builtinId="9" hidden="1"/>
    <cellStyle name="Followed Hyperlink" xfId="1776" builtinId="9" hidden="1"/>
    <cellStyle name="Followed Hyperlink" xfId="1777" builtinId="9" hidden="1"/>
    <cellStyle name="Followed Hyperlink" xfId="1778" builtinId="9" hidden="1"/>
    <cellStyle name="Followed Hyperlink" xfId="1779" builtinId="9" hidden="1"/>
    <cellStyle name="Followed Hyperlink" xfId="1780" builtinId="9" hidden="1"/>
    <cellStyle name="Followed Hyperlink" xfId="1781" builtinId="9" hidden="1"/>
    <cellStyle name="Followed Hyperlink" xfId="1782" builtinId="9" hidden="1"/>
    <cellStyle name="Followed Hyperlink" xfId="1783" builtinId="9" hidden="1"/>
    <cellStyle name="Followed Hyperlink" xfId="1784" builtinId="9" hidden="1"/>
    <cellStyle name="Followed Hyperlink" xfId="1785" builtinId="9" hidden="1"/>
    <cellStyle name="Followed Hyperlink" xfId="1786" builtinId="9" hidden="1"/>
    <cellStyle name="Followed Hyperlink" xfId="1787" builtinId="9" hidden="1"/>
    <cellStyle name="Followed Hyperlink" xfId="1788" builtinId="9" hidden="1"/>
    <cellStyle name="Followed Hyperlink" xfId="1789" builtinId="9" hidden="1"/>
    <cellStyle name="Followed Hyperlink" xfId="1790" builtinId="9" hidden="1"/>
    <cellStyle name="Followed Hyperlink" xfId="1791" builtinId="9" hidden="1"/>
    <cellStyle name="Followed Hyperlink" xfId="1792" builtinId="9" hidden="1"/>
    <cellStyle name="Followed Hyperlink" xfId="1793" builtinId="9" hidden="1"/>
    <cellStyle name="Followed Hyperlink" xfId="1794" builtinId="9" hidden="1"/>
    <cellStyle name="Followed Hyperlink" xfId="1795" builtinId="9" hidden="1"/>
    <cellStyle name="Followed Hyperlink" xfId="1796" builtinId="9" hidden="1"/>
    <cellStyle name="Followed Hyperlink" xfId="1797" builtinId="9" hidden="1"/>
    <cellStyle name="Followed Hyperlink" xfId="1798" builtinId="9" hidden="1"/>
    <cellStyle name="Followed Hyperlink" xfId="1799" builtinId="9" hidden="1"/>
    <cellStyle name="Followed Hyperlink" xfId="1800" builtinId="9" hidden="1"/>
    <cellStyle name="Followed Hyperlink" xfId="1801" builtinId="9" hidden="1"/>
    <cellStyle name="Followed Hyperlink" xfId="1802" builtinId="9" hidden="1"/>
    <cellStyle name="Followed Hyperlink" xfId="1803" builtinId="9" hidden="1"/>
    <cellStyle name="Followed Hyperlink" xfId="1804" builtinId="9" hidden="1"/>
    <cellStyle name="Followed Hyperlink" xfId="1805" builtinId="9" hidden="1"/>
    <cellStyle name="Followed Hyperlink" xfId="1806" builtinId="9" hidden="1"/>
    <cellStyle name="Followed Hyperlink" xfId="1807" builtinId="9" hidden="1"/>
    <cellStyle name="Followed Hyperlink" xfId="1808" builtinId="9" hidden="1"/>
    <cellStyle name="Followed Hyperlink" xfId="1809" builtinId="9" hidden="1"/>
    <cellStyle name="Followed Hyperlink" xfId="1810" builtinId="9" hidden="1"/>
    <cellStyle name="Followed Hyperlink" xfId="1811" builtinId="9" hidden="1"/>
    <cellStyle name="Followed Hyperlink" xfId="1812" builtinId="9" hidden="1"/>
    <cellStyle name="Followed Hyperlink" xfId="1813" builtinId="9" hidden="1"/>
    <cellStyle name="Followed Hyperlink" xfId="1814" builtinId="9" hidden="1"/>
    <cellStyle name="Followed Hyperlink" xfId="1815" builtinId="9" hidden="1"/>
    <cellStyle name="Followed Hyperlink" xfId="1816" builtinId="9" hidden="1"/>
    <cellStyle name="Followed Hyperlink" xfId="1817" builtinId="9" hidden="1"/>
    <cellStyle name="Followed Hyperlink" xfId="1818" builtinId="9" hidden="1"/>
    <cellStyle name="Followed Hyperlink" xfId="1819" builtinId="9" hidden="1"/>
    <cellStyle name="Followed Hyperlink" xfId="1820" builtinId="9" hidden="1"/>
    <cellStyle name="Followed Hyperlink" xfId="1821" builtinId="9" hidden="1"/>
    <cellStyle name="Followed Hyperlink" xfId="1822" builtinId="9" hidden="1"/>
    <cellStyle name="Followed Hyperlink" xfId="1823" builtinId="9" hidden="1"/>
    <cellStyle name="Followed Hyperlink" xfId="1824" builtinId="9" hidden="1"/>
    <cellStyle name="Followed Hyperlink" xfId="1825" builtinId="9" hidden="1"/>
    <cellStyle name="Followed Hyperlink" xfId="1826" builtinId="9" hidden="1"/>
    <cellStyle name="Followed Hyperlink" xfId="1827" builtinId="9" hidden="1"/>
    <cellStyle name="Followed Hyperlink" xfId="1828" builtinId="9" hidden="1"/>
    <cellStyle name="Followed Hyperlink" xfId="1829" builtinId="9" hidden="1"/>
    <cellStyle name="Followed Hyperlink" xfId="1830" builtinId="9" hidden="1"/>
    <cellStyle name="Followed Hyperlink" xfId="1831" builtinId="9" hidden="1"/>
    <cellStyle name="Followed Hyperlink" xfId="1832" builtinId="9" hidden="1"/>
    <cellStyle name="Followed Hyperlink" xfId="1833" builtinId="9" hidden="1"/>
    <cellStyle name="Followed Hyperlink" xfId="1834" builtinId="9" hidden="1"/>
    <cellStyle name="Followed Hyperlink" xfId="1835" builtinId="9" hidden="1"/>
    <cellStyle name="Followed Hyperlink" xfId="1836" builtinId="9" hidden="1"/>
    <cellStyle name="Followed Hyperlink" xfId="1837" builtinId="9" hidden="1"/>
    <cellStyle name="Followed Hyperlink" xfId="1838" builtinId="9" hidden="1"/>
    <cellStyle name="Followed Hyperlink" xfId="1839" builtinId="9" hidden="1"/>
    <cellStyle name="Followed Hyperlink" xfId="1840" builtinId="9" hidden="1"/>
    <cellStyle name="Followed Hyperlink" xfId="1841" builtinId="9" hidden="1"/>
    <cellStyle name="Followed Hyperlink" xfId="1842" builtinId="9" hidden="1"/>
    <cellStyle name="Followed Hyperlink" xfId="1843" builtinId="9" hidden="1"/>
    <cellStyle name="Followed Hyperlink" xfId="1844" builtinId="9" hidden="1"/>
    <cellStyle name="Followed Hyperlink" xfId="1845" builtinId="9" hidden="1"/>
    <cellStyle name="Followed Hyperlink" xfId="1846" builtinId="9" hidden="1"/>
    <cellStyle name="Followed Hyperlink" xfId="1847" builtinId="9" hidden="1"/>
    <cellStyle name="Followed Hyperlink" xfId="1848" builtinId="9" hidden="1"/>
    <cellStyle name="Followed Hyperlink" xfId="1849" builtinId="9" hidden="1"/>
    <cellStyle name="Followed Hyperlink" xfId="1850" builtinId="9" hidden="1"/>
    <cellStyle name="Followed Hyperlink" xfId="1851" builtinId="9" hidden="1"/>
    <cellStyle name="Followed Hyperlink" xfId="1852" builtinId="9" hidden="1"/>
    <cellStyle name="Followed Hyperlink" xfId="1853" builtinId="9" hidden="1"/>
    <cellStyle name="Followed Hyperlink" xfId="1854" builtinId="9" hidden="1"/>
    <cellStyle name="Followed Hyperlink" xfId="1855" builtinId="9" hidden="1"/>
    <cellStyle name="Followed Hyperlink" xfId="1856" builtinId="9" hidden="1"/>
    <cellStyle name="Followed Hyperlink" xfId="1857" builtinId="9" hidden="1"/>
    <cellStyle name="Followed Hyperlink" xfId="1858" builtinId="9" hidden="1"/>
    <cellStyle name="Followed Hyperlink" xfId="1859" builtinId="9" hidden="1"/>
    <cellStyle name="Followed Hyperlink" xfId="1860" builtinId="9" hidden="1"/>
    <cellStyle name="Followed Hyperlink" xfId="1861" builtinId="9" hidden="1"/>
    <cellStyle name="Followed Hyperlink" xfId="1862" builtinId="9" hidden="1"/>
    <cellStyle name="Followed Hyperlink" xfId="1863" builtinId="9" hidden="1"/>
    <cellStyle name="Followed Hyperlink" xfId="1864" builtinId="9" hidden="1"/>
    <cellStyle name="Followed Hyperlink" xfId="1865" builtinId="9" hidden="1"/>
    <cellStyle name="Followed Hyperlink" xfId="1866" builtinId="9" hidden="1"/>
    <cellStyle name="Followed Hyperlink" xfId="1867" builtinId="9" hidden="1"/>
    <cellStyle name="Followed Hyperlink" xfId="1868" builtinId="9" hidden="1"/>
    <cellStyle name="Followed Hyperlink" xfId="1869" builtinId="9" hidden="1"/>
    <cellStyle name="Followed Hyperlink" xfId="1870" builtinId="9" hidden="1"/>
    <cellStyle name="Followed Hyperlink" xfId="1871"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2" builtinId="9" hidden="1"/>
    <cellStyle name="Followed Hyperlink" xfId="2133" builtinId="9" hidden="1"/>
    <cellStyle name="Followed Hyperlink" xfId="2134" builtinId="9" hidden="1"/>
    <cellStyle name="Followed Hyperlink" xfId="2135" builtinId="9" hidden="1"/>
    <cellStyle name="Followed Hyperlink" xfId="2136" builtinId="9" hidden="1"/>
    <cellStyle name="Followed Hyperlink" xfId="2137" builtinId="9" hidden="1"/>
    <cellStyle name="Followed Hyperlink" xfId="2138" builtinId="9" hidden="1"/>
    <cellStyle name="Followed Hyperlink" xfId="2139" builtinId="9" hidden="1"/>
    <cellStyle name="Followed Hyperlink" xfId="2140" builtinId="9" hidden="1"/>
    <cellStyle name="Followed Hyperlink" xfId="2141" builtinId="9" hidden="1"/>
    <cellStyle name="Followed Hyperlink" xfId="2142" builtinId="9" hidden="1"/>
    <cellStyle name="Followed Hyperlink" xfId="2143" builtinId="9" hidden="1"/>
    <cellStyle name="Followed Hyperlink" xfId="2144" builtinId="9" hidden="1"/>
    <cellStyle name="Followed Hyperlink" xfId="2145" builtinId="9" hidden="1"/>
    <cellStyle name="Followed Hyperlink" xfId="2146" builtinId="9" hidden="1"/>
    <cellStyle name="Followed Hyperlink" xfId="2147" builtinId="9" hidden="1"/>
    <cellStyle name="Followed Hyperlink" xfId="2148" builtinId="9" hidden="1"/>
    <cellStyle name="Followed Hyperlink" xfId="2149" builtinId="9" hidden="1"/>
    <cellStyle name="Followed Hyperlink" xfId="2150" builtinId="9" hidden="1"/>
    <cellStyle name="Followed Hyperlink" xfId="2151" builtinId="9" hidden="1"/>
    <cellStyle name="Followed Hyperlink" xfId="2152" builtinId="9" hidden="1"/>
    <cellStyle name="Followed Hyperlink" xfId="2153" builtinId="9" hidden="1"/>
    <cellStyle name="Followed Hyperlink" xfId="2154" builtinId="9" hidden="1"/>
    <cellStyle name="Followed Hyperlink" xfId="2155" builtinId="9" hidden="1"/>
    <cellStyle name="Followed Hyperlink" xfId="2156"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72" builtinId="9" hidden="1"/>
    <cellStyle name="Followed Hyperlink" xfId="2173" builtinId="9" hidden="1"/>
    <cellStyle name="Followed Hyperlink" xfId="2174" builtinId="9" hidden="1"/>
    <cellStyle name="Followed Hyperlink" xfId="2175" builtinId="9" hidden="1"/>
    <cellStyle name="Followed Hyperlink" xfId="2176" builtinId="9" hidden="1"/>
    <cellStyle name="Followed Hyperlink" xfId="2177" builtinId="9" hidden="1"/>
    <cellStyle name="Followed Hyperlink" xfId="2178" builtinId="9" hidden="1"/>
    <cellStyle name="Followed Hyperlink" xfId="2179" builtinId="9" hidden="1"/>
    <cellStyle name="Followed Hyperlink" xfId="2180" builtinId="9" hidden="1"/>
    <cellStyle name="Followed Hyperlink" xfId="2181" builtinId="9" hidden="1"/>
    <cellStyle name="Followed Hyperlink" xfId="2182" builtinId="9" hidden="1"/>
    <cellStyle name="Followed Hyperlink" xfId="2183" builtinId="9" hidden="1"/>
    <cellStyle name="Followed Hyperlink" xfId="2184" builtinId="9" hidden="1"/>
    <cellStyle name="Followed Hyperlink" xfId="2185" builtinId="9" hidden="1"/>
    <cellStyle name="Followed Hyperlink" xfId="2186" builtinId="9" hidden="1"/>
    <cellStyle name="Followed Hyperlink" xfId="2187" builtinId="9" hidden="1"/>
    <cellStyle name="Followed Hyperlink" xfId="2188" builtinId="9" hidden="1"/>
    <cellStyle name="Followed Hyperlink" xfId="2189" builtinId="9" hidden="1"/>
    <cellStyle name="Followed Hyperlink" xfId="2190" builtinId="9" hidden="1"/>
    <cellStyle name="Followed Hyperlink" xfId="2191" builtinId="9" hidden="1"/>
    <cellStyle name="Followed Hyperlink" xfId="2192" builtinId="9" hidden="1"/>
    <cellStyle name="Followed Hyperlink" xfId="2193" builtinId="9" hidden="1"/>
    <cellStyle name="Followed Hyperlink" xfId="2194" builtinId="9" hidden="1"/>
    <cellStyle name="Followed Hyperlink" xfId="2195" builtinId="9" hidden="1"/>
    <cellStyle name="Followed Hyperlink" xfId="2196" builtinId="9" hidden="1"/>
    <cellStyle name="Followed Hyperlink" xfId="2197" builtinId="9" hidden="1"/>
    <cellStyle name="Followed Hyperlink" xfId="2198"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209" builtinId="9" hidden="1"/>
    <cellStyle name="Followed Hyperlink" xfId="2210" builtinId="9" hidden="1"/>
    <cellStyle name="Followed Hyperlink" xfId="2211" builtinId="9" hidden="1"/>
    <cellStyle name="Followed Hyperlink" xfId="2212" builtinId="9" hidden="1"/>
    <cellStyle name="Followed Hyperlink" xfId="2213" builtinId="9" hidden="1"/>
    <cellStyle name="Followed Hyperlink" xfId="2214"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Followed Hyperlink" xfId="2236" builtinId="9" hidden="1"/>
    <cellStyle name="Followed Hyperlink" xfId="2237" builtinId="9" hidden="1"/>
    <cellStyle name="Followed Hyperlink" xfId="2238" builtinId="9" hidden="1"/>
    <cellStyle name="Followed Hyperlink" xfId="2239" builtinId="9" hidden="1"/>
    <cellStyle name="Followed Hyperlink" xfId="2240" builtinId="9" hidden="1"/>
    <cellStyle name="Followed Hyperlink" xfId="2241" builtinId="9" hidden="1"/>
    <cellStyle name="Followed Hyperlink" xfId="2242" builtinId="9" hidden="1"/>
    <cellStyle name="Followed Hyperlink" xfId="2243" builtinId="9" hidden="1"/>
    <cellStyle name="Followed Hyperlink" xfId="2244" builtinId="9" hidden="1"/>
    <cellStyle name="Followed Hyperlink" xfId="2245" builtinId="9" hidden="1"/>
    <cellStyle name="Followed Hyperlink" xfId="2246" builtinId="9" hidden="1"/>
    <cellStyle name="Followed Hyperlink" xfId="2247" builtinId="9" hidden="1"/>
    <cellStyle name="Followed Hyperlink" xfId="2248" builtinId="9" hidden="1"/>
    <cellStyle name="Followed Hyperlink" xfId="2249" builtinId="9" hidden="1"/>
    <cellStyle name="Followed Hyperlink" xfId="2250" builtinId="9" hidden="1"/>
    <cellStyle name="Followed Hyperlink" xfId="2251" builtinId="9" hidden="1"/>
    <cellStyle name="Followed Hyperlink" xfId="2252" builtinId="9" hidden="1"/>
    <cellStyle name="Followed Hyperlink" xfId="2253" builtinId="9" hidden="1"/>
    <cellStyle name="Followed Hyperlink" xfId="2254" builtinId="9" hidden="1"/>
    <cellStyle name="Followed Hyperlink" xfId="2255" builtinId="9" hidden="1"/>
    <cellStyle name="Followed Hyperlink" xfId="2256" builtinId="9" hidden="1"/>
    <cellStyle name="Followed Hyperlink" xfId="2257" builtinId="9" hidden="1"/>
    <cellStyle name="Followed Hyperlink" xfId="2258" builtinId="9" hidden="1"/>
    <cellStyle name="Followed Hyperlink" xfId="2259" builtinId="9" hidden="1"/>
    <cellStyle name="Followed Hyperlink" xfId="2260" builtinId="9" hidden="1"/>
    <cellStyle name="Followed Hyperlink" xfId="2261" builtinId="9" hidden="1"/>
    <cellStyle name="Followed Hyperlink" xfId="2262" builtinId="9" hidden="1"/>
    <cellStyle name="Followed Hyperlink" xfId="2263" builtinId="9" hidden="1"/>
    <cellStyle name="Followed Hyperlink" xfId="2264" builtinId="9" hidden="1"/>
    <cellStyle name="Followed Hyperlink" xfId="2265" builtinId="9" hidden="1"/>
    <cellStyle name="Followed Hyperlink" xfId="2266" builtinId="9" hidden="1"/>
    <cellStyle name="Followed Hyperlink" xfId="2267" builtinId="9" hidden="1"/>
    <cellStyle name="Followed Hyperlink" xfId="2268" builtinId="9" hidden="1"/>
    <cellStyle name="Followed Hyperlink" xfId="2269" builtinId="9" hidden="1"/>
    <cellStyle name="Followed Hyperlink" xfId="2270" builtinId="9" hidden="1"/>
    <cellStyle name="Followed Hyperlink" xfId="2271" builtinId="9" hidden="1"/>
    <cellStyle name="Followed Hyperlink" xfId="2272" builtinId="9" hidden="1"/>
    <cellStyle name="Followed Hyperlink" xfId="2273" builtinId="9" hidden="1"/>
    <cellStyle name="Followed Hyperlink" xfId="2274" builtinId="9" hidden="1"/>
    <cellStyle name="Followed Hyperlink" xfId="2275" builtinId="9" hidden="1"/>
    <cellStyle name="Followed Hyperlink" xfId="2276" builtinId="9" hidden="1"/>
    <cellStyle name="Followed Hyperlink" xfId="2277" builtinId="9" hidden="1"/>
    <cellStyle name="Followed Hyperlink" xfId="2278" builtinId="9" hidden="1"/>
    <cellStyle name="Followed Hyperlink" xfId="2279" builtinId="9" hidden="1"/>
    <cellStyle name="Followed Hyperlink" xfId="2280" builtinId="9" hidden="1"/>
    <cellStyle name="Followed Hyperlink" xfId="2281" builtinId="9" hidden="1"/>
    <cellStyle name="Followed Hyperlink" xfId="2282" builtinId="9" hidden="1"/>
    <cellStyle name="Followed Hyperlink" xfId="2283" builtinId="9" hidden="1"/>
    <cellStyle name="Followed Hyperlink" xfId="2284" builtinId="9" hidden="1"/>
    <cellStyle name="Followed Hyperlink" xfId="2285" builtinId="9" hidden="1"/>
    <cellStyle name="Followed Hyperlink" xfId="2286" builtinId="9" hidden="1"/>
    <cellStyle name="Followed Hyperlink" xfId="2287" builtinId="9" hidden="1"/>
    <cellStyle name="Followed Hyperlink" xfId="2288" builtinId="9" hidden="1"/>
    <cellStyle name="Followed Hyperlink" xfId="2289" builtinId="9" hidden="1"/>
    <cellStyle name="Followed Hyperlink" xfId="2290" builtinId="9" hidden="1"/>
    <cellStyle name="Followed Hyperlink" xfId="2291" builtinId="9" hidden="1"/>
    <cellStyle name="Followed Hyperlink" xfId="2292" builtinId="9" hidden="1"/>
    <cellStyle name="Followed Hyperlink" xfId="2293" builtinId="9" hidden="1"/>
    <cellStyle name="Followed Hyperlink" xfId="2294" builtinId="9" hidden="1"/>
    <cellStyle name="Followed Hyperlink" xfId="2295" builtinId="9" hidden="1"/>
    <cellStyle name="Followed Hyperlink" xfId="2296" builtinId="9" hidden="1"/>
    <cellStyle name="Followed Hyperlink" xfId="2297" builtinId="9" hidden="1"/>
    <cellStyle name="Followed Hyperlink" xfId="2298" builtinId="9" hidden="1"/>
    <cellStyle name="Followed Hyperlink" xfId="2299" builtinId="9" hidden="1"/>
    <cellStyle name="Followed Hyperlink" xfId="2300" builtinId="9" hidden="1"/>
    <cellStyle name="Followed Hyperlink" xfId="2301" builtinId="9" hidden="1"/>
    <cellStyle name="Followed Hyperlink" xfId="2302" builtinId="9" hidden="1"/>
    <cellStyle name="Followed Hyperlink" xfId="2303" builtinId="9" hidden="1"/>
    <cellStyle name="Followed Hyperlink" xfId="2304" builtinId="9" hidden="1"/>
    <cellStyle name="Followed Hyperlink" xfId="2305" builtinId="9" hidden="1"/>
    <cellStyle name="Followed Hyperlink" xfId="2306" builtinId="9" hidden="1"/>
    <cellStyle name="Followed Hyperlink" xfId="2307" builtinId="9" hidden="1"/>
    <cellStyle name="Followed Hyperlink" xfId="2308" builtinId="9" hidden="1"/>
    <cellStyle name="Followed Hyperlink" xfId="2309" builtinId="9" hidden="1"/>
    <cellStyle name="Followed Hyperlink" xfId="2310" builtinId="9" hidden="1"/>
    <cellStyle name="Followed Hyperlink" xfId="2311" builtinId="9" hidden="1"/>
    <cellStyle name="Followed Hyperlink" xfId="2312" builtinId="9" hidden="1"/>
    <cellStyle name="Followed Hyperlink" xfId="2313" builtinId="9" hidden="1"/>
    <cellStyle name="Followed Hyperlink" xfId="2314" builtinId="9" hidden="1"/>
    <cellStyle name="Followed Hyperlink" xfId="2315" builtinId="9" hidden="1"/>
    <cellStyle name="Followed Hyperlink" xfId="2316" builtinId="9" hidden="1"/>
    <cellStyle name="Followed Hyperlink" xfId="2317" builtinId="9" hidden="1"/>
    <cellStyle name="Followed Hyperlink" xfId="2318" builtinId="9" hidden="1"/>
    <cellStyle name="Followed Hyperlink" xfId="2319" builtinId="9" hidden="1"/>
    <cellStyle name="Followed Hyperlink" xfId="2320" builtinId="9" hidden="1"/>
    <cellStyle name="Followed Hyperlink" xfId="2321" builtinId="9" hidden="1"/>
    <cellStyle name="Followed Hyperlink" xfId="2322" builtinId="9" hidden="1"/>
    <cellStyle name="Followed Hyperlink" xfId="2323" builtinId="9" hidden="1"/>
    <cellStyle name="Followed Hyperlink" xfId="2324" builtinId="9" hidden="1"/>
    <cellStyle name="Followed Hyperlink" xfId="2325" builtinId="9" hidden="1"/>
    <cellStyle name="Followed Hyperlink" xfId="2326" builtinId="9" hidden="1"/>
    <cellStyle name="Followed Hyperlink" xfId="2327" builtinId="9" hidden="1"/>
    <cellStyle name="Followed Hyperlink" xfId="2328" builtinId="9" hidden="1"/>
    <cellStyle name="Followed Hyperlink" xfId="2329" builtinId="9" hidden="1"/>
    <cellStyle name="Followed Hyperlink" xfId="2330" builtinId="9" hidden="1"/>
    <cellStyle name="Followed Hyperlink" xfId="2331" builtinId="9" hidden="1"/>
    <cellStyle name="Followed Hyperlink" xfId="2332" builtinId="9" hidden="1"/>
    <cellStyle name="Followed Hyperlink" xfId="2333" builtinId="9" hidden="1"/>
    <cellStyle name="Followed Hyperlink" xfId="2334" builtinId="9" hidden="1"/>
    <cellStyle name="Followed Hyperlink" xfId="2335" builtinId="9" hidden="1"/>
    <cellStyle name="Followed Hyperlink" xfId="2337" builtinId="9" hidden="1"/>
    <cellStyle name="Followed Hyperlink" xfId="2338" builtinId="9" hidden="1"/>
    <cellStyle name="Followed Hyperlink" xfId="2339" builtinId="9" hidden="1"/>
    <cellStyle name="Followed Hyperlink" xfId="2340" builtinId="9" hidden="1"/>
    <cellStyle name="Followed Hyperlink" xfId="2341" builtinId="9" hidden="1"/>
    <cellStyle name="Followed Hyperlink" xfId="2342" builtinId="9" hidden="1"/>
    <cellStyle name="Followed Hyperlink" xfId="2343" builtinId="9" hidden="1"/>
    <cellStyle name="Followed Hyperlink" xfId="2344" builtinId="9" hidden="1"/>
    <cellStyle name="Followed Hyperlink" xfId="2345" builtinId="9" hidden="1"/>
    <cellStyle name="Followed Hyperlink" xfId="2346" builtinId="9" hidden="1"/>
    <cellStyle name="Followed Hyperlink" xfId="2347" builtinId="9" hidden="1"/>
    <cellStyle name="Followed Hyperlink" xfId="2348" builtinId="9" hidden="1"/>
    <cellStyle name="Followed Hyperlink" xfId="2349" builtinId="9" hidden="1"/>
    <cellStyle name="Followed Hyperlink" xfId="2350" builtinId="9" hidden="1"/>
    <cellStyle name="Followed Hyperlink" xfId="2351" builtinId="9" hidden="1"/>
    <cellStyle name="Followed Hyperlink" xfId="2352" builtinId="9" hidden="1"/>
    <cellStyle name="Followed Hyperlink" xfId="2353" builtinId="9" hidden="1"/>
    <cellStyle name="Followed Hyperlink" xfId="2354" builtinId="9" hidden="1"/>
    <cellStyle name="Followed Hyperlink" xfId="2355" builtinId="9" hidden="1"/>
    <cellStyle name="Followed Hyperlink" xfId="2356" builtinId="9" hidden="1"/>
    <cellStyle name="Followed Hyperlink" xfId="2357" builtinId="9" hidden="1"/>
    <cellStyle name="Followed Hyperlink" xfId="2358" builtinId="9" hidden="1"/>
    <cellStyle name="Followed Hyperlink" xfId="2359" builtinId="9" hidden="1"/>
    <cellStyle name="Followed Hyperlink" xfId="2360" builtinId="9" hidden="1"/>
    <cellStyle name="Followed Hyperlink" xfId="2361" builtinId="9" hidden="1"/>
    <cellStyle name="Followed Hyperlink" xfId="2362" builtinId="9" hidden="1"/>
    <cellStyle name="Followed Hyperlink" xfId="2363" builtinId="9" hidden="1"/>
    <cellStyle name="Followed Hyperlink" xfId="2364" builtinId="9" hidden="1"/>
    <cellStyle name="Followed Hyperlink" xfId="2365" builtinId="9" hidden="1"/>
    <cellStyle name="Followed Hyperlink" xfId="2366" builtinId="9" hidden="1"/>
    <cellStyle name="Followed Hyperlink" xfId="2367" builtinId="9" hidden="1"/>
    <cellStyle name="Followed Hyperlink" xfId="2368" builtinId="9" hidden="1"/>
    <cellStyle name="Followed Hyperlink" xfId="2369" builtinId="9" hidden="1"/>
    <cellStyle name="Followed Hyperlink" xfId="2370" builtinId="9" hidden="1"/>
    <cellStyle name="Followed Hyperlink" xfId="2371" builtinId="9" hidden="1"/>
    <cellStyle name="Followed Hyperlink" xfId="2372" builtinId="9" hidden="1"/>
    <cellStyle name="Followed Hyperlink" xfId="2373" builtinId="9" hidden="1"/>
    <cellStyle name="Followed Hyperlink" xfId="2374" builtinId="9" hidden="1"/>
    <cellStyle name="Followed Hyperlink" xfId="2375" builtinId="9" hidden="1"/>
    <cellStyle name="Followed Hyperlink" xfId="2376" builtinId="9" hidden="1"/>
    <cellStyle name="Followed Hyperlink" xfId="2377" builtinId="9" hidden="1"/>
    <cellStyle name="Followed Hyperlink" xfId="2378" builtinId="9" hidden="1"/>
    <cellStyle name="Followed Hyperlink" xfId="2379" builtinId="9" hidden="1"/>
    <cellStyle name="Followed Hyperlink" xfId="2380" builtinId="9" hidden="1"/>
    <cellStyle name="Followed Hyperlink" xfId="2381" builtinId="9" hidden="1"/>
    <cellStyle name="Followed Hyperlink" xfId="2382" builtinId="9" hidden="1"/>
    <cellStyle name="Followed Hyperlink" xfId="2383" builtinId="9" hidden="1"/>
    <cellStyle name="Followed Hyperlink" xfId="2384" builtinId="9" hidden="1"/>
    <cellStyle name="Followed Hyperlink" xfId="2385" builtinId="9" hidden="1"/>
    <cellStyle name="Followed Hyperlink" xfId="2386" builtinId="9" hidden="1"/>
    <cellStyle name="Followed Hyperlink" xfId="2387" builtinId="9" hidden="1"/>
    <cellStyle name="Followed Hyperlink" xfId="2388" builtinId="9" hidden="1"/>
    <cellStyle name="Followed Hyperlink" xfId="2389" builtinId="9" hidden="1"/>
    <cellStyle name="Followed Hyperlink" xfId="2390" builtinId="9" hidden="1"/>
    <cellStyle name="Followed Hyperlink" xfId="2391" builtinId="9" hidden="1"/>
    <cellStyle name="Followed Hyperlink" xfId="2392" builtinId="9" hidden="1"/>
    <cellStyle name="Followed Hyperlink" xfId="2393" builtinId="9" hidden="1"/>
    <cellStyle name="Followed Hyperlink" xfId="2394" builtinId="9" hidden="1"/>
    <cellStyle name="Followed Hyperlink" xfId="2395" builtinId="9" hidden="1"/>
    <cellStyle name="Followed Hyperlink" xfId="2396" builtinId="9" hidden="1"/>
    <cellStyle name="Followed Hyperlink" xfId="2397" builtinId="9" hidden="1"/>
    <cellStyle name="Followed Hyperlink" xfId="2398" builtinId="9" hidden="1"/>
    <cellStyle name="Followed Hyperlink" xfId="2399" builtinId="9" hidden="1"/>
    <cellStyle name="Followed Hyperlink" xfId="2400" builtinId="9" hidden="1"/>
    <cellStyle name="Followed Hyperlink" xfId="2401" builtinId="9" hidden="1"/>
    <cellStyle name="Followed Hyperlink" xfId="2402" builtinId="9" hidden="1"/>
    <cellStyle name="Followed Hyperlink" xfId="2403" builtinId="9" hidden="1"/>
    <cellStyle name="Followed Hyperlink" xfId="2404" builtinId="9" hidden="1"/>
    <cellStyle name="Followed Hyperlink" xfId="2405" builtinId="9" hidden="1"/>
    <cellStyle name="Followed Hyperlink" xfId="2406" builtinId="9" hidden="1"/>
    <cellStyle name="Followed Hyperlink" xfId="2407" builtinId="9" hidden="1"/>
    <cellStyle name="Followed Hyperlink" xfId="2408" builtinId="9" hidden="1"/>
    <cellStyle name="Followed Hyperlink" xfId="2409" builtinId="9" hidden="1"/>
    <cellStyle name="Followed Hyperlink" xfId="2410" builtinId="9" hidden="1"/>
    <cellStyle name="Followed Hyperlink" xfId="2411" builtinId="9" hidden="1"/>
    <cellStyle name="Followed Hyperlink" xfId="2412" builtinId="9" hidden="1"/>
    <cellStyle name="Followed Hyperlink" xfId="2413" builtinId="9" hidden="1"/>
    <cellStyle name="Followed Hyperlink" xfId="2414" builtinId="9" hidden="1"/>
    <cellStyle name="Followed Hyperlink" xfId="2415" builtinId="9" hidden="1"/>
    <cellStyle name="Followed Hyperlink" xfId="2416" builtinId="9" hidden="1"/>
    <cellStyle name="Followed Hyperlink" xfId="2417" builtinId="9" hidden="1"/>
    <cellStyle name="Followed Hyperlink" xfId="2418" builtinId="9" hidden="1"/>
    <cellStyle name="Followed Hyperlink" xfId="2419" builtinId="9" hidden="1"/>
    <cellStyle name="Followed Hyperlink" xfId="2420" builtinId="9" hidden="1"/>
    <cellStyle name="Followed Hyperlink" xfId="2421" builtinId="9" hidden="1"/>
    <cellStyle name="Followed Hyperlink" xfId="2422" builtinId="9" hidden="1"/>
    <cellStyle name="Followed Hyperlink" xfId="2423" builtinId="9" hidden="1"/>
    <cellStyle name="Followed Hyperlink" xfId="2424" builtinId="9" hidden="1"/>
    <cellStyle name="Followed Hyperlink" xfId="2425" builtinId="9" hidden="1"/>
    <cellStyle name="Followed Hyperlink" xfId="2426" builtinId="9" hidden="1"/>
    <cellStyle name="Followed Hyperlink" xfId="2427" builtinId="9" hidden="1"/>
    <cellStyle name="Followed Hyperlink" xfId="2428" builtinId="9" hidden="1"/>
    <cellStyle name="Followed Hyperlink" xfId="2429" builtinId="9" hidden="1"/>
    <cellStyle name="Followed Hyperlink" xfId="2430" builtinId="9" hidden="1"/>
    <cellStyle name="Followed Hyperlink" xfId="2431" builtinId="9" hidden="1"/>
    <cellStyle name="Followed Hyperlink" xfId="2432" builtinId="9" hidden="1"/>
    <cellStyle name="Followed Hyperlink" xfId="2433" builtinId="9" hidden="1"/>
    <cellStyle name="Followed Hyperlink" xfId="2434" builtinId="9" hidden="1"/>
    <cellStyle name="Followed Hyperlink" xfId="2435" builtinId="9" hidden="1"/>
    <cellStyle name="Followed Hyperlink" xfId="2436" builtinId="9" hidden="1"/>
    <cellStyle name="Followed Hyperlink" xfId="2437" builtinId="9" hidden="1"/>
    <cellStyle name="Followed Hyperlink" xfId="2438" builtinId="9" hidden="1"/>
    <cellStyle name="Followed Hyperlink" xfId="2439" builtinId="9" hidden="1"/>
    <cellStyle name="Followed Hyperlink" xfId="2440" builtinId="9" hidden="1"/>
    <cellStyle name="Followed Hyperlink" xfId="2441" builtinId="9" hidden="1"/>
    <cellStyle name="Followed Hyperlink" xfId="2442" builtinId="9" hidden="1"/>
    <cellStyle name="Followed Hyperlink" xfId="2443" builtinId="9" hidden="1"/>
    <cellStyle name="Followed Hyperlink" xfId="2444" builtinId="9" hidden="1"/>
    <cellStyle name="Followed Hyperlink" xfId="2445" builtinId="9" hidden="1"/>
    <cellStyle name="Followed Hyperlink" xfId="2446" builtinId="9" hidden="1"/>
    <cellStyle name="Followed Hyperlink" xfId="2447" builtinId="9" hidden="1"/>
    <cellStyle name="Followed Hyperlink" xfId="2448" builtinId="9" hidden="1"/>
    <cellStyle name="Followed Hyperlink" xfId="2449" builtinId="9" hidden="1"/>
    <cellStyle name="Followed Hyperlink" xfId="2450" builtinId="9" hidden="1"/>
    <cellStyle name="Followed Hyperlink" xfId="2451" builtinId="9" hidden="1"/>
    <cellStyle name="Followed Hyperlink" xfId="2452" builtinId="9" hidden="1"/>
    <cellStyle name="Followed Hyperlink" xfId="2453" builtinId="9" hidden="1"/>
    <cellStyle name="Followed Hyperlink" xfId="2454" builtinId="9" hidden="1"/>
    <cellStyle name="Followed Hyperlink" xfId="2455" builtinId="9" hidden="1"/>
    <cellStyle name="Followed Hyperlink" xfId="2456" builtinId="9" hidden="1"/>
    <cellStyle name="Followed Hyperlink" xfId="2457" builtinId="9" hidden="1"/>
    <cellStyle name="Followed Hyperlink" xfId="2458" builtinId="9" hidden="1"/>
    <cellStyle name="Followed Hyperlink" xfId="2459" builtinId="9" hidden="1"/>
    <cellStyle name="Followed Hyperlink" xfId="2460" builtinId="9" hidden="1"/>
    <cellStyle name="Followed Hyperlink" xfId="2461" builtinId="9" hidden="1"/>
    <cellStyle name="Followed Hyperlink" xfId="2462" builtinId="9" hidden="1"/>
    <cellStyle name="Followed Hyperlink" xfId="2463" builtinId="9" hidden="1"/>
    <cellStyle name="Followed Hyperlink" xfId="2464" builtinId="9" hidden="1"/>
    <cellStyle name="Followed Hyperlink" xfId="2465" builtinId="9" hidden="1"/>
    <cellStyle name="Followed Hyperlink" xfId="2466" builtinId="9" hidden="1"/>
    <cellStyle name="Followed Hyperlink" xfId="2467" builtinId="9" hidden="1"/>
    <cellStyle name="Followed Hyperlink" xfId="2468" builtinId="9" hidden="1"/>
    <cellStyle name="Followed Hyperlink" xfId="2469" builtinId="9" hidden="1"/>
    <cellStyle name="Followed Hyperlink" xfId="2470" builtinId="9" hidden="1"/>
    <cellStyle name="Followed Hyperlink" xfId="2471" builtinId="9" hidden="1"/>
    <cellStyle name="Followed Hyperlink" xfId="2472" builtinId="9" hidden="1"/>
    <cellStyle name="Followed Hyperlink" xfId="2473" builtinId="9" hidden="1"/>
    <cellStyle name="Followed Hyperlink" xfId="2474" builtinId="9" hidden="1"/>
    <cellStyle name="Followed Hyperlink" xfId="2475" builtinId="9" hidden="1"/>
    <cellStyle name="Followed Hyperlink" xfId="2476" builtinId="9" hidden="1"/>
    <cellStyle name="Followed Hyperlink" xfId="2477" builtinId="9" hidden="1"/>
    <cellStyle name="Followed Hyperlink" xfId="2478" builtinId="9" hidden="1"/>
    <cellStyle name="Followed Hyperlink" xfId="2479" builtinId="9" hidden="1"/>
    <cellStyle name="Followed Hyperlink" xfId="2480" builtinId="9" hidden="1"/>
    <cellStyle name="Followed Hyperlink" xfId="2481" builtinId="9" hidden="1"/>
    <cellStyle name="Followed Hyperlink" xfId="2482" builtinId="9" hidden="1"/>
    <cellStyle name="Followed Hyperlink" xfId="2483" builtinId="9" hidden="1"/>
    <cellStyle name="Followed Hyperlink" xfId="2484" builtinId="9" hidden="1"/>
    <cellStyle name="Followed Hyperlink" xfId="2485" builtinId="9" hidden="1"/>
    <cellStyle name="Followed Hyperlink" xfId="2486" builtinId="9" hidden="1"/>
    <cellStyle name="Followed Hyperlink" xfId="2487" builtinId="9" hidden="1"/>
    <cellStyle name="Followed Hyperlink" xfId="2488" builtinId="9" hidden="1"/>
    <cellStyle name="Followed Hyperlink" xfId="2489" builtinId="9" hidden="1"/>
    <cellStyle name="Followed Hyperlink" xfId="2490" builtinId="9" hidden="1"/>
    <cellStyle name="Followed Hyperlink" xfId="2491" builtinId="9" hidden="1"/>
    <cellStyle name="Followed Hyperlink" xfId="2492" builtinId="9" hidden="1"/>
    <cellStyle name="Followed Hyperlink" xfId="2493" builtinId="9" hidden="1"/>
    <cellStyle name="Followed Hyperlink" xfId="2494" builtinId="9" hidden="1"/>
    <cellStyle name="Followed Hyperlink" xfId="2495" builtinId="9" hidden="1"/>
    <cellStyle name="Followed Hyperlink" xfId="2496" builtinId="9" hidden="1"/>
    <cellStyle name="Followed Hyperlink" xfId="2497" builtinId="9" hidden="1"/>
    <cellStyle name="Followed Hyperlink" xfId="2498" builtinId="9" hidden="1"/>
    <cellStyle name="Followed Hyperlink" xfId="2499" builtinId="9" hidden="1"/>
    <cellStyle name="Followed Hyperlink" xfId="2500" builtinId="9" hidden="1"/>
    <cellStyle name="Followed Hyperlink" xfId="2501" builtinId="9" hidden="1"/>
    <cellStyle name="Followed Hyperlink" xfId="2502" builtinId="9" hidden="1"/>
    <cellStyle name="Followed Hyperlink" xfId="2503" builtinId="9" hidden="1"/>
    <cellStyle name="Followed Hyperlink" xfId="2504" builtinId="9" hidden="1"/>
    <cellStyle name="Followed Hyperlink" xfId="2505" builtinId="9" hidden="1"/>
    <cellStyle name="Followed Hyperlink" xfId="2506" builtinId="9" hidden="1"/>
    <cellStyle name="Followed Hyperlink" xfId="2507" builtinId="9" hidden="1"/>
    <cellStyle name="Followed Hyperlink" xfId="2508" builtinId="9" hidden="1"/>
    <cellStyle name="Followed Hyperlink" xfId="2509" builtinId="9" hidden="1"/>
    <cellStyle name="Followed Hyperlink" xfId="2510" builtinId="9" hidden="1"/>
    <cellStyle name="Followed Hyperlink" xfId="2511" builtinId="9" hidden="1"/>
    <cellStyle name="Followed Hyperlink" xfId="2512" builtinId="9" hidden="1"/>
    <cellStyle name="Followed Hyperlink" xfId="2513" builtinId="9" hidden="1"/>
    <cellStyle name="Followed Hyperlink" xfId="2514" builtinId="9" hidden="1"/>
    <cellStyle name="Followed Hyperlink" xfId="2515" builtinId="9" hidden="1"/>
    <cellStyle name="Followed Hyperlink" xfId="2516" builtinId="9" hidden="1"/>
    <cellStyle name="Followed Hyperlink" xfId="2517" builtinId="9" hidden="1"/>
    <cellStyle name="Followed Hyperlink" xfId="2518" builtinId="9" hidden="1"/>
    <cellStyle name="Followed Hyperlink" xfId="2519" builtinId="9" hidden="1"/>
    <cellStyle name="Followed Hyperlink" xfId="2520" builtinId="9" hidden="1"/>
    <cellStyle name="Followed Hyperlink" xfId="2521" builtinId="9" hidden="1"/>
    <cellStyle name="Followed Hyperlink" xfId="2522" builtinId="9" hidden="1"/>
    <cellStyle name="Followed Hyperlink" xfId="2523" builtinId="9" hidden="1"/>
    <cellStyle name="Followed Hyperlink" xfId="2524" builtinId="9" hidden="1"/>
    <cellStyle name="Followed Hyperlink" xfId="2525" builtinId="9" hidden="1"/>
    <cellStyle name="Followed Hyperlink" xfId="2526" builtinId="9" hidden="1"/>
    <cellStyle name="Followed Hyperlink" xfId="2527" builtinId="9" hidden="1"/>
    <cellStyle name="Followed Hyperlink" xfId="2528" builtinId="9" hidden="1"/>
    <cellStyle name="Followed Hyperlink" xfId="2529" builtinId="9" hidden="1"/>
    <cellStyle name="Followed Hyperlink" xfId="2530" builtinId="9" hidden="1"/>
    <cellStyle name="Followed Hyperlink" xfId="2531" builtinId="9" hidden="1"/>
    <cellStyle name="Followed Hyperlink" xfId="2532" builtinId="9" hidden="1"/>
    <cellStyle name="Followed Hyperlink" xfId="2533" builtinId="9" hidden="1"/>
    <cellStyle name="Followed Hyperlink" xfId="2534" builtinId="9" hidden="1"/>
    <cellStyle name="Followed Hyperlink" xfId="2535" builtinId="9" hidden="1"/>
    <cellStyle name="Followed Hyperlink" xfId="2536" builtinId="9" hidden="1"/>
    <cellStyle name="Followed Hyperlink" xfId="2537" builtinId="9" hidden="1"/>
    <cellStyle name="Followed Hyperlink" xfId="2538" builtinId="9" hidden="1"/>
    <cellStyle name="Followed Hyperlink" xfId="2539" builtinId="9" hidden="1"/>
    <cellStyle name="Followed Hyperlink" xfId="2540" builtinId="9" hidden="1"/>
    <cellStyle name="Followed Hyperlink" xfId="2541" builtinId="9" hidden="1"/>
    <cellStyle name="Followed Hyperlink" xfId="2542" builtinId="9" hidden="1"/>
    <cellStyle name="Followed Hyperlink" xfId="2543" builtinId="9" hidden="1"/>
    <cellStyle name="Followed Hyperlink" xfId="2544" builtinId="9" hidden="1"/>
    <cellStyle name="Followed Hyperlink" xfId="2545" builtinId="9" hidden="1"/>
    <cellStyle name="Followed Hyperlink" xfId="2546" builtinId="9" hidden="1"/>
    <cellStyle name="Followed Hyperlink" xfId="2547" builtinId="9" hidden="1"/>
    <cellStyle name="Followed Hyperlink" xfId="2548" builtinId="9" hidden="1"/>
    <cellStyle name="Followed Hyperlink" xfId="2549" builtinId="9" hidden="1"/>
    <cellStyle name="Followed Hyperlink" xfId="2550" builtinId="9" hidden="1"/>
    <cellStyle name="Followed Hyperlink" xfId="2551" builtinId="9" hidden="1"/>
    <cellStyle name="Followed Hyperlink" xfId="2552" builtinId="9" hidden="1"/>
    <cellStyle name="Followed Hyperlink" xfId="2553" builtinId="9" hidden="1"/>
    <cellStyle name="Followed Hyperlink" xfId="2554" builtinId="9" hidden="1"/>
    <cellStyle name="Followed Hyperlink" xfId="2555" builtinId="9" hidden="1"/>
    <cellStyle name="Followed Hyperlink" xfId="2556" builtinId="9" hidden="1"/>
    <cellStyle name="Followed Hyperlink" xfId="2557" builtinId="9" hidden="1"/>
    <cellStyle name="Followed Hyperlink" xfId="2558" builtinId="9" hidden="1"/>
    <cellStyle name="Followed Hyperlink" xfId="2559" builtinId="9" hidden="1"/>
    <cellStyle name="Followed Hyperlink" xfId="2560" builtinId="9" hidden="1"/>
    <cellStyle name="Followed Hyperlink" xfId="2561" builtinId="9" hidden="1"/>
    <cellStyle name="Followed Hyperlink" xfId="2562" builtinId="9" hidden="1"/>
    <cellStyle name="Followed Hyperlink" xfId="2563" builtinId="9" hidden="1"/>
    <cellStyle name="Followed Hyperlink" xfId="2564" builtinId="9" hidden="1"/>
    <cellStyle name="Followed Hyperlink" xfId="2565" builtinId="9" hidden="1"/>
    <cellStyle name="Followed Hyperlink" xfId="2566" builtinId="9" hidden="1"/>
    <cellStyle name="Followed Hyperlink" xfId="2567" builtinId="9" hidden="1"/>
    <cellStyle name="Followed Hyperlink" xfId="25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cellStyle name="Input 2" xfId="1265" xr:uid="{00000000-0005-0000-0000-0000040A0000}"/>
    <cellStyle name="Normal" xfId="0" builtinId="0" customBuiltin="1"/>
    <cellStyle name="Normal 6" xfId="841" xr:uid="{00000000-0005-0000-0000-0000060A0000}"/>
    <cellStyle name="Per cent" xfId="842" builtinId="5"/>
    <cellStyle name="Percent 2" xfId="1264" xr:uid="{00000000-0005-0000-0000-0000080A0000}"/>
  </cellStyles>
  <dxfs count="27">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
      <font>
        <strike val="0"/>
        <color rgb="FFFF566A"/>
      </font>
      <fill>
        <patternFill>
          <bgColor rgb="FFFFCCD2"/>
        </patternFill>
      </fill>
    </dxf>
  </dxfs>
  <tableStyles count="0" defaultTableStyle="TableStyleMedium2" defaultPivotStyle="PivotStyleLight16"/>
  <colors>
    <mruColors>
      <color rgb="FF0B2C44"/>
      <color rgb="FF5F5F5F"/>
      <color rgb="FFCBFFF0"/>
      <color rgb="FFC0C0C0"/>
      <color rgb="FFFFCCD2"/>
      <color rgb="FFFFB3BC"/>
      <color rgb="FFFF566A"/>
      <color rgb="FFFF466A"/>
      <color rgb="FF66466A"/>
      <color rgb="FFFF664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203199</xdr:colOff>
      <xdr:row>29</xdr:row>
      <xdr:rowOff>86043</xdr:rowOff>
    </xdr:from>
    <xdr:to>
      <xdr:col>4</xdr:col>
      <xdr:colOff>685800</xdr:colOff>
      <xdr:row>31</xdr:row>
      <xdr:rowOff>94139</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574799" y="6905943"/>
          <a:ext cx="2730501" cy="38909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0</xdr:row>
      <xdr:rowOff>0</xdr:rowOff>
    </xdr:from>
    <xdr:to>
      <xdr:col>8</xdr:col>
      <xdr:colOff>899160</xdr:colOff>
      <xdr:row>40</xdr:row>
      <xdr:rowOff>160020</xdr:rowOff>
    </xdr:to>
    <xdr:sp macro="" textlink="">
      <xdr:nvSpPr>
        <xdr:cNvPr id="1026" name="Rectangle 2" hidden="1">
          <a:extLst>
            <a:ext uri="{FF2B5EF4-FFF2-40B4-BE49-F238E27FC236}">
              <a16:creationId xmlns:a16="http://schemas.microsoft.com/office/drawing/2014/main" id="{00000000-0008-0000-0500-00000204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2" name="AutoShape 2">
          <a:extLst>
            <a:ext uri="{FF2B5EF4-FFF2-40B4-BE49-F238E27FC236}">
              <a16:creationId xmlns:a16="http://schemas.microsoft.com/office/drawing/2014/main" id="{00000000-0008-0000-0500-000002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3" name="AutoShape 2">
          <a:extLst>
            <a:ext uri="{FF2B5EF4-FFF2-40B4-BE49-F238E27FC236}">
              <a16:creationId xmlns:a16="http://schemas.microsoft.com/office/drawing/2014/main" id="{00000000-0008-0000-0500-000003000000}"/>
            </a:ext>
          </a:extLst>
        </xdr:cNvPr>
        <xdr:cNvSpPr>
          <a:spLocks noChangeArrowheads="1"/>
        </xdr:cNvSpPr>
      </xdr:nvSpPr>
      <xdr:spPr bwMode="auto">
        <a:xfrm>
          <a:off x="0" y="0"/>
          <a:ext cx="774954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0</xdr:rowOff>
    </xdr:to>
    <xdr:sp macro="" textlink="">
      <xdr:nvSpPr>
        <xdr:cNvPr id="4" name="AutoShape 2">
          <a:extLst>
            <a:ext uri="{FF2B5EF4-FFF2-40B4-BE49-F238E27FC236}">
              <a16:creationId xmlns:a16="http://schemas.microsoft.com/office/drawing/2014/main" id="{00000000-0008-0000-0500-000004000000}"/>
            </a:ext>
          </a:extLst>
        </xdr:cNvPr>
        <xdr:cNvSpPr>
          <a:spLocks noChangeArrowheads="1"/>
        </xdr:cNvSpPr>
      </xdr:nvSpPr>
      <xdr:spPr bwMode="auto">
        <a:xfrm>
          <a:off x="0" y="0"/>
          <a:ext cx="7747000" cy="762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0</xdr:rowOff>
    </xdr:to>
    <xdr:sp macro="" textlink="">
      <xdr:nvSpPr>
        <xdr:cNvPr id="5" name="AutoShape 2">
          <a:extLst>
            <a:ext uri="{FF2B5EF4-FFF2-40B4-BE49-F238E27FC236}">
              <a16:creationId xmlns:a16="http://schemas.microsoft.com/office/drawing/2014/main" id="{00000000-0008-0000-0500-000005000000}"/>
            </a:ext>
          </a:extLst>
        </xdr:cNvPr>
        <xdr:cNvSpPr>
          <a:spLocks noChangeArrowheads="1"/>
        </xdr:cNvSpPr>
      </xdr:nvSpPr>
      <xdr:spPr bwMode="auto">
        <a:xfrm>
          <a:off x="0" y="0"/>
          <a:ext cx="7747000" cy="762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0</xdr:row>
      <xdr:rowOff>0</xdr:rowOff>
    </xdr:from>
    <xdr:to>
      <xdr:col>8</xdr:col>
      <xdr:colOff>922020</xdr:colOff>
      <xdr:row>37</xdr:row>
      <xdr:rowOff>160020</xdr:rowOff>
    </xdr:to>
    <xdr:sp macro="" textlink="">
      <xdr:nvSpPr>
        <xdr:cNvPr id="2051" name="Rectangle 3" hidden="1">
          <a:extLst>
            <a:ext uri="{FF2B5EF4-FFF2-40B4-BE49-F238E27FC236}">
              <a16:creationId xmlns:a16="http://schemas.microsoft.com/office/drawing/2014/main" id="{00000000-0008-0000-0600-00000308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922020</xdr:colOff>
      <xdr:row>37</xdr:row>
      <xdr:rowOff>160020</xdr:rowOff>
    </xdr:to>
    <xdr:sp macro="" textlink="">
      <xdr:nvSpPr>
        <xdr:cNvPr id="2" name="AutoShape 3">
          <a:extLst>
            <a:ext uri="{FF2B5EF4-FFF2-40B4-BE49-F238E27FC236}">
              <a16:creationId xmlns:a16="http://schemas.microsoft.com/office/drawing/2014/main" id="{00000000-0008-0000-0600-000002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922020</xdr:colOff>
      <xdr:row>37</xdr:row>
      <xdr:rowOff>160020</xdr:rowOff>
    </xdr:to>
    <xdr:sp macro="" textlink="">
      <xdr:nvSpPr>
        <xdr:cNvPr id="3" name="AutoShape 3">
          <a:extLst>
            <a:ext uri="{FF2B5EF4-FFF2-40B4-BE49-F238E27FC236}">
              <a16:creationId xmlns:a16="http://schemas.microsoft.com/office/drawing/2014/main" id="{00000000-0008-0000-06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914400</xdr:colOff>
      <xdr:row>39</xdr:row>
      <xdr:rowOff>38100</xdr:rowOff>
    </xdr:to>
    <xdr:sp macro="" textlink="">
      <xdr:nvSpPr>
        <xdr:cNvPr id="4" name="AutoShape 3">
          <a:extLst>
            <a:ext uri="{FF2B5EF4-FFF2-40B4-BE49-F238E27FC236}">
              <a16:creationId xmlns:a16="http://schemas.microsoft.com/office/drawing/2014/main" id="{00000000-0008-0000-06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914400</xdr:colOff>
      <xdr:row>39</xdr:row>
      <xdr:rowOff>38100</xdr:rowOff>
    </xdr:to>
    <xdr:sp macro="" textlink="">
      <xdr:nvSpPr>
        <xdr:cNvPr id="5" name="AutoShape 3">
          <a:extLst>
            <a:ext uri="{FF2B5EF4-FFF2-40B4-BE49-F238E27FC236}">
              <a16:creationId xmlns:a16="http://schemas.microsoft.com/office/drawing/2014/main" id="{00000000-0008-0000-0600-000005000000}"/>
            </a:ext>
          </a:extLst>
        </xdr:cNvPr>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899160</xdr:colOff>
      <xdr:row>40</xdr:row>
      <xdr:rowOff>160020</xdr:rowOff>
    </xdr:to>
    <xdr:sp macro="" textlink="">
      <xdr:nvSpPr>
        <xdr:cNvPr id="7" name="AutoShape 2">
          <a:extLst>
            <a:ext uri="{FF2B5EF4-FFF2-40B4-BE49-F238E27FC236}">
              <a16:creationId xmlns:a16="http://schemas.microsoft.com/office/drawing/2014/main" id="{00000000-0008-0000-0600-000007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8" name="AutoShape 2">
          <a:extLst>
            <a:ext uri="{FF2B5EF4-FFF2-40B4-BE49-F238E27FC236}">
              <a16:creationId xmlns:a16="http://schemas.microsoft.com/office/drawing/2014/main" id="{00000000-0008-0000-0600-000008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38100</xdr:rowOff>
    </xdr:to>
    <xdr:sp macro="" textlink="">
      <xdr:nvSpPr>
        <xdr:cNvPr id="9" name="AutoShape 2">
          <a:extLst>
            <a:ext uri="{FF2B5EF4-FFF2-40B4-BE49-F238E27FC236}">
              <a16:creationId xmlns:a16="http://schemas.microsoft.com/office/drawing/2014/main" id="{00000000-0008-0000-0600-000009000000}"/>
            </a:ext>
          </a:extLst>
        </xdr:cNvPr>
        <xdr:cNvSpPr>
          <a:spLocks noChangeArrowheads="1"/>
        </xdr:cNvSpPr>
      </xdr:nvSpPr>
      <xdr:spPr bwMode="auto">
        <a:xfrm>
          <a:off x="533400" y="0"/>
          <a:ext cx="9245600" cy="84709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38100</xdr:rowOff>
    </xdr:to>
    <xdr:sp macro="" textlink="">
      <xdr:nvSpPr>
        <xdr:cNvPr id="10" name="AutoShape 2">
          <a:extLst>
            <a:ext uri="{FF2B5EF4-FFF2-40B4-BE49-F238E27FC236}">
              <a16:creationId xmlns:a16="http://schemas.microsoft.com/office/drawing/2014/main" id="{00000000-0008-0000-0600-00000A000000}"/>
            </a:ext>
          </a:extLst>
        </xdr:cNvPr>
        <xdr:cNvSpPr>
          <a:spLocks noChangeArrowheads="1"/>
        </xdr:cNvSpPr>
      </xdr:nvSpPr>
      <xdr:spPr bwMode="auto">
        <a:xfrm>
          <a:off x="533400" y="0"/>
          <a:ext cx="9245600" cy="84709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899160</xdr:colOff>
      <xdr:row>40</xdr:row>
      <xdr:rowOff>160020</xdr:rowOff>
    </xdr:to>
    <xdr:sp macro="" textlink="">
      <xdr:nvSpPr>
        <xdr:cNvPr id="11" name="AutoShape 2">
          <a:extLst>
            <a:ext uri="{FF2B5EF4-FFF2-40B4-BE49-F238E27FC236}">
              <a16:creationId xmlns:a16="http://schemas.microsoft.com/office/drawing/2014/main" id="{00000000-0008-0000-0600-00000B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12" name="AutoShape 2">
          <a:extLst>
            <a:ext uri="{FF2B5EF4-FFF2-40B4-BE49-F238E27FC236}">
              <a16:creationId xmlns:a16="http://schemas.microsoft.com/office/drawing/2014/main" id="{00000000-0008-0000-0600-00000C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38100</xdr:rowOff>
    </xdr:to>
    <xdr:sp macro="" textlink="">
      <xdr:nvSpPr>
        <xdr:cNvPr id="13" name="AutoShape 2">
          <a:extLst>
            <a:ext uri="{FF2B5EF4-FFF2-40B4-BE49-F238E27FC236}">
              <a16:creationId xmlns:a16="http://schemas.microsoft.com/office/drawing/2014/main" id="{00000000-0008-0000-0600-00000D000000}"/>
            </a:ext>
          </a:extLst>
        </xdr:cNvPr>
        <xdr:cNvSpPr>
          <a:spLocks noChangeArrowheads="1"/>
        </xdr:cNvSpPr>
      </xdr:nvSpPr>
      <xdr:spPr bwMode="auto">
        <a:xfrm>
          <a:off x="533400" y="0"/>
          <a:ext cx="9245600" cy="84709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38100</xdr:rowOff>
    </xdr:to>
    <xdr:sp macro="" textlink="">
      <xdr:nvSpPr>
        <xdr:cNvPr id="14" name="AutoShape 2">
          <a:extLst>
            <a:ext uri="{FF2B5EF4-FFF2-40B4-BE49-F238E27FC236}">
              <a16:creationId xmlns:a16="http://schemas.microsoft.com/office/drawing/2014/main" id="{00000000-0008-0000-0600-00000E000000}"/>
            </a:ext>
          </a:extLst>
        </xdr:cNvPr>
        <xdr:cNvSpPr>
          <a:spLocks noChangeArrowheads="1"/>
        </xdr:cNvSpPr>
      </xdr:nvSpPr>
      <xdr:spPr bwMode="auto">
        <a:xfrm>
          <a:off x="533400" y="0"/>
          <a:ext cx="9245600" cy="84709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0</xdr:row>
      <xdr:rowOff>0</xdr:rowOff>
    </xdr:from>
    <xdr:to>
      <xdr:col>8</xdr:col>
      <xdr:colOff>830580</xdr:colOff>
      <xdr:row>37</xdr:row>
      <xdr:rowOff>160020</xdr:rowOff>
    </xdr:to>
    <xdr:sp macro="" textlink="">
      <xdr:nvSpPr>
        <xdr:cNvPr id="3075" name="Rectangle 3" hidden="1">
          <a:extLst>
            <a:ext uri="{FF2B5EF4-FFF2-40B4-BE49-F238E27FC236}">
              <a16:creationId xmlns:a16="http://schemas.microsoft.com/office/drawing/2014/main" id="{00000000-0008-0000-0700-0000030C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830580</xdr:colOff>
      <xdr:row>37</xdr:row>
      <xdr:rowOff>160020</xdr:rowOff>
    </xdr:to>
    <xdr:sp macro="" textlink="">
      <xdr:nvSpPr>
        <xdr:cNvPr id="2" name="AutoShape 3">
          <a:extLst>
            <a:ext uri="{FF2B5EF4-FFF2-40B4-BE49-F238E27FC236}">
              <a16:creationId xmlns:a16="http://schemas.microsoft.com/office/drawing/2014/main" id="{00000000-0008-0000-0700-000002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830580</xdr:colOff>
      <xdr:row>37</xdr:row>
      <xdr:rowOff>160020</xdr:rowOff>
    </xdr:to>
    <xdr:sp macro="" textlink="">
      <xdr:nvSpPr>
        <xdr:cNvPr id="3" name="AutoShape 3">
          <a:extLst>
            <a:ext uri="{FF2B5EF4-FFF2-40B4-BE49-F238E27FC236}">
              <a16:creationId xmlns:a16="http://schemas.microsoft.com/office/drawing/2014/main" id="{00000000-0008-0000-07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825500</xdr:colOff>
      <xdr:row>39</xdr:row>
      <xdr:rowOff>38100</xdr:rowOff>
    </xdr:to>
    <xdr:sp macro="" textlink="">
      <xdr:nvSpPr>
        <xdr:cNvPr id="4" name="AutoShape 3">
          <a:extLst>
            <a:ext uri="{FF2B5EF4-FFF2-40B4-BE49-F238E27FC236}">
              <a16:creationId xmlns:a16="http://schemas.microsoft.com/office/drawing/2014/main" id="{00000000-0008-0000-07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825500</xdr:colOff>
      <xdr:row>39</xdr:row>
      <xdr:rowOff>38100</xdr:rowOff>
    </xdr:to>
    <xdr:sp macro="" textlink="">
      <xdr:nvSpPr>
        <xdr:cNvPr id="5" name="AutoShape 3">
          <a:extLst>
            <a:ext uri="{FF2B5EF4-FFF2-40B4-BE49-F238E27FC236}">
              <a16:creationId xmlns:a16="http://schemas.microsoft.com/office/drawing/2014/main" id="{00000000-0008-0000-0700-000005000000}"/>
            </a:ext>
          </a:extLst>
        </xdr:cNvPr>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922020</xdr:colOff>
      <xdr:row>37</xdr:row>
      <xdr:rowOff>160020</xdr:rowOff>
    </xdr:to>
    <xdr:sp macro="" textlink="">
      <xdr:nvSpPr>
        <xdr:cNvPr id="7" name="AutoShape 3">
          <a:extLst>
            <a:ext uri="{FF2B5EF4-FFF2-40B4-BE49-F238E27FC236}">
              <a16:creationId xmlns:a16="http://schemas.microsoft.com/office/drawing/2014/main" id="{00000000-0008-0000-0700-000007000000}"/>
            </a:ext>
          </a:extLst>
        </xdr:cNvPr>
        <xdr:cNvSpPr>
          <a:spLocks noChangeArrowheads="1"/>
        </xdr:cNvSpPr>
      </xdr:nvSpPr>
      <xdr:spPr bwMode="auto">
        <a:xfrm>
          <a:off x="533400" y="0"/>
          <a:ext cx="9265920" cy="76403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922020</xdr:colOff>
      <xdr:row>37</xdr:row>
      <xdr:rowOff>160020</xdr:rowOff>
    </xdr:to>
    <xdr:sp macro="" textlink="">
      <xdr:nvSpPr>
        <xdr:cNvPr id="8" name="AutoShape 3">
          <a:extLst>
            <a:ext uri="{FF2B5EF4-FFF2-40B4-BE49-F238E27FC236}">
              <a16:creationId xmlns:a16="http://schemas.microsoft.com/office/drawing/2014/main" id="{00000000-0008-0000-0700-000008000000}"/>
            </a:ext>
          </a:extLst>
        </xdr:cNvPr>
        <xdr:cNvSpPr>
          <a:spLocks noChangeArrowheads="1"/>
        </xdr:cNvSpPr>
      </xdr:nvSpPr>
      <xdr:spPr bwMode="auto">
        <a:xfrm>
          <a:off x="533400" y="0"/>
          <a:ext cx="9265920" cy="76403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914400</xdr:colOff>
      <xdr:row>39</xdr:row>
      <xdr:rowOff>38100</xdr:rowOff>
    </xdr:to>
    <xdr:sp macro="" textlink="">
      <xdr:nvSpPr>
        <xdr:cNvPr id="9" name="AutoShape 3">
          <a:extLst>
            <a:ext uri="{FF2B5EF4-FFF2-40B4-BE49-F238E27FC236}">
              <a16:creationId xmlns:a16="http://schemas.microsoft.com/office/drawing/2014/main" id="{00000000-0008-0000-0700-000009000000}"/>
            </a:ext>
          </a:extLst>
        </xdr:cNvPr>
        <xdr:cNvSpPr>
          <a:spLocks noChangeArrowheads="1"/>
        </xdr:cNvSpPr>
      </xdr:nvSpPr>
      <xdr:spPr bwMode="auto">
        <a:xfrm>
          <a:off x="533400" y="0"/>
          <a:ext cx="9258300" cy="78994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914400</xdr:colOff>
      <xdr:row>39</xdr:row>
      <xdr:rowOff>38100</xdr:rowOff>
    </xdr:to>
    <xdr:sp macro="" textlink="">
      <xdr:nvSpPr>
        <xdr:cNvPr id="10" name="AutoShape 3">
          <a:extLst>
            <a:ext uri="{FF2B5EF4-FFF2-40B4-BE49-F238E27FC236}">
              <a16:creationId xmlns:a16="http://schemas.microsoft.com/office/drawing/2014/main" id="{00000000-0008-0000-0700-00000A000000}"/>
            </a:ext>
          </a:extLst>
        </xdr:cNvPr>
        <xdr:cNvSpPr>
          <a:spLocks noChangeArrowheads="1"/>
        </xdr:cNvSpPr>
      </xdr:nvSpPr>
      <xdr:spPr bwMode="auto">
        <a:xfrm>
          <a:off x="533400" y="0"/>
          <a:ext cx="9258300" cy="78994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899160</xdr:colOff>
      <xdr:row>40</xdr:row>
      <xdr:rowOff>160020</xdr:rowOff>
    </xdr:to>
    <xdr:sp macro="" textlink="">
      <xdr:nvSpPr>
        <xdr:cNvPr id="11" name="AutoShape 2">
          <a:extLst>
            <a:ext uri="{FF2B5EF4-FFF2-40B4-BE49-F238E27FC236}">
              <a16:creationId xmlns:a16="http://schemas.microsoft.com/office/drawing/2014/main" id="{00000000-0008-0000-0700-00000B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12" name="AutoShape 2">
          <a:extLst>
            <a:ext uri="{FF2B5EF4-FFF2-40B4-BE49-F238E27FC236}">
              <a16:creationId xmlns:a16="http://schemas.microsoft.com/office/drawing/2014/main" id="{00000000-0008-0000-0700-00000C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38100</xdr:rowOff>
    </xdr:to>
    <xdr:sp macro="" textlink="">
      <xdr:nvSpPr>
        <xdr:cNvPr id="13" name="AutoShape 2">
          <a:extLst>
            <a:ext uri="{FF2B5EF4-FFF2-40B4-BE49-F238E27FC236}">
              <a16:creationId xmlns:a16="http://schemas.microsoft.com/office/drawing/2014/main" id="{00000000-0008-0000-0700-00000D000000}"/>
            </a:ext>
          </a:extLst>
        </xdr:cNvPr>
        <xdr:cNvSpPr>
          <a:spLocks noChangeArrowheads="1"/>
        </xdr:cNvSpPr>
      </xdr:nvSpPr>
      <xdr:spPr bwMode="auto">
        <a:xfrm>
          <a:off x="533400" y="0"/>
          <a:ext cx="9245600" cy="85725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38100</xdr:rowOff>
    </xdr:to>
    <xdr:sp macro="" textlink="">
      <xdr:nvSpPr>
        <xdr:cNvPr id="14" name="AutoShape 2">
          <a:extLst>
            <a:ext uri="{FF2B5EF4-FFF2-40B4-BE49-F238E27FC236}">
              <a16:creationId xmlns:a16="http://schemas.microsoft.com/office/drawing/2014/main" id="{00000000-0008-0000-0700-00000E000000}"/>
            </a:ext>
          </a:extLst>
        </xdr:cNvPr>
        <xdr:cNvSpPr>
          <a:spLocks noChangeArrowheads="1"/>
        </xdr:cNvSpPr>
      </xdr:nvSpPr>
      <xdr:spPr bwMode="auto">
        <a:xfrm>
          <a:off x="533400" y="0"/>
          <a:ext cx="9245600" cy="8572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899160</xdr:colOff>
      <xdr:row>40</xdr:row>
      <xdr:rowOff>160020</xdr:rowOff>
    </xdr:to>
    <xdr:sp macro="" textlink="">
      <xdr:nvSpPr>
        <xdr:cNvPr id="15" name="AutoShape 2">
          <a:extLst>
            <a:ext uri="{FF2B5EF4-FFF2-40B4-BE49-F238E27FC236}">
              <a16:creationId xmlns:a16="http://schemas.microsoft.com/office/drawing/2014/main" id="{00000000-0008-0000-0700-00000F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16" name="AutoShape 2">
          <a:extLst>
            <a:ext uri="{FF2B5EF4-FFF2-40B4-BE49-F238E27FC236}">
              <a16:creationId xmlns:a16="http://schemas.microsoft.com/office/drawing/2014/main" id="{00000000-0008-0000-0700-000010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38100</xdr:rowOff>
    </xdr:to>
    <xdr:sp macro="" textlink="">
      <xdr:nvSpPr>
        <xdr:cNvPr id="17" name="AutoShape 2">
          <a:extLst>
            <a:ext uri="{FF2B5EF4-FFF2-40B4-BE49-F238E27FC236}">
              <a16:creationId xmlns:a16="http://schemas.microsoft.com/office/drawing/2014/main" id="{00000000-0008-0000-0700-000011000000}"/>
            </a:ext>
          </a:extLst>
        </xdr:cNvPr>
        <xdr:cNvSpPr>
          <a:spLocks noChangeArrowheads="1"/>
        </xdr:cNvSpPr>
      </xdr:nvSpPr>
      <xdr:spPr bwMode="auto">
        <a:xfrm>
          <a:off x="533400" y="0"/>
          <a:ext cx="9245600" cy="84709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38100</xdr:rowOff>
    </xdr:to>
    <xdr:sp macro="" textlink="">
      <xdr:nvSpPr>
        <xdr:cNvPr id="18" name="AutoShape 2">
          <a:extLst>
            <a:ext uri="{FF2B5EF4-FFF2-40B4-BE49-F238E27FC236}">
              <a16:creationId xmlns:a16="http://schemas.microsoft.com/office/drawing/2014/main" id="{00000000-0008-0000-0700-000012000000}"/>
            </a:ext>
          </a:extLst>
        </xdr:cNvPr>
        <xdr:cNvSpPr>
          <a:spLocks noChangeArrowheads="1"/>
        </xdr:cNvSpPr>
      </xdr:nvSpPr>
      <xdr:spPr bwMode="auto">
        <a:xfrm>
          <a:off x="533400" y="0"/>
          <a:ext cx="9245600" cy="84709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0</xdr:row>
      <xdr:rowOff>0</xdr:rowOff>
    </xdr:from>
    <xdr:to>
      <xdr:col>8</xdr:col>
      <xdr:colOff>899160</xdr:colOff>
      <xdr:row>37</xdr:row>
      <xdr:rowOff>160020</xdr:rowOff>
    </xdr:to>
    <xdr:sp macro="" textlink="">
      <xdr:nvSpPr>
        <xdr:cNvPr id="4099" name="Rectangle 3" hidden="1">
          <a:extLst>
            <a:ext uri="{FF2B5EF4-FFF2-40B4-BE49-F238E27FC236}">
              <a16:creationId xmlns:a16="http://schemas.microsoft.com/office/drawing/2014/main" id="{00000000-0008-0000-0800-00000310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37</xdr:row>
      <xdr:rowOff>160020</xdr:rowOff>
    </xdr:to>
    <xdr:sp macro="" textlink="">
      <xdr:nvSpPr>
        <xdr:cNvPr id="2" name="AutoShape 3">
          <a:extLst>
            <a:ext uri="{FF2B5EF4-FFF2-40B4-BE49-F238E27FC236}">
              <a16:creationId xmlns:a16="http://schemas.microsoft.com/office/drawing/2014/main" id="{00000000-0008-0000-0800-000002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37</xdr:row>
      <xdr:rowOff>160020</xdr:rowOff>
    </xdr:to>
    <xdr:sp macro="" textlink="">
      <xdr:nvSpPr>
        <xdr:cNvPr id="3" name="AutoShape 3">
          <a:extLst>
            <a:ext uri="{FF2B5EF4-FFF2-40B4-BE49-F238E27FC236}">
              <a16:creationId xmlns:a16="http://schemas.microsoft.com/office/drawing/2014/main" id="{00000000-0008-0000-08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39</xdr:row>
      <xdr:rowOff>38100</xdr:rowOff>
    </xdr:to>
    <xdr:sp macro="" textlink="">
      <xdr:nvSpPr>
        <xdr:cNvPr id="4" name="AutoShape 3">
          <a:extLst>
            <a:ext uri="{FF2B5EF4-FFF2-40B4-BE49-F238E27FC236}">
              <a16:creationId xmlns:a16="http://schemas.microsoft.com/office/drawing/2014/main" id="{00000000-0008-0000-08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39</xdr:row>
      <xdr:rowOff>38100</xdr:rowOff>
    </xdr:to>
    <xdr:sp macro="" textlink="">
      <xdr:nvSpPr>
        <xdr:cNvPr id="5" name="AutoShape 3">
          <a:extLst>
            <a:ext uri="{FF2B5EF4-FFF2-40B4-BE49-F238E27FC236}">
              <a16:creationId xmlns:a16="http://schemas.microsoft.com/office/drawing/2014/main" id="{00000000-0008-0000-0800-000005000000}"/>
            </a:ext>
          </a:extLst>
        </xdr:cNvPr>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922020</xdr:colOff>
      <xdr:row>37</xdr:row>
      <xdr:rowOff>160020</xdr:rowOff>
    </xdr:to>
    <xdr:sp macro="" textlink="">
      <xdr:nvSpPr>
        <xdr:cNvPr id="7" name="AutoShape 3">
          <a:extLst>
            <a:ext uri="{FF2B5EF4-FFF2-40B4-BE49-F238E27FC236}">
              <a16:creationId xmlns:a16="http://schemas.microsoft.com/office/drawing/2014/main" id="{00000000-0008-0000-0800-000007000000}"/>
            </a:ext>
          </a:extLst>
        </xdr:cNvPr>
        <xdr:cNvSpPr>
          <a:spLocks noChangeArrowheads="1"/>
        </xdr:cNvSpPr>
      </xdr:nvSpPr>
      <xdr:spPr bwMode="auto">
        <a:xfrm>
          <a:off x="533400" y="0"/>
          <a:ext cx="9265920" cy="76403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922020</xdr:colOff>
      <xdr:row>37</xdr:row>
      <xdr:rowOff>160020</xdr:rowOff>
    </xdr:to>
    <xdr:sp macro="" textlink="">
      <xdr:nvSpPr>
        <xdr:cNvPr id="8" name="AutoShape 3">
          <a:extLst>
            <a:ext uri="{FF2B5EF4-FFF2-40B4-BE49-F238E27FC236}">
              <a16:creationId xmlns:a16="http://schemas.microsoft.com/office/drawing/2014/main" id="{00000000-0008-0000-0800-000008000000}"/>
            </a:ext>
          </a:extLst>
        </xdr:cNvPr>
        <xdr:cNvSpPr>
          <a:spLocks noChangeArrowheads="1"/>
        </xdr:cNvSpPr>
      </xdr:nvSpPr>
      <xdr:spPr bwMode="auto">
        <a:xfrm>
          <a:off x="533400" y="0"/>
          <a:ext cx="9265920" cy="76403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914400</xdr:colOff>
      <xdr:row>39</xdr:row>
      <xdr:rowOff>38100</xdr:rowOff>
    </xdr:to>
    <xdr:sp macro="" textlink="">
      <xdr:nvSpPr>
        <xdr:cNvPr id="9" name="AutoShape 3">
          <a:extLst>
            <a:ext uri="{FF2B5EF4-FFF2-40B4-BE49-F238E27FC236}">
              <a16:creationId xmlns:a16="http://schemas.microsoft.com/office/drawing/2014/main" id="{00000000-0008-0000-0800-000009000000}"/>
            </a:ext>
          </a:extLst>
        </xdr:cNvPr>
        <xdr:cNvSpPr>
          <a:spLocks noChangeArrowheads="1"/>
        </xdr:cNvSpPr>
      </xdr:nvSpPr>
      <xdr:spPr bwMode="auto">
        <a:xfrm>
          <a:off x="533400" y="0"/>
          <a:ext cx="9258300" cy="78994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914400</xdr:colOff>
      <xdr:row>39</xdr:row>
      <xdr:rowOff>38100</xdr:rowOff>
    </xdr:to>
    <xdr:sp macro="" textlink="">
      <xdr:nvSpPr>
        <xdr:cNvPr id="10" name="AutoShape 3">
          <a:extLst>
            <a:ext uri="{FF2B5EF4-FFF2-40B4-BE49-F238E27FC236}">
              <a16:creationId xmlns:a16="http://schemas.microsoft.com/office/drawing/2014/main" id="{00000000-0008-0000-0800-00000A000000}"/>
            </a:ext>
          </a:extLst>
        </xdr:cNvPr>
        <xdr:cNvSpPr>
          <a:spLocks noChangeArrowheads="1"/>
        </xdr:cNvSpPr>
      </xdr:nvSpPr>
      <xdr:spPr bwMode="auto">
        <a:xfrm>
          <a:off x="533400" y="0"/>
          <a:ext cx="9258300" cy="78994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899160</xdr:colOff>
      <xdr:row>40</xdr:row>
      <xdr:rowOff>160020</xdr:rowOff>
    </xdr:to>
    <xdr:sp macro="" textlink="">
      <xdr:nvSpPr>
        <xdr:cNvPr id="11" name="AutoShape 2">
          <a:extLst>
            <a:ext uri="{FF2B5EF4-FFF2-40B4-BE49-F238E27FC236}">
              <a16:creationId xmlns:a16="http://schemas.microsoft.com/office/drawing/2014/main" id="{00000000-0008-0000-0800-00000B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12" name="AutoShape 2">
          <a:extLst>
            <a:ext uri="{FF2B5EF4-FFF2-40B4-BE49-F238E27FC236}">
              <a16:creationId xmlns:a16="http://schemas.microsoft.com/office/drawing/2014/main" id="{00000000-0008-0000-0800-00000C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38100</xdr:rowOff>
    </xdr:to>
    <xdr:sp macro="" textlink="">
      <xdr:nvSpPr>
        <xdr:cNvPr id="13" name="AutoShape 2">
          <a:extLst>
            <a:ext uri="{FF2B5EF4-FFF2-40B4-BE49-F238E27FC236}">
              <a16:creationId xmlns:a16="http://schemas.microsoft.com/office/drawing/2014/main" id="{00000000-0008-0000-0800-00000D000000}"/>
            </a:ext>
          </a:extLst>
        </xdr:cNvPr>
        <xdr:cNvSpPr>
          <a:spLocks noChangeArrowheads="1"/>
        </xdr:cNvSpPr>
      </xdr:nvSpPr>
      <xdr:spPr bwMode="auto">
        <a:xfrm>
          <a:off x="533400" y="0"/>
          <a:ext cx="9245600" cy="85725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38100</xdr:rowOff>
    </xdr:to>
    <xdr:sp macro="" textlink="">
      <xdr:nvSpPr>
        <xdr:cNvPr id="14" name="AutoShape 2">
          <a:extLst>
            <a:ext uri="{FF2B5EF4-FFF2-40B4-BE49-F238E27FC236}">
              <a16:creationId xmlns:a16="http://schemas.microsoft.com/office/drawing/2014/main" id="{00000000-0008-0000-0800-00000E000000}"/>
            </a:ext>
          </a:extLst>
        </xdr:cNvPr>
        <xdr:cNvSpPr>
          <a:spLocks noChangeArrowheads="1"/>
        </xdr:cNvSpPr>
      </xdr:nvSpPr>
      <xdr:spPr bwMode="auto">
        <a:xfrm>
          <a:off x="533400" y="0"/>
          <a:ext cx="9245600" cy="8572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899160</xdr:colOff>
      <xdr:row>40</xdr:row>
      <xdr:rowOff>160020</xdr:rowOff>
    </xdr:to>
    <xdr:sp macro="" textlink="">
      <xdr:nvSpPr>
        <xdr:cNvPr id="15" name="AutoShape 2">
          <a:extLst>
            <a:ext uri="{FF2B5EF4-FFF2-40B4-BE49-F238E27FC236}">
              <a16:creationId xmlns:a16="http://schemas.microsoft.com/office/drawing/2014/main" id="{00000000-0008-0000-0800-00000F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16" name="AutoShape 2">
          <a:extLst>
            <a:ext uri="{FF2B5EF4-FFF2-40B4-BE49-F238E27FC236}">
              <a16:creationId xmlns:a16="http://schemas.microsoft.com/office/drawing/2014/main" id="{00000000-0008-0000-0800-000010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38100</xdr:rowOff>
    </xdr:to>
    <xdr:sp macro="" textlink="">
      <xdr:nvSpPr>
        <xdr:cNvPr id="17" name="AutoShape 2">
          <a:extLst>
            <a:ext uri="{FF2B5EF4-FFF2-40B4-BE49-F238E27FC236}">
              <a16:creationId xmlns:a16="http://schemas.microsoft.com/office/drawing/2014/main" id="{00000000-0008-0000-0800-000011000000}"/>
            </a:ext>
          </a:extLst>
        </xdr:cNvPr>
        <xdr:cNvSpPr>
          <a:spLocks noChangeArrowheads="1"/>
        </xdr:cNvSpPr>
      </xdr:nvSpPr>
      <xdr:spPr bwMode="auto">
        <a:xfrm>
          <a:off x="533400" y="0"/>
          <a:ext cx="9245600" cy="84709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38100</xdr:rowOff>
    </xdr:to>
    <xdr:sp macro="" textlink="">
      <xdr:nvSpPr>
        <xdr:cNvPr id="18" name="AutoShape 2">
          <a:extLst>
            <a:ext uri="{FF2B5EF4-FFF2-40B4-BE49-F238E27FC236}">
              <a16:creationId xmlns:a16="http://schemas.microsoft.com/office/drawing/2014/main" id="{00000000-0008-0000-0800-000012000000}"/>
            </a:ext>
          </a:extLst>
        </xdr:cNvPr>
        <xdr:cNvSpPr>
          <a:spLocks noChangeArrowheads="1"/>
        </xdr:cNvSpPr>
      </xdr:nvSpPr>
      <xdr:spPr bwMode="auto">
        <a:xfrm>
          <a:off x="533400" y="0"/>
          <a:ext cx="9245600" cy="84709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0</xdr:colOff>
      <xdr:row>0</xdr:row>
      <xdr:rowOff>0</xdr:rowOff>
    </xdr:from>
    <xdr:to>
      <xdr:col>8</xdr:col>
      <xdr:colOff>853440</xdr:colOff>
      <xdr:row>37</xdr:row>
      <xdr:rowOff>160020</xdr:rowOff>
    </xdr:to>
    <xdr:sp macro="" textlink="">
      <xdr:nvSpPr>
        <xdr:cNvPr id="5123" name="Rectangle 3" hidden="1">
          <a:extLst>
            <a:ext uri="{FF2B5EF4-FFF2-40B4-BE49-F238E27FC236}">
              <a16:creationId xmlns:a16="http://schemas.microsoft.com/office/drawing/2014/main" id="{00000000-0008-0000-0900-000003140000}"/>
            </a:ext>
          </a:extLst>
        </xdr:cNvPr>
        <xdr:cNvSpPr>
          <a:spLocks noSelect="1" noChangeArrowheads="1"/>
        </xdr:cNvSpPr>
      </xdr:nvSpPr>
      <xdr:spPr bwMode="auto">
        <a:xfrm>
          <a:off x="0" y="0"/>
          <a:ext cx="7620000" cy="7620000"/>
        </a:xfrm>
        <a:prstGeom prst="rect">
          <a:avLst/>
        </a:pr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853440</xdr:colOff>
      <xdr:row>37</xdr:row>
      <xdr:rowOff>160020</xdr:rowOff>
    </xdr:to>
    <xdr:sp macro="" textlink="">
      <xdr:nvSpPr>
        <xdr:cNvPr id="2" name="AutoShape 3">
          <a:extLst>
            <a:ext uri="{FF2B5EF4-FFF2-40B4-BE49-F238E27FC236}">
              <a16:creationId xmlns:a16="http://schemas.microsoft.com/office/drawing/2014/main" id="{00000000-0008-0000-0900-000002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853440</xdr:colOff>
      <xdr:row>37</xdr:row>
      <xdr:rowOff>160020</xdr:rowOff>
    </xdr:to>
    <xdr:sp macro="" textlink="">
      <xdr:nvSpPr>
        <xdr:cNvPr id="3" name="AutoShape 3">
          <a:extLst>
            <a:ext uri="{FF2B5EF4-FFF2-40B4-BE49-F238E27FC236}">
              <a16:creationId xmlns:a16="http://schemas.microsoft.com/office/drawing/2014/main" id="{00000000-0008-0000-0900-000003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850900</xdr:colOff>
      <xdr:row>39</xdr:row>
      <xdr:rowOff>38100</xdr:rowOff>
    </xdr:to>
    <xdr:sp macro="" textlink="">
      <xdr:nvSpPr>
        <xdr:cNvPr id="4" name="AutoShape 3">
          <a:extLst>
            <a:ext uri="{FF2B5EF4-FFF2-40B4-BE49-F238E27FC236}">
              <a16:creationId xmlns:a16="http://schemas.microsoft.com/office/drawing/2014/main" id="{00000000-0008-0000-0900-000004000000}"/>
            </a:ext>
          </a:extLst>
        </xdr:cNvPr>
        <xdr:cNvSpPr>
          <a:spLocks noChangeArrowheads="1"/>
        </xdr:cNvSpPr>
      </xdr:nvSpPr>
      <xdr:spPr bwMode="auto">
        <a:xfrm>
          <a:off x="0" y="0"/>
          <a:ext cx="7620000" cy="76200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850900</xdr:colOff>
      <xdr:row>39</xdr:row>
      <xdr:rowOff>38100</xdr:rowOff>
    </xdr:to>
    <xdr:sp macro="" textlink="">
      <xdr:nvSpPr>
        <xdr:cNvPr id="5" name="AutoShape 3">
          <a:extLst>
            <a:ext uri="{FF2B5EF4-FFF2-40B4-BE49-F238E27FC236}">
              <a16:creationId xmlns:a16="http://schemas.microsoft.com/office/drawing/2014/main" id="{00000000-0008-0000-0900-000005000000}"/>
            </a:ext>
          </a:extLst>
        </xdr:cNvPr>
        <xdr:cNvSpPr>
          <a:spLocks noChangeArrowheads="1"/>
        </xdr:cNvSpPr>
      </xdr:nvSpPr>
      <xdr:spPr bwMode="auto">
        <a:xfrm>
          <a:off x="0" y="0"/>
          <a:ext cx="7620000" cy="76200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922020</xdr:colOff>
      <xdr:row>37</xdr:row>
      <xdr:rowOff>160020</xdr:rowOff>
    </xdr:to>
    <xdr:sp macro="" textlink="">
      <xdr:nvSpPr>
        <xdr:cNvPr id="7" name="AutoShape 3">
          <a:extLst>
            <a:ext uri="{FF2B5EF4-FFF2-40B4-BE49-F238E27FC236}">
              <a16:creationId xmlns:a16="http://schemas.microsoft.com/office/drawing/2014/main" id="{00000000-0008-0000-0900-000007000000}"/>
            </a:ext>
          </a:extLst>
        </xdr:cNvPr>
        <xdr:cNvSpPr>
          <a:spLocks noChangeArrowheads="1"/>
        </xdr:cNvSpPr>
      </xdr:nvSpPr>
      <xdr:spPr bwMode="auto">
        <a:xfrm>
          <a:off x="533400" y="0"/>
          <a:ext cx="9265920" cy="76403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922020</xdr:colOff>
      <xdr:row>37</xdr:row>
      <xdr:rowOff>160020</xdr:rowOff>
    </xdr:to>
    <xdr:sp macro="" textlink="">
      <xdr:nvSpPr>
        <xdr:cNvPr id="8" name="AutoShape 3">
          <a:extLst>
            <a:ext uri="{FF2B5EF4-FFF2-40B4-BE49-F238E27FC236}">
              <a16:creationId xmlns:a16="http://schemas.microsoft.com/office/drawing/2014/main" id="{00000000-0008-0000-0900-000008000000}"/>
            </a:ext>
          </a:extLst>
        </xdr:cNvPr>
        <xdr:cNvSpPr>
          <a:spLocks noChangeArrowheads="1"/>
        </xdr:cNvSpPr>
      </xdr:nvSpPr>
      <xdr:spPr bwMode="auto">
        <a:xfrm>
          <a:off x="533400" y="0"/>
          <a:ext cx="9265920" cy="76403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914400</xdr:colOff>
      <xdr:row>39</xdr:row>
      <xdr:rowOff>38100</xdr:rowOff>
    </xdr:to>
    <xdr:sp macro="" textlink="">
      <xdr:nvSpPr>
        <xdr:cNvPr id="9" name="AutoShape 3">
          <a:extLst>
            <a:ext uri="{FF2B5EF4-FFF2-40B4-BE49-F238E27FC236}">
              <a16:creationId xmlns:a16="http://schemas.microsoft.com/office/drawing/2014/main" id="{00000000-0008-0000-0900-000009000000}"/>
            </a:ext>
          </a:extLst>
        </xdr:cNvPr>
        <xdr:cNvSpPr>
          <a:spLocks noChangeArrowheads="1"/>
        </xdr:cNvSpPr>
      </xdr:nvSpPr>
      <xdr:spPr bwMode="auto">
        <a:xfrm>
          <a:off x="533400" y="0"/>
          <a:ext cx="9258300" cy="78994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914400</xdr:colOff>
      <xdr:row>39</xdr:row>
      <xdr:rowOff>38100</xdr:rowOff>
    </xdr:to>
    <xdr:sp macro="" textlink="">
      <xdr:nvSpPr>
        <xdr:cNvPr id="10" name="AutoShape 3">
          <a:extLst>
            <a:ext uri="{FF2B5EF4-FFF2-40B4-BE49-F238E27FC236}">
              <a16:creationId xmlns:a16="http://schemas.microsoft.com/office/drawing/2014/main" id="{00000000-0008-0000-0900-00000A000000}"/>
            </a:ext>
          </a:extLst>
        </xdr:cNvPr>
        <xdr:cNvSpPr>
          <a:spLocks noChangeArrowheads="1"/>
        </xdr:cNvSpPr>
      </xdr:nvSpPr>
      <xdr:spPr bwMode="auto">
        <a:xfrm>
          <a:off x="533400" y="0"/>
          <a:ext cx="9258300" cy="78994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899160</xdr:colOff>
      <xdr:row>40</xdr:row>
      <xdr:rowOff>160020</xdr:rowOff>
    </xdr:to>
    <xdr:sp macro="" textlink="">
      <xdr:nvSpPr>
        <xdr:cNvPr id="11" name="AutoShape 2">
          <a:extLst>
            <a:ext uri="{FF2B5EF4-FFF2-40B4-BE49-F238E27FC236}">
              <a16:creationId xmlns:a16="http://schemas.microsoft.com/office/drawing/2014/main" id="{00000000-0008-0000-0900-00000B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12" name="AutoShape 2">
          <a:extLst>
            <a:ext uri="{FF2B5EF4-FFF2-40B4-BE49-F238E27FC236}">
              <a16:creationId xmlns:a16="http://schemas.microsoft.com/office/drawing/2014/main" id="{00000000-0008-0000-0900-00000C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38100</xdr:rowOff>
    </xdr:to>
    <xdr:sp macro="" textlink="">
      <xdr:nvSpPr>
        <xdr:cNvPr id="13" name="AutoShape 2">
          <a:extLst>
            <a:ext uri="{FF2B5EF4-FFF2-40B4-BE49-F238E27FC236}">
              <a16:creationId xmlns:a16="http://schemas.microsoft.com/office/drawing/2014/main" id="{00000000-0008-0000-0900-00000D000000}"/>
            </a:ext>
          </a:extLst>
        </xdr:cNvPr>
        <xdr:cNvSpPr>
          <a:spLocks noChangeArrowheads="1"/>
        </xdr:cNvSpPr>
      </xdr:nvSpPr>
      <xdr:spPr bwMode="auto">
        <a:xfrm>
          <a:off x="533400" y="0"/>
          <a:ext cx="9245600" cy="85725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38100</xdr:rowOff>
    </xdr:to>
    <xdr:sp macro="" textlink="">
      <xdr:nvSpPr>
        <xdr:cNvPr id="14" name="AutoShape 2">
          <a:extLst>
            <a:ext uri="{FF2B5EF4-FFF2-40B4-BE49-F238E27FC236}">
              <a16:creationId xmlns:a16="http://schemas.microsoft.com/office/drawing/2014/main" id="{00000000-0008-0000-0900-00000E000000}"/>
            </a:ext>
          </a:extLst>
        </xdr:cNvPr>
        <xdr:cNvSpPr>
          <a:spLocks noChangeArrowheads="1"/>
        </xdr:cNvSpPr>
      </xdr:nvSpPr>
      <xdr:spPr bwMode="auto">
        <a:xfrm>
          <a:off x="533400" y="0"/>
          <a:ext cx="9245600" cy="85725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899160</xdr:colOff>
      <xdr:row>40</xdr:row>
      <xdr:rowOff>160020</xdr:rowOff>
    </xdr:to>
    <xdr:sp macro="" textlink="">
      <xdr:nvSpPr>
        <xdr:cNvPr id="15" name="AutoShape 2">
          <a:extLst>
            <a:ext uri="{FF2B5EF4-FFF2-40B4-BE49-F238E27FC236}">
              <a16:creationId xmlns:a16="http://schemas.microsoft.com/office/drawing/2014/main" id="{00000000-0008-0000-0900-00000F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899160</xdr:colOff>
      <xdr:row>40</xdr:row>
      <xdr:rowOff>160020</xdr:rowOff>
    </xdr:to>
    <xdr:sp macro="" textlink="">
      <xdr:nvSpPr>
        <xdr:cNvPr id="16" name="AutoShape 2">
          <a:extLst>
            <a:ext uri="{FF2B5EF4-FFF2-40B4-BE49-F238E27FC236}">
              <a16:creationId xmlns:a16="http://schemas.microsoft.com/office/drawing/2014/main" id="{00000000-0008-0000-0900-000010000000}"/>
            </a:ext>
          </a:extLst>
        </xdr:cNvPr>
        <xdr:cNvSpPr>
          <a:spLocks noChangeArrowheads="1"/>
        </xdr:cNvSpPr>
      </xdr:nvSpPr>
      <xdr:spPr bwMode="auto">
        <a:xfrm>
          <a:off x="533400" y="0"/>
          <a:ext cx="9243060" cy="821182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1</xdr:col>
      <xdr:colOff>0</xdr:colOff>
      <xdr:row>0</xdr:row>
      <xdr:rowOff>0</xdr:rowOff>
    </xdr:from>
    <xdr:to>
      <xdr:col>8</xdr:col>
      <xdr:colOff>901700</xdr:colOff>
      <xdr:row>42</xdr:row>
      <xdr:rowOff>38100</xdr:rowOff>
    </xdr:to>
    <xdr:sp macro="" textlink="">
      <xdr:nvSpPr>
        <xdr:cNvPr id="17" name="AutoShape 2">
          <a:extLst>
            <a:ext uri="{FF2B5EF4-FFF2-40B4-BE49-F238E27FC236}">
              <a16:creationId xmlns:a16="http://schemas.microsoft.com/office/drawing/2014/main" id="{00000000-0008-0000-0900-000011000000}"/>
            </a:ext>
          </a:extLst>
        </xdr:cNvPr>
        <xdr:cNvSpPr>
          <a:spLocks noChangeArrowheads="1"/>
        </xdr:cNvSpPr>
      </xdr:nvSpPr>
      <xdr:spPr bwMode="auto">
        <a:xfrm>
          <a:off x="533400" y="0"/>
          <a:ext cx="9245600" cy="8470900"/>
        </a:xfrm>
        <a:custGeom>
          <a:avLst/>
          <a:gdLst/>
          <a:ahLst/>
          <a:cxnLst/>
          <a:rect l="0" t="0" r="0" b="0"/>
          <a:pathLst/>
        </a:cu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1</xdr:col>
      <xdr:colOff>0</xdr:colOff>
      <xdr:row>0</xdr:row>
      <xdr:rowOff>0</xdr:rowOff>
    </xdr:from>
    <xdr:to>
      <xdr:col>8</xdr:col>
      <xdr:colOff>901700</xdr:colOff>
      <xdr:row>42</xdr:row>
      <xdr:rowOff>38100</xdr:rowOff>
    </xdr:to>
    <xdr:sp macro="" textlink="">
      <xdr:nvSpPr>
        <xdr:cNvPr id="18" name="AutoShape 2">
          <a:extLst>
            <a:ext uri="{FF2B5EF4-FFF2-40B4-BE49-F238E27FC236}">
              <a16:creationId xmlns:a16="http://schemas.microsoft.com/office/drawing/2014/main" id="{00000000-0008-0000-0900-000012000000}"/>
            </a:ext>
          </a:extLst>
        </xdr:cNvPr>
        <xdr:cNvSpPr>
          <a:spLocks noChangeArrowheads="1"/>
        </xdr:cNvSpPr>
      </xdr:nvSpPr>
      <xdr:spPr bwMode="auto">
        <a:xfrm>
          <a:off x="533400" y="0"/>
          <a:ext cx="9245600" cy="8470900"/>
        </a:xfrm>
        <a:custGeom>
          <a:avLst/>
          <a:gdLst/>
          <a:ahLst/>
          <a:cxnLst/>
          <a:rect l="0" t="0" r="r" b="b"/>
          <a:pathLst/>
        </a:cu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fabianapel/Documents/CV%20and%20Covers/Equidam%20Assignment/Equidam%20Assignment%201%20Fabian%20Ap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WI Assumption Workings"/>
      <sheetName val="CASH FLOW with Yearly results"/>
    </sheetNames>
    <sheetDataSet>
      <sheetData sheetId="0" refreshError="1"/>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finserv@equidam.com?subject=Financial%20Projections%20Query" TargetMode="External"/><Relationship Id="rId2" Type="http://schemas.openxmlformats.org/officeDocument/2006/relationships/hyperlink" Target="https://calendly.com/equidamfinserv" TargetMode="External"/><Relationship Id="rId1" Type="http://schemas.openxmlformats.org/officeDocument/2006/relationships/hyperlink" Target="https://www.equidam.com/?ref=financialtemplate"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hyperlink" Target="https://www.equidam.com/?ref=financialtemplat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25"/>
  <sheetViews>
    <sheetView showGridLines="0" workbookViewId="0">
      <selection activeCell="B3" sqref="B3"/>
    </sheetView>
  </sheetViews>
  <sheetFormatPr baseColWidth="10" defaultColWidth="11.1640625" defaultRowHeight="15" customHeight="1" x14ac:dyDescent="0.2"/>
  <cols>
    <col min="1" max="1" width="7" style="63" customWidth="1"/>
    <col min="2" max="2" width="11" style="63" customWidth="1"/>
    <col min="3" max="3" width="10.83203125" style="63" customWidth="1"/>
    <col min="4" max="4" width="18.6640625" style="63" customWidth="1"/>
    <col min="5" max="5" width="9.6640625" style="63" customWidth="1"/>
    <col min="6" max="6" width="3.33203125" style="63" customWidth="1"/>
    <col min="7" max="7" width="16.5" style="63" customWidth="1"/>
    <col min="8" max="8" width="10.33203125" style="63" customWidth="1"/>
    <col min="9" max="9" width="24.33203125" style="63" customWidth="1"/>
    <col min="10" max="10" width="4.83203125" style="63" customWidth="1"/>
    <col min="11" max="11" width="7.83203125" style="63" customWidth="1"/>
    <col min="12" max="12" width="21.1640625" style="63" customWidth="1"/>
    <col min="13" max="13" width="9.83203125" style="63" customWidth="1"/>
    <col min="14" max="16" width="10.83203125" style="63" customWidth="1"/>
    <col min="17" max="18" width="13.33203125" style="63" customWidth="1"/>
    <col min="19" max="19" width="16.5" style="63" customWidth="1"/>
    <col min="20" max="20" width="18.6640625" style="63" customWidth="1"/>
    <col min="21" max="28" width="13.33203125" style="63" customWidth="1"/>
    <col min="29" max="16384" width="11.1640625" style="63"/>
  </cols>
  <sheetData>
    <row r="1" spans="1:21" ht="16" x14ac:dyDescent="0.2">
      <c r="A1" s="1"/>
      <c r="B1" s="484"/>
      <c r="C1" s="484"/>
      <c r="D1" s="482"/>
      <c r="E1" s="482"/>
      <c r="F1" s="482"/>
      <c r="G1" s="482"/>
      <c r="H1" s="482"/>
      <c r="I1" s="48"/>
      <c r="J1" s="48"/>
      <c r="K1" s="47"/>
    </row>
    <row r="2" spans="1:21" ht="15.75" customHeight="1" x14ac:dyDescent="0.2"/>
    <row r="3" spans="1:21" ht="28" x14ac:dyDescent="0.2">
      <c r="B3" s="82" t="s">
        <v>69</v>
      </c>
      <c r="C3" s="80"/>
      <c r="D3" s="80"/>
      <c r="E3" s="80"/>
      <c r="F3" s="80"/>
      <c r="G3" s="80"/>
      <c r="H3" s="80"/>
      <c r="I3" s="80"/>
      <c r="J3" s="80"/>
      <c r="K3" s="80"/>
      <c r="L3" s="80"/>
      <c r="M3" s="80"/>
      <c r="N3" s="80"/>
      <c r="O3" s="80"/>
      <c r="P3" s="80"/>
      <c r="Q3" s="80"/>
      <c r="R3" s="80"/>
      <c r="S3" s="80"/>
    </row>
    <row r="4" spans="1:21" ht="12" customHeight="1" x14ac:dyDescent="0.2">
      <c r="B4" s="82"/>
      <c r="C4" s="80"/>
      <c r="D4" s="80"/>
      <c r="E4" s="80"/>
      <c r="F4" s="80"/>
      <c r="G4" s="80"/>
      <c r="H4" s="80"/>
      <c r="I4" s="80"/>
      <c r="J4" s="80"/>
      <c r="K4" s="80"/>
      <c r="L4" s="80"/>
      <c r="M4" s="80"/>
      <c r="N4" s="80"/>
      <c r="O4" s="80"/>
      <c r="P4" s="80"/>
      <c r="Q4" s="80"/>
      <c r="R4" s="80"/>
      <c r="S4" s="80"/>
    </row>
    <row r="5" spans="1:21" s="91" customFormat="1" ht="15" customHeight="1" x14ac:dyDescent="0.2">
      <c r="B5" s="489" t="s">
        <v>379</v>
      </c>
      <c r="C5" s="489"/>
      <c r="D5" s="489"/>
      <c r="E5" s="489"/>
      <c r="F5" s="489"/>
      <c r="G5" s="489"/>
      <c r="H5" s="489"/>
      <c r="I5" s="489"/>
      <c r="J5" s="489"/>
      <c r="K5" s="489"/>
      <c r="L5" s="489"/>
      <c r="M5" s="489"/>
      <c r="N5" s="489"/>
      <c r="O5" s="489"/>
      <c r="P5" s="489"/>
      <c r="Q5" s="489"/>
      <c r="R5" s="489"/>
      <c r="S5" s="489"/>
    </row>
    <row r="6" spans="1:21" s="91" customFormat="1" ht="33" customHeight="1" x14ac:dyDescent="0.2">
      <c r="B6" s="489"/>
      <c r="C6" s="489"/>
      <c r="D6" s="489"/>
      <c r="E6" s="489"/>
      <c r="F6" s="489"/>
      <c r="G6" s="489"/>
      <c r="H6" s="489"/>
      <c r="I6" s="489"/>
      <c r="J6" s="489"/>
      <c r="K6" s="489"/>
      <c r="L6" s="489"/>
      <c r="M6" s="489"/>
      <c r="N6" s="489"/>
      <c r="O6" s="489"/>
      <c r="P6" s="489"/>
      <c r="Q6" s="489"/>
      <c r="R6" s="489"/>
      <c r="S6" s="489"/>
    </row>
    <row r="7" spans="1:21" ht="18" customHeight="1" x14ac:dyDescent="0.2">
      <c r="B7" s="483"/>
      <c r="C7" s="483"/>
      <c r="D7" s="483"/>
      <c r="E7" s="483"/>
      <c r="F7" s="483"/>
      <c r="G7" s="483"/>
      <c r="H7" s="483"/>
      <c r="I7" s="483"/>
      <c r="J7" s="483"/>
      <c r="K7" s="483"/>
      <c r="L7" s="483"/>
      <c r="M7" s="483"/>
      <c r="N7" s="483"/>
      <c r="O7" s="483"/>
      <c r="P7" s="483"/>
      <c r="Q7" s="483"/>
      <c r="R7" s="483"/>
    </row>
    <row r="8" spans="1:21" s="65" customFormat="1" ht="33" customHeight="1" x14ac:dyDescent="0.25">
      <c r="A8" s="25"/>
      <c r="B8" s="86" t="s">
        <v>72</v>
      </c>
      <c r="C8" s="86"/>
      <c r="D8" s="86"/>
      <c r="E8" s="88"/>
      <c r="F8" s="45"/>
      <c r="G8" s="64"/>
      <c r="H8" s="64"/>
      <c r="I8" s="63"/>
      <c r="J8" s="63"/>
      <c r="K8" s="494" t="s">
        <v>70</v>
      </c>
      <c r="L8" s="494"/>
      <c r="M8" s="494"/>
      <c r="N8" s="494"/>
      <c r="O8" s="494"/>
      <c r="P8" s="494"/>
      <c r="Q8" s="494"/>
      <c r="R8" s="494"/>
      <c r="S8" s="494"/>
      <c r="U8" s="63"/>
    </row>
    <row r="9" spans="1:21" s="65" customFormat="1" ht="25" customHeight="1" x14ac:dyDescent="0.2">
      <c r="A9" s="25"/>
      <c r="B9" s="436" t="s">
        <v>73</v>
      </c>
      <c r="C9" s="38"/>
      <c r="D9" s="38"/>
      <c r="E9" s="38"/>
      <c r="F9" s="38"/>
      <c r="G9" s="64"/>
      <c r="H9" s="64"/>
      <c r="I9" s="63"/>
      <c r="J9" s="63"/>
      <c r="K9" s="445" t="s">
        <v>71</v>
      </c>
      <c r="L9" s="66"/>
      <c r="M9" s="67"/>
      <c r="N9" s="63"/>
      <c r="O9" s="63"/>
      <c r="P9" s="63"/>
      <c r="U9" s="63"/>
    </row>
    <row r="10" spans="1:21" s="65" customFormat="1" ht="18" x14ac:dyDescent="0.2">
      <c r="A10" s="25"/>
      <c r="B10" s="437" t="s">
        <v>174</v>
      </c>
      <c r="C10" s="38"/>
      <c r="D10" s="38"/>
      <c r="E10" s="38"/>
      <c r="F10" s="38"/>
      <c r="G10" s="64"/>
      <c r="H10" s="64"/>
      <c r="I10" s="63"/>
      <c r="J10" s="63"/>
      <c r="K10" s="486" t="s">
        <v>391</v>
      </c>
      <c r="L10" s="487"/>
      <c r="M10" s="487"/>
      <c r="N10" s="488"/>
      <c r="O10" s="63"/>
      <c r="P10" s="63"/>
      <c r="R10" s="68"/>
      <c r="U10" s="63"/>
    </row>
    <row r="11" spans="1:21" s="65" customFormat="1" ht="15" customHeight="1" x14ac:dyDescent="0.2">
      <c r="B11" s="438"/>
      <c r="K11" s="29"/>
      <c r="L11" s="29"/>
      <c r="M11" s="67"/>
      <c r="N11" s="63"/>
      <c r="O11" s="63"/>
      <c r="P11" s="63"/>
      <c r="R11" s="68"/>
      <c r="U11" s="63"/>
    </row>
    <row r="12" spans="1:21" s="65" customFormat="1" ht="15" customHeight="1" x14ac:dyDescent="0.2">
      <c r="A12" s="30" t="s">
        <v>74</v>
      </c>
      <c r="B12" s="439" t="s">
        <v>173</v>
      </c>
      <c r="C12" s="38"/>
      <c r="D12" s="38"/>
      <c r="E12" s="38"/>
      <c r="F12" s="38"/>
      <c r="G12" s="64"/>
      <c r="H12" s="64"/>
      <c r="I12" s="63"/>
      <c r="J12" s="63"/>
      <c r="K12" s="485" t="s">
        <v>171</v>
      </c>
      <c r="L12" s="485"/>
      <c r="M12" s="485"/>
      <c r="N12" s="485"/>
      <c r="O12" s="485"/>
      <c r="P12" s="485"/>
      <c r="Q12" s="485"/>
      <c r="R12" s="69"/>
      <c r="U12" s="63"/>
    </row>
    <row r="13" spans="1:21" s="65" customFormat="1" ht="15" customHeight="1" x14ac:dyDescent="0.2">
      <c r="A13" s="63"/>
      <c r="B13" s="440" t="s">
        <v>392</v>
      </c>
      <c r="C13" s="64"/>
      <c r="D13" s="38"/>
      <c r="F13" s="64"/>
      <c r="G13" s="468" t="s">
        <v>75</v>
      </c>
      <c r="H13" s="64"/>
      <c r="I13" s="63"/>
      <c r="J13" s="63"/>
      <c r="K13" s="70"/>
      <c r="L13" s="70"/>
      <c r="M13" s="70"/>
      <c r="N13" s="70"/>
      <c r="O13" s="70"/>
      <c r="Q13" s="68"/>
      <c r="T13" s="63"/>
    </row>
    <row r="14" spans="1:21" s="65" customFormat="1" ht="15" customHeight="1" x14ac:dyDescent="0.2">
      <c r="A14" s="25"/>
      <c r="B14" s="441"/>
      <c r="C14" s="38"/>
      <c r="D14" s="38"/>
      <c r="E14" s="38"/>
      <c r="F14" s="38"/>
      <c r="G14" s="64"/>
      <c r="H14" s="64"/>
      <c r="I14" s="63"/>
      <c r="J14" s="63"/>
      <c r="K14" s="446" t="s">
        <v>176</v>
      </c>
      <c r="L14" s="447" t="s">
        <v>84</v>
      </c>
      <c r="M14" s="448" t="s">
        <v>381</v>
      </c>
      <c r="N14" s="448"/>
      <c r="O14" s="448"/>
      <c r="P14" s="449"/>
      <c r="Q14" s="449"/>
      <c r="R14" s="449"/>
      <c r="S14" s="449"/>
      <c r="T14" s="63"/>
    </row>
    <row r="15" spans="1:21" s="65" customFormat="1" ht="15" customHeight="1" x14ac:dyDescent="0.2">
      <c r="A15" s="30" t="s">
        <v>76</v>
      </c>
      <c r="B15" s="439" t="s">
        <v>82</v>
      </c>
      <c r="C15" s="71"/>
      <c r="D15" s="71"/>
      <c r="E15" s="71"/>
      <c r="F15" s="71"/>
      <c r="G15" s="64"/>
      <c r="H15" s="64"/>
      <c r="I15" s="63"/>
      <c r="J15" s="63"/>
      <c r="K15" s="490">
        <v>1</v>
      </c>
      <c r="L15" s="491" t="s">
        <v>83</v>
      </c>
      <c r="M15" s="492" t="s">
        <v>177</v>
      </c>
      <c r="N15" s="492"/>
      <c r="O15" s="492"/>
      <c r="P15" s="492"/>
      <c r="Q15" s="492"/>
      <c r="R15" s="492"/>
      <c r="S15" s="493"/>
      <c r="T15" s="63"/>
    </row>
    <row r="16" spans="1:21" s="65" customFormat="1" ht="15" customHeight="1" x14ac:dyDescent="0.2">
      <c r="A16" s="25"/>
      <c r="B16" s="440" t="s">
        <v>393</v>
      </c>
      <c r="C16" s="64"/>
      <c r="D16" s="38"/>
      <c r="E16" s="64"/>
      <c r="F16" s="64"/>
      <c r="I16" s="94" t="s">
        <v>75</v>
      </c>
      <c r="J16" s="72"/>
      <c r="K16" s="480"/>
      <c r="L16" s="476"/>
      <c r="M16" s="472"/>
      <c r="N16" s="472"/>
      <c r="O16" s="472"/>
      <c r="P16" s="472"/>
      <c r="Q16" s="472"/>
      <c r="R16" s="472"/>
      <c r="S16" s="473"/>
      <c r="T16" s="63"/>
    </row>
    <row r="17" spans="1:28" s="65" customFormat="1" ht="15" customHeight="1" x14ac:dyDescent="0.2">
      <c r="A17" s="25"/>
      <c r="B17" s="441"/>
      <c r="C17" s="38"/>
      <c r="D17" s="38"/>
      <c r="E17" s="38"/>
      <c r="F17" s="38"/>
      <c r="G17" s="64"/>
      <c r="H17" s="64"/>
      <c r="I17" s="63"/>
      <c r="J17" s="63"/>
      <c r="K17" s="480">
        <v>2</v>
      </c>
      <c r="L17" s="476" t="s">
        <v>85</v>
      </c>
      <c r="M17" s="472" t="s">
        <v>169</v>
      </c>
      <c r="N17" s="472"/>
      <c r="O17" s="472"/>
      <c r="P17" s="472"/>
      <c r="Q17" s="472"/>
      <c r="R17" s="472"/>
      <c r="S17" s="473"/>
      <c r="T17" s="63"/>
    </row>
    <row r="18" spans="1:28" s="65" customFormat="1" ht="15" customHeight="1" x14ac:dyDescent="0.2">
      <c r="A18" s="30" t="s">
        <v>77</v>
      </c>
      <c r="B18" s="439" t="s">
        <v>87</v>
      </c>
      <c r="C18" s="38"/>
      <c r="D18" s="38"/>
      <c r="E18" s="38"/>
      <c r="F18" s="38"/>
      <c r="G18" s="64"/>
      <c r="H18" s="64"/>
      <c r="I18" s="63"/>
      <c r="J18" s="63"/>
      <c r="K18" s="480"/>
      <c r="L18" s="476"/>
      <c r="M18" s="472"/>
      <c r="N18" s="472"/>
      <c r="O18" s="472"/>
      <c r="P18" s="472"/>
      <c r="Q18" s="472"/>
      <c r="R18" s="472"/>
      <c r="S18" s="473"/>
      <c r="T18" s="63"/>
    </row>
    <row r="19" spans="1:28" s="65" customFormat="1" ht="15" customHeight="1" x14ac:dyDescent="0.2">
      <c r="A19" s="25"/>
      <c r="B19" s="442" t="s">
        <v>175</v>
      </c>
      <c r="C19" s="38"/>
      <c r="D19" s="38"/>
      <c r="E19" s="38"/>
      <c r="F19" s="38"/>
      <c r="G19" s="64"/>
      <c r="H19" s="64"/>
      <c r="I19" s="63"/>
      <c r="J19" s="63"/>
      <c r="K19" s="480"/>
      <c r="L19" s="476"/>
      <c r="M19" s="472"/>
      <c r="N19" s="472"/>
      <c r="O19" s="472"/>
      <c r="P19" s="472"/>
      <c r="Q19" s="472"/>
      <c r="R19" s="472"/>
      <c r="S19" s="473"/>
      <c r="T19" s="68"/>
    </row>
    <row r="20" spans="1:28" s="65" customFormat="1" ht="15" customHeight="1" x14ac:dyDescent="0.2">
      <c r="A20" s="63"/>
      <c r="B20" s="441"/>
      <c r="C20" s="38"/>
      <c r="D20" s="38"/>
      <c r="E20" s="38"/>
      <c r="F20" s="38"/>
      <c r="G20" s="64"/>
      <c r="H20" s="64"/>
      <c r="I20" s="63"/>
      <c r="J20" s="63"/>
      <c r="K20" s="480">
        <v>3</v>
      </c>
      <c r="L20" s="476" t="s">
        <v>185</v>
      </c>
      <c r="M20" s="472" t="s">
        <v>187</v>
      </c>
      <c r="N20" s="472"/>
      <c r="O20" s="472"/>
      <c r="P20" s="472"/>
      <c r="Q20" s="472"/>
      <c r="R20" s="472"/>
      <c r="S20" s="473"/>
      <c r="T20" s="68"/>
    </row>
    <row r="21" spans="1:28" s="65" customFormat="1" ht="15" customHeight="1" x14ac:dyDescent="0.2">
      <c r="A21" s="30" t="s">
        <v>78</v>
      </c>
      <c r="B21" s="439" t="s">
        <v>86</v>
      </c>
      <c r="C21" s="89"/>
      <c r="D21" s="89"/>
      <c r="E21" s="89"/>
      <c r="F21" s="89"/>
      <c r="G21" s="90"/>
      <c r="H21" s="90"/>
      <c r="I21" s="91"/>
      <c r="J21" s="63"/>
      <c r="K21" s="480"/>
      <c r="L21" s="476"/>
      <c r="M21" s="472"/>
      <c r="N21" s="472"/>
      <c r="O21" s="472"/>
      <c r="P21" s="472"/>
      <c r="Q21" s="472"/>
      <c r="R21" s="472"/>
      <c r="S21" s="473"/>
      <c r="T21" s="73"/>
    </row>
    <row r="22" spans="1:28" s="65" customFormat="1" ht="15" customHeight="1" x14ac:dyDescent="0.2">
      <c r="A22" s="25"/>
      <c r="B22" s="442" t="s">
        <v>186</v>
      </c>
      <c r="C22" s="89"/>
      <c r="D22" s="89"/>
      <c r="E22" s="89"/>
      <c r="F22" s="89"/>
      <c r="G22" s="90"/>
      <c r="H22" s="90"/>
      <c r="I22" s="91"/>
      <c r="J22" s="63"/>
      <c r="K22" s="480"/>
      <c r="L22" s="476"/>
      <c r="M22" s="472"/>
      <c r="N22" s="472"/>
      <c r="O22" s="472"/>
      <c r="P22" s="472"/>
      <c r="Q22" s="472"/>
      <c r="R22" s="472"/>
      <c r="S22" s="473"/>
      <c r="T22" s="68"/>
    </row>
    <row r="23" spans="1:28" s="65" customFormat="1" ht="15" customHeight="1" x14ac:dyDescent="0.2">
      <c r="A23" s="25"/>
      <c r="B23" s="441"/>
      <c r="C23" s="38"/>
      <c r="D23" s="38"/>
      <c r="E23" s="38"/>
      <c r="F23" s="38"/>
      <c r="G23" s="64"/>
      <c r="H23" s="64"/>
      <c r="I23" s="63"/>
      <c r="J23" s="63"/>
      <c r="K23" s="480">
        <v>4</v>
      </c>
      <c r="L23" s="476" t="s">
        <v>109</v>
      </c>
      <c r="M23" s="472" t="s">
        <v>170</v>
      </c>
      <c r="N23" s="472"/>
      <c r="O23" s="472"/>
      <c r="P23" s="472"/>
      <c r="Q23" s="472"/>
      <c r="R23" s="472"/>
      <c r="S23" s="473"/>
      <c r="T23" s="68"/>
    </row>
    <row r="24" spans="1:28" s="65" customFormat="1" ht="15" customHeight="1" x14ac:dyDescent="0.2">
      <c r="A24" s="31" t="s">
        <v>79</v>
      </c>
      <c r="B24" s="439" t="s">
        <v>394</v>
      </c>
      <c r="C24" s="38"/>
      <c r="D24" s="38"/>
      <c r="E24" s="38"/>
      <c r="F24" s="38"/>
      <c r="G24" s="64"/>
      <c r="H24" s="64"/>
      <c r="I24" s="63"/>
      <c r="J24" s="63"/>
      <c r="K24" s="480"/>
      <c r="L24" s="476"/>
      <c r="M24" s="472"/>
      <c r="N24" s="472"/>
      <c r="O24" s="472"/>
      <c r="P24" s="472"/>
      <c r="Q24" s="472"/>
      <c r="R24" s="472"/>
      <c r="S24" s="473"/>
      <c r="T24" s="74"/>
    </row>
    <row r="25" spans="1:28" s="65" customFormat="1" ht="15" customHeight="1" x14ac:dyDescent="0.2">
      <c r="A25" s="25"/>
      <c r="B25" s="83" t="s">
        <v>396</v>
      </c>
      <c r="C25" s="64"/>
      <c r="D25" s="38"/>
      <c r="E25" s="75"/>
      <c r="H25" s="477" t="s">
        <v>80</v>
      </c>
      <c r="I25" s="477"/>
      <c r="J25" s="63"/>
      <c r="K25" s="480"/>
      <c r="L25" s="476"/>
      <c r="M25" s="472"/>
      <c r="N25" s="472"/>
      <c r="O25" s="472"/>
      <c r="P25" s="472"/>
      <c r="Q25" s="472"/>
      <c r="R25" s="472"/>
      <c r="S25" s="473"/>
      <c r="T25" s="74"/>
    </row>
    <row r="26" spans="1:28" s="65" customFormat="1" ht="22" customHeight="1" x14ac:dyDescent="0.2">
      <c r="A26" s="25"/>
      <c r="B26" s="478" t="s">
        <v>184</v>
      </c>
      <c r="C26" s="478"/>
      <c r="D26" s="478"/>
      <c r="E26" s="478"/>
      <c r="F26" s="478"/>
      <c r="G26" s="478"/>
      <c r="H26" s="478"/>
      <c r="I26" s="81"/>
      <c r="J26" s="81"/>
      <c r="K26" s="480">
        <v>5</v>
      </c>
      <c r="L26" s="481" t="s">
        <v>113</v>
      </c>
      <c r="M26" s="472" t="s">
        <v>178</v>
      </c>
      <c r="N26" s="472"/>
      <c r="O26" s="472"/>
      <c r="P26" s="472"/>
      <c r="Q26" s="472"/>
      <c r="R26" s="472"/>
      <c r="S26" s="473"/>
      <c r="T26" s="73"/>
    </row>
    <row r="27" spans="1:28" s="65" customFormat="1" ht="34" customHeight="1" x14ac:dyDescent="0.2">
      <c r="A27" s="25"/>
      <c r="B27" s="478"/>
      <c r="C27" s="478"/>
      <c r="D27" s="478"/>
      <c r="E27" s="478"/>
      <c r="F27" s="478"/>
      <c r="G27" s="478"/>
      <c r="H27" s="478"/>
      <c r="I27" s="63"/>
      <c r="J27" s="63"/>
      <c r="K27" s="480"/>
      <c r="L27" s="481"/>
      <c r="M27" s="472"/>
      <c r="N27" s="472"/>
      <c r="O27" s="472"/>
      <c r="P27" s="472"/>
      <c r="Q27" s="472"/>
      <c r="R27" s="472"/>
      <c r="S27" s="473"/>
      <c r="T27" s="73"/>
    </row>
    <row r="28" spans="1:28" s="65" customFormat="1" ht="15" customHeight="1" x14ac:dyDescent="0.2">
      <c r="A28" s="25"/>
      <c r="B28" s="28"/>
      <c r="C28" s="479" t="s">
        <v>183</v>
      </c>
      <c r="D28" s="479"/>
      <c r="E28" s="479" t="s">
        <v>182</v>
      </c>
      <c r="F28" s="479"/>
      <c r="G28" s="479"/>
      <c r="I28" s="63"/>
      <c r="J28" s="63"/>
      <c r="K28" s="480"/>
      <c r="L28" s="481"/>
      <c r="M28" s="472"/>
      <c r="N28" s="472"/>
      <c r="O28" s="472"/>
      <c r="P28" s="472"/>
      <c r="Q28" s="472"/>
      <c r="R28" s="472"/>
      <c r="S28" s="473"/>
      <c r="T28" s="73"/>
      <c r="AB28" s="76"/>
    </row>
    <row r="29" spans="1:28" s="65" customFormat="1" ht="32" customHeight="1" x14ac:dyDescent="0.2">
      <c r="A29" s="25"/>
      <c r="B29" s="84"/>
      <c r="C29" s="479"/>
      <c r="D29" s="479"/>
      <c r="E29" s="479"/>
      <c r="F29" s="479"/>
      <c r="G29" s="479"/>
      <c r="H29" s="63"/>
      <c r="I29" s="63"/>
      <c r="J29" s="63"/>
      <c r="K29" s="450">
        <v>6</v>
      </c>
      <c r="L29" s="92" t="s">
        <v>1</v>
      </c>
      <c r="M29" s="472" t="s">
        <v>380</v>
      </c>
      <c r="N29" s="472"/>
      <c r="O29" s="472"/>
      <c r="P29" s="472"/>
      <c r="Q29" s="472"/>
      <c r="R29" s="472"/>
      <c r="S29" s="473"/>
      <c r="T29" s="73"/>
    </row>
    <row r="30" spans="1:28" s="65" customFormat="1" ht="15" customHeight="1" x14ac:dyDescent="0.2">
      <c r="A30" s="25"/>
      <c r="B30" s="85"/>
      <c r="C30" s="28"/>
      <c r="D30" s="28"/>
      <c r="E30" s="28"/>
      <c r="H30" s="63"/>
      <c r="I30" s="63"/>
      <c r="J30" s="63"/>
      <c r="K30" s="450">
        <v>7</v>
      </c>
      <c r="L30" s="92" t="s">
        <v>2</v>
      </c>
      <c r="M30" s="472"/>
      <c r="N30" s="472"/>
      <c r="O30" s="472"/>
      <c r="P30" s="472"/>
      <c r="Q30" s="472"/>
      <c r="R30" s="472"/>
      <c r="S30" s="473"/>
      <c r="T30" s="73"/>
    </row>
    <row r="31" spans="1:28" s="65" customFormat="1" ht="15" customHeight="1" x14ac:dyDescent="0.2">
      <c r="A31" s="25"/>
      <c r="B31" s="443" t="s">
        <v>172</v>
      </c>
      <c r="C31" s="28"/>
      <c r="D31" s="28"/>
      <c r="E31" s="28"/>
      <c r="F31" s="28"/>
      <c r="G31" s="63"/>
      <c r="H31" s="63"/>
      <c r="I31" s="63"/>
      <c r="J31" s="63"/>
      <c r="K31" s="450">
        <v>8</v>
      </c>
      <c r="L31" s="92" t="s">
        <v>3</v>
      </c>
      <c r="M31" s="472"/>
      <c r="N31" s="472"/>
      <c r="O31" s="472"/>
      <c r="P31" s="472"/>
      <c r="Q31" s="472"/>
      <c r="R31" s="472"/>
      <c r="S31" s="473"/>
      <c r="T31" s="29"/>
    </row>
    <row r="32" spans="1:28" s="65" customFormat="1" ht="15" customHeight="1" x14ac:dyDescent="0.2">
      <c r="A32" s="25"/>
      <c r="B32" s="28"/>
      <c r="C32" s="28"/>
      <c r="D32" s="28"/>
      <c r="E32" s="28"/>
      <c r="F32" s="28"/>
      <c r="G32" s="63"/>
      <c r="H32" s="63"/>
      <c r="I32" s="63"/>
      <c r="J32" s="63"/>
      <c r="K32" s="450">
        <v>9</v>
      </c>
      <c r="L32" s="92" t="s">
        <v>4</v>
      </c>
      <c r="M32" s="472"/>
      <c r="N32" s="472"/>
      <c r="O32" s="472"/>
      <c r="P32" s="472"/>
      <c r="Q32" s="472"/>
      <c r="R32" s="472"/>
      <c r="S32" s="473"/>
    </row>
    <row r="33" spans="1:27" s="65" customFormat="1" ht="15" customHeight="1" x14ac:dyDescent="0.2">
      <c r="A33" s="27"/>
      <c r="B33" s="444" t="s">
        <v>81</v>
      </c>
      <c r="C33" s="28"/>
      <c r="D33" s="28"/>
      <c r="E33" s="28"/>
      <c r="F33" s="28"/>
      <c r="G33" s="63"/>
      <c r="H33" s="63"/>
      <c r="I33" s="63"/>
      <c r="J33" s="63"/>
      <c r="K33" s="451">
        <v>10</v>
      </c>
      <c r="L33" s="93" t="s">
        <v>5</v>
      </c>
      <c r="M33" s="474"/>
      <c r="N33" s="474"/>
      <c r="O33" s="474"/>
      <c r="P33" s="474"/>
      <c r="Q33" s="474"/>
      <c r="R33" s="474"/>
      <c r="S33" s="475"/>
      <c r="T33" s="29"/>
    </row>
    <row r="34" spans="1:27" s="65" customFormat="1" ht="15" customHeight="1" x14ac:dyDescent="0.2">
      <c r="G34" s="76"/>
      <c r="K34" s="63"/>
      <c r="T34" s="63"/>
      <c r="V34" s="63"/>
      <c r="W34" s="63"/>
      <c r="X34" s="63"/>
      <c r="Y34" s="63"/>
      <c r="Z34" s="63"/>
    </row>
    <row r="35" spans="1:27" s="65" customFormat="1" ht="15" customHeight="1" x14ac:dyDescent="0.2">
      <c r="B35" s="63"/>
      <c r="C35" s="63"/>
      <c r="D35" s="63"/>
      <c r="E35" s="63"/>
      <c r="F35" s="63"/>
      <c r="G35" s="63"/>
      <c r="H35" s="63"/>
      <c r="I35" s="63"/>
      <c r="J35" s="63"/>
      <c r="W35" s="63"/>
      <c r="X35" s="63"/>
      <c r="Y35" s="63"/>
      <c r="Z35" s="63"/>
      <c r="AA35" s="63"/>
    </row>
    <row r="36" spans="1:27" ht="15" customHeight="1" x14ac:dyDescent="0.2">
      <c r="L36" s="65"/>
      <c r="M36" s="65"/>
      <c r="N36" s="65"/>
      <c r="O36" s="65"/>
      <c r="P36" s="65"/>
      <c r="Q36" s="65"/>
      <c r="R36" s="65"/>
      <c r="S36" s="65"/>
    </row>
    <row r="37" spans="1:27" ht="15" customHeight="1" x14ac:dyDescent="0.2">
      <c r="L37" s="65"/>
      <c r="M37" s="65"/>
      <c r="N37" s="65"/>
      <c r="O37" s="65"/>
      <c r="P37" s="65"/>
      <c r="Q37" s="65"/>
    </row>
    <row r="38" spans="1:27" ht="15" customHeight="1" x14ac:dyDescent="0.2">
      <c r="L38" s="65"/>
      <c r="M38" s="65"/>
      <c r="N38" s="65"/>
      <c r="O38" s="65"/>
      <c r="P38" s="65"/>
      <c r="Q38" s="65"/>
      <c r="R38" s="65"/>
      <c r="S38" s="65"/>
    </row>
    <row r="40" spans="1:27" ht="15" customHeight="1" x14ac:dyDescent="0.2">
      <c r="K40" s="65"/>
      <c r="L40" s="65"/>
      <c r="M40" s="65"/>
      <c r="N40" s="65"/>
      <c r="O40" s="65"/>
      <c r="P40" s="65"/>
      <c r="Q40" s="65"/>
      <c r="R40" s="65"/>
    </row>
    <row r="41" spans="1:27" ht="16" x14ac:dyDescent="0.2"/>
    <row r="42" spans="1:27" ht="16" customHeight="1" x14ac:dyDescent="0.2"/>
    <row r="44" spans="1:27" ht="16" x14ac:dyDescent="0.2"/>
    <row r="45" spans="1:27" ht="16" x14ac:dyDescent="0.2"/>
    <row r="56" spans="1:13" ht="16" x14ac:dyDescent="0.2"/>
    <row r="57" spans="1:13" ht="37" customHeight="1" x14ac:dyDescent="0.2"/>
    <row r="58" spans="1:13" ht="16" x14ac:dyDescent="0.2"/>
    <row r="59" spans="1:13" ht="16" x14ac:dyDescent="0.2"/>
    <row r="60" spans="1:13" ht="16" x14ac:dyDescent="0.2"/>
    <row r="61" spans="1:13" ht="16" x14ac:dyDescent="0.2">
      <c r="M61" s="67"/>
    </row>
    <row r="62" spans="1:13" ht="16" x14ac:dyDescent="0.2">
      <c r="C62" s="27"/>
      <c r="D62" s="27"/>
      <c r="E62" s="27"/>
      <c r="F62" s="27"/>
      <c r="M62" s="67"/>
    </row>
    <row r="63" spans="1:13" ht="16" x14ac:dyDescent="0.2">
      <c r="A63" s="27"/>
      <c r="B63" s="27"/>
      <c r="C63" s="27"/>
      <c r="D63" s="27"/>
      <c r="E63" s="27"/>
      <c r="F63" s="27"/>
      <c r="M63" s="67"/>
    </row>
    <row r="64" spans="1:13" ht="16" x14ac:dyDescent="0.2">
      <c r="A64" s="27"/>
      <c r="B64" s="27"/>
      <c r="C64" s="27"/>
      <c r="D64" s="27"/>
      <c r="E64" s="27"/>
      <c r="F64" s="27"/>
      <c r="M64" s="67"/>
    </row>
    <row r="65" spans="1:13" ht="16" x14ac:dyDescent="0.2">
      <c r="A65" s="25"/>
      <c r="B65" s="27"/>
      <c r="C65" s="28"/>
      <c r="D65" s="28"/>
      <c r="E65" s="28"/>
      <c r="F65" s="28"/>
      <c r="M65" s="67"/>
    </row>
    <row r="66" spans="1:13" ht="16" x14ac:dyDescent="0.2">
      <c r="M66" s="67"/>
    </row>
    <row r="67" spans="1:13" ht="16" x14ac:dyDescent="0.2">
      <c r="M67" s="67"/>
    </row>
    <row r="68" spans="1:13" ht="16" x14ac:dyDescent="0.2">
      <c r="M68" s="67"/>
    </row>
    <row r="69" spans="1:13" ht="16" x14ac:dyDescent="0.2">
      <c r="G69" s="25"/>
      <c r="M69" s="67"/>
    </row>
    <row r="70" spans="1:13" ht="16" x14ac:dyDescent="0.2">
      <c r="G70" s="28"/>
      <c r="L70" s="29"/>
      <c r="M70" s="67"/>
    </row>
    <row r="71" spans="1:13" ht="16" x14ac:dyDescent="0.2">
      <c r="G71" s="28"/>
      <c r="L71" s="29"/>
      <c r="M71" s="67"/>
    </row>
    <row r="72" spans="1:13" ht="16" x14ac:dyDescent="0.2">
      <c r="G72" s="28"/>
      <c r="L72" s="29"/>
    </row>
    <row r="73" spans="1:13" ht="16" x14ac:dyDescent="0.2">
      <c r="G73" s="28"/>
      <c r="L73" s="29"/>
    </row>
    <row r="74" spans="1:13" ht="16" x14ac:dyDescent="0.2">
      <c r="G74" s="28"/>
      <c r="L74" s="29"/>
    </row>
    <row r="75" spans="1:13" ht="16" x14ac:dyDescent="0.2">
      <c r="G75" s="28"/>
    </row>
    <row r="76" spans="1:13" ht="16" x14ac:dyDescent="0.2">
      <c r="G76" s="77"/>
    </row>
    <row r="77" spans="1:13" ht="16" x14ac:dyDescent="0.2">
      <c r="G77" s="78"/>
    </row>
    <row r="78" spans="1:13" ht="16" x14ac:dyDescent="0.2">
      <c r="G78" s="28"/>
    </row>
    <row r="79" spans="1:13" ht="16" x14ac:dyDescent="0.2">
      <c r="G79" s="28"/>
    </row>
    <row r="80" spans="1:13" ht="16" x14ac:dyDescent="0.2">
      <c r="G80" s="28"/>
    </row>
    <row r="81" spans="7:7" ht="16" x14ac:dyDescent="0.2">
      <c r="G81" s="28"/>
    </row>
    <row r="82" spans="7:7" ht="16" x14ac:dyDescent="0.2">
      <c r="G82" s="28"/>
    </row>
    <row r="83" spans="7:7" ht="16" x14ac:dyDescent="0.2">
      <c r="G83" s="28"/>
    </row>
    <row r="84" spans="7:7" ht="16" x14ac:dyDescent="0.2">
      <c r="G84" s="28"/>
    </row>
    <row r="85" spans="7:7" ht="16" x14ac:dyDescent="0.2">
      <c r="G85" s="28"/>
    </row>
    <row r="86" spans="7:7" ht="16" x14ac:dyDescent="0.2">
      <c r="G86" s="28"/>
    </row>
    <row r="87" spans="7:7" ht="16" x14ac:dyDescent="0.2">
      <c r="G87" s="28"/>
    </row>
    <row r="88" spans="7:7" ht="16" x14ac:dyDescent="0.2">
      <c r="G88" s="28"/>
    </row>
    <row r="89" spans="7:7" ht="16" x14ac:dyDescent="0.2">
      <c r="G89" s="28"/>
    </row>
    <row r="90" spans="7:7" ht="16" x14ac:dyDescent="0.2">
      <c r="G90" s="28"/>
    </row>
    <row r="91" spans="7:7" ht="16" x14ac:dyDescent="0.2">
      <c r="G91" s="28"/>
    </row>
    <row r="92" spans="7:7" ht="16" x14ac:dyDescent="0.2">
      <c r="G92" s="28"/>
    </row>
    <row r="93" spans="7:7" ht="16" x14ac:dyDescent="0.2">
      <c r="G93" s="28"/>
    </row>
    <row r="94" spans="7:7" ht="16" x14ac:dyDescent="0.2">
      <c r="G94" s="27"/>
    </row>
    <row r="95" spans="7:7" ht="16" x14ac:dyDescent="0.2">
      <c r="G95" s="27"/>
    </row>
    <row r="96" spans="7:7" ht="16" x14ac:dyDescent="0.2">
      <c r="G96" s="27"/>
    </row>
    <row r="97" spans="7:7" ht="16" x14ac:dyDescent="0.2">
      <c r="G97" s="28"/>
    </row>
    <row r="98" spans="7:7" ht="16" x14ac:dyDescent="0.2"/>
    <row r="99" spans="7:7" ht="16" x14ac:dyDescent="0.2"/>
    <row r="100" spans="7:7" ht="16" x14ac:dyDescent="0.2"/>
    <row r="101" spans="7:7" ht="16" x14ac:dyDescent="0.2"/>
    <row r="102" spans="7:7" ht="16" x14ac:dyDescent="0.2"/>
    <row r="103" spans="7:7" ht="16" x14ac:dyDescent="0.2"/>
    <row r="104" spans="7:7" ht="16" x14ac:dyDescent="0.2"/>
    <row r="105" spans="7:7" ht="16" x14ac:dyDescent="0.2"/>
    <row r="106" spans="7:7" ht="16" x14ac:dyDescent="0.2"/>
    <row r="107" spans="7:7" ht="16" x14ac:dyDescent="0.2"/>
    <row r="108" spans="7:7" ht="16" x14ac:dyDescent="0.2"/>
    <row r="109" spans="7:7" ht="16" x14ac:dyDescent="0.2"/>
    <row r="110" spans="7:7" ht="16" x14ac:dyDescent="0.2"/>
    <row r="111" spans="7:7" ht="16" x14ac:dyDescent="0.2"/>
    <row r="112" spans="7:7" ht="16" x14ac:dyDescent="0.2"/>
    <row r="113" ht="16" x14ac:dyDescent="0.2"/>
    <row r="114" ht="16" x14ac:dyDescent="0.2"/>
    <row r="115" ht="16" x14ac:dyDescent="0.2"/>
    <row r="116" ht="16" x14ac:dyDescent="0.2"/>
    <row r="117" ht="16" x14ac:dyDescent="0.2"/>
    <row r="118" ht="16" x14ac:dyDescent="0.2"/>
    <row r="119" ht="16" x14ac:dyDescent="0.2"/>
    <row r="120" ht="16" x14ac:dyDescent="0.2"/>
    <row r="121" ht="16" x14ac:dyDescent="0.2"/>
    <row r="122" ht="16" x14ac:dyDescent="0.2"/>
    <row r="123" ht="16" x14ac:dyDescent="0.2"/>
    <row r="124" ht="16" x14ac:dyDescent="0.2"/>
    <row r="125" ht="16" x14ac:dyDescent="0.2"/>
    <row r="126" ht="16" x14ac:dyDescent="0.2"/>
    <row r="127" ht="16" x14ac:dyDescent="0.2"/>
    <row r="128" ht="16" x14ac:dyDescent="0.2"/>
    <row r="129" ht="16" x14ac:dyDescent="0.2"/>
    <row r="130" ht="16" x14ac:dyDescent="0.2"/>
    <row r="131" ht="16" x14ac:dyDescent="0.2"/>
    <row r="132" ht="16" x14ac:dyDescent="0.2"/>
    <row r="133" ht="16" x14ac:dyDescent="0.2"/>
    <row r="134" ht="16" x14ac:dyDescent="0.2"/>
    <row r="135" ht="16" x14ac:dyDescent="0.2"/>
    <row r="136" ht="16" x14ac:dyDescent="0.2"/>
    <row r="137" ht="16" x14ac:dyDescent="0.2"/>
    <row r="138" ht="16" x14ac:dyDescent="0.2"/>
    <row r="139" ht="16" x14ac:dyDescent="0.2"/>
    <row r="140" ht="16" x14ac:dyDescent="0.2"/>
    <row r="141" ht="16" x14ac:dyDescent="0.2"/>
    <row r="142" ht="16" x14ac:dyDescent="0.2"/>
    <row r="143" ht="16" x14ac:dyDescent="0.2"/>
    <row r="144" ht="16" x14ac:dyDescent="0.2"/>
    <row r="145" ht="16" x14ac:dyDescent="0.2"/>
    <row r="146" ht="16" x14ac:dyDescent="0.2"/>
    <row r="147" ht="16" x14ac:dyDescent="0.2"/>
    <row r="148" ht="16" x14ac:dyDescent="0.2"/>
    <row r="149" ht="16" x14ac:dyDescent="0.2"/>
    <row r="150" ht="16" x14ac:dyDescent="0.2"/>
    <row r="151" ht="16" x14ac:dyDescent="0.2"/>
    <row r="152" ht="16" x14ac:dyDescent="0.2"/>
    <row r="153" ht="16" x14ac:dyDescent="0.2"/>
    <row r="154" ht="16" x14ac:dyDescent="0.2"/>
    <row r="155" ht="16" x14ac:dyDescent="0.2"/>
    <row r="156" ht="16" x14ac:dyDescent="0.2"/>
    <row r="157" ht="16" x14ac:dyDescent="0.2"/>
    <row r="158" ht="16" x14ac:dyDescent="0.2"/>
    <row r="159" ht="16" x14ac:dyDescent="0.2"/>
    <row r="160" ht="16" x14ac:dyDescent="0.2"/>
    <row r="161" ht="16" x14ac:dyDescent="0.2"/>
    <row r="162" ht="16" x14ac:dyDescent="0.2"/>
    <row r="163" ht="16" x14ac:dyDescent="0.2"/>
    <row r="164" ht="16" x14ac:dyDescent="0.2"/>
    <row r="165" ht="16" x14ac:dyDescent="0.2"/>
    <row r="166" ht="16" x14ac:dyDescent="0.2"/>
    <row r="167" ht="16" x14ac:dyDescent="0.2"/>
    <row r="168" ht="16" x14ac:dyDescent="0.2"/>
    <row r="169" ht="16" x14ac:dyDescent="0.2"/>
    <row r="170" ht="16" x14ac:dyDescent="0.2"/>
    <row r="171" ht="16" x14ac:dyDescent="0.2"/>
    <row r="172" ht="16" x14ac:dyDescent="0.2"/>
    <row r="173" ht="16" x14ac:dyDescent="0.2"/>
    <row r="174" ht="16" x14ac:dyDescent="0.2"/>
    <row r="175" ht="16" x14ac:dyDescent="0.2"/>
    <row r="176" ht="16" x14ac:dyDescent="0.2"/>
    <row r="177" ht="16" x14ac:dyDescent="0.2"/>
    <row r="178" ht="16" x14ac:dyDescent="0.2"/>
    <row r="179" ht="16" x14ac:dyDescent="0.2"/>
    <row r="180" ht="16" x14ac:dyDescent="0.2"/>
    <row r="181" ht="16" x14ac:dyDescent="0.2"/>
    <row r="182" ht="16" x14ac:dyDescent="0.2"/>
    <row r="183" ht="16" x14ac:dyDescent="0.2"/>
    <row r="184" ht="16" x14ac:dyDescent="0.2"/>
    <row r="185" ht="16" x14ac:dyDescent="0.2"/>
    <row r="186" ht="16" x14ac:dyDescent="0.2"/>
    <row r="187" ht="16" x14ac:dyDescent="0.2"/>
    <row r="188" ht="16" x14ac:dyDescent="0.2"/>
    <row r="189" ht="16" x14ac:dyDescent="0.2"/>
    <row r="190" ht="16" x14ac:dyDescent="0.2"/>
    <row r="191" ht="16" x14ac:dyDescent="0.2"/>
    <row r="192" ht="16" x14ac:dyDescent="0.2"/>
    <row r="193" ht="16" x14ac:dyDescent="0.2"/>
    <row r="194" ht="16" x14ac:dyDescent="0.2"/>
    <row r="195" ht="16" x14ac:dyDescent="0.2"/>
    <row r="196" ht="16" x14ac:dyDescent="0.2"/>
    <row r="197" ht="16" x14ac:dyDescent="0.2"/>
    <row r="198" ht="16" x14ac:dyDescent="0.2"/>
    <row r="199" ht="16" x14ac:dyDescent="0.2"/>
    <row r="200" ht="16" x14ac:dyDescent="0.2"/>
    <row r="201" ht="16" x14ac:dyDescent="0.2"/>
    <row r="202" ht="16" x14ac:dyDescent="0.2"/>
    <row r="203" ht="16" x14ac:dyDescent="0.2"/>
    <row r="204" ht="16" x14ac:dyDescent="0.2"/>
    <row r="205" ht="16" x14ac:dyDescent="0.2"/>
    <row r="206" ht="16" x14ac:dyDescent="0.2"/>
    <row r="207" ht="16" x14ac:dyDescent="0.2"/>
    <row r="208" ht="16" x14ac:dyDescent="0.2"/>
    <row r="209" ht="16" x14ac:dyDescent="0.2"/>
    <row r="210" ht="16" x14ac:dyDescent="0.2"/>
    <row r="211" ht="16" x14ac:dyDescent="0.2"/>
    <row r="212" ht="16" x14ac:dyDescent="0.2"/>
    <row r="213" ht="16" x14ac:dyDescent="0.2"/>
    <row r="214" ht="16" x14ac:dyDescent="0.2"/>
    <row r="215" ht="16" x14ac:dyDescent="0.2"/>
    <row r="216" ht="16" x14ac:dyDescent="0.2"/>
    <row r="217" ht="16" x14ac:dyDescent="0.2"/>
    <row r="218" ht="16" x14ac:dyDescent="0.2"/>
    <row r="219" ht="16" x14ac:dyDescent="0.2"/>
    <row r="220" ht="16" x14ac:dyDescent="0.2"/>
    <row r="221" ht="16" x14ac:dyDescent="0.2"/>
    <row r="222" ht="16" x14ac:dyDescent="0.2"/>
    <row r="223" ht="16" x14ac:dyDescent="0.2"/>
    <row r="224" ht="16" x14ac:dyDescent="0.2"/>
    <row r="225" ht="16" x14ac:dyDescent="0.2"/>
    <row r="226" ht="16" x14ac:dyDescent="0.2"/>
    <row r="227" ht="16" x14ac:dyDescent="0.2"/>
    <row r="228" ht="16" x14ac:dyDescent="0.2"/>
    <row r="229" ht="16" x14ac:dyDescent="0.2"/>
    <row r="230" ht="16" x14ac:dyDescent="0.2"/>
    <row r="231" ht="16" x14ac:dyDescent="0.2"/>
    <row r="232" ht="16" x14ac:dyDescent="0.2"/>
    <row r="233" ht="16" x14ac:dyDescent="0.2"/>
    <row r="234" ht="16" x14ac:dyDescent="0.2"/>
    <row r="235" ht="16" x14ac:dyDescent="0.2"/>
    <row r="236" ht="16" x14ac:dyDescent="0.2"/>
    <row r="237" ht="16" x14ac:dyDescent="0.2"/>
    <row r="238" ht="16" x14ac:dyDescent="0.2"/>
    <row r="239" ht="16" x14ac:dyDescent="0.2"/>
    <row r="240" ht="16" x14ac:dyDescent="0.2"/>
    <row r="241" ht="16" x14ac:dyDescent="0.2"/>
    <row r="242" ht="16" x14ac:dyDescent="0.2"/>
    <row r="243" ht="16" x14ac:dyDescent="0.2"/>
    <row r="244" ht="16" x14ac:dyDescent="0.2"/>
    <row r="245" ht="16" x14ac:dyDescent="0.2"/>
    <row r="246" ht="16" x14ac:dyDescent="0.2"/>
    <row r="247" ht="16" x14ac:dyDescent="0.2"/>
    <row r="248" ht="16" x14ac:dyDescent="0.2"/>
    <row r="249" ht="16" x14ac:dyDescent="0.2"/>
    <row r="250" ht="16" x14ac:dyDescent="0.2"/>
    <row r="251" ht="16" x14ac:dyDescent="0.2"/>
    <row r="252" ht="16" x14ac:dyDescent="0.2"/>
    <row r="253" ht="16" x14ac:dyDescent="0.2"/>
    <row r="254" ht="16" x14ac:dyDescent="0.2"/>
    <row r="255" ht="16" x14ac:dyDescent="0.2"/>
    <row r="256" ht="16" x14ac:dyDescent="0.2"/>
    <row r="257" ht="16" x14ac:dyDescent="0.2"/>
    <row r="258" ht="16" x14ac:dyDescent="0.2"/>
    <row r="259" ht="16" x14ac:dyDescent="0.2"/>
    <row r="260" ht="16" x14ac:dyDescent="0.2"/>
    <row r="261" ht="16" x14ac:dyDescent="0.2"/>
    <row r="262" ht="16" x14ac:dyDescent="0.2"/>
    <row r="263" ht="16" x14ac:dyDescent="0.2"/>
    <row r="264" ht="16" x14ac:dyDescent="0.2"/>
    <row r="265" ht="16" x14ac:dyDescent="0.2"/>
    <row r="266" ht="16" x14ac:dyDescent="0.2"/>
    <row r="267" ht="16" x14ac:dyDescent="0.2"/>
    <row r="268" ht="16" x14ac:dyDescent="0.2"/>
    <row r="269" ht="16" x14ac:dyDescent="0.2"/>
    <row r="270" ht="16" x14ac:dyDescent="0.2"/>
    <row r="271" ht="16" x14ac:dyDescent="0.2"/>
    <row r="272" ht="16" x14ac:dyDescent="0.2"/>
    <row r="273" ht="16" x14ac:dyDescent="0.2"/>
    <row r="274" ht="16" x14ac:dyDescent="0.2"/>
    <row r="275" ht="16" x14ac:dyDescent="0.2"/>
    <row r="276" ht="16" x14ac:dyDescent="0.2"/>
    <row r="277" ht="16" x14ac:dyDescent="0.2"/>
    <row r="278" ht="16" x14ac:dyDescent="0.2"/>
    <row r="279" ht="16" x14ac:dyDescent="0.2"/>
    <row r="280" ht="16" x14ac:dyDescent="0.2"/>
    <row r="281" ht="16" x14ac:dyDescent="0.2"/>
    <row r="282" ht="16" x14ac:dyDescent="0.2"/>
    <row r="283" ht="16" x14ac:dyDescent="0.2"/>
    <row r="284" ht="16" x14ac:dyDescent="0.2"/>
    <row r="285" ht="16" x14ac:dyDescent="0.2"/>
    <row r="286" ht="16" x14ac:dyDescent="0.2"/>
    <row r="287" ht="16" x14ac:dyDescent="0.2"/>
    <row r="288" ht="16" x14ac:dyDescent="0.2"/>
    <row r="289" spans="1:1" ht="16" x14ac:dyDescent="0.2"/>
    <row r="290" spans="1:1" ht="16" x14ac:dyDescent="0.2"/>
    <row r="291" spans="1:1" ht="16" x14ac:dyDescent="0.2"/>
    <row r="292" spans="1:1" ht="16" x14ac:dyDescent="0.2"/>
    <row r="293" spans="1:1" ht="16" x14ac:dyDescent="0.2"/>
    <row r="294" spans="1:1" ht="16" x14ac:dyDescent="0.2"/>
    <row r="295" spans="1:1" ht="16" x14ac:dyDescent="0.2"/>
    <row r="296" spans="1:1" ht="16" x14ac:dyDescent="0.2"/>
    <row r="297" spans="1:1" ht="16" x14ac:dyDescent="0.2"/>
    <row r="298" spans="1:1" ht="16" x14ac:dyDescent="0.2"/>
    <row r="299" spans="1:1" ht="16" x14ac:dyDescent="0.2"/>
    <row r="300" spans="1:1" ht="16" x14ac:dyDescent="0.2"/>
    <row r="301" spans="1:1" ht="16" x14ac:dyDescent="0.2">
      <c r="A301" s="79" t="s">
        <v>299</v>
      </c>
    </row>
    <row r="302" spans="1:1" ht="16" x14ac:dyDescent="0.2">
      <c r="A302" s="79" t="s">
        <v>300</v>
      </c>
    </row>
    <row r="303" spans="1:1" ht="16" x14ac:dyDescent="0.2">
      <c r="A303" s="79" t="s">
        <v>301</v>
      </c>
    </row>
    <row r="304" spans="1:1" ht="16" x14ac:dyDescent="0.2">
      <c r="A304" s="79" t="s">
        <v>302</v>
      </c>
    </row>
    <row r="305" ht="16" x14ac:dyDescent="0.2"/>
    <row r="306" ht="16" x14ac:dyDescent="0.2"/>
    <row r="307" ht="16" x14ac:dyDescent="0.2"/>
    <row r="308" ht="16" x14ac:dyDescent="0.2"/>
    <row r="309" ht="16" x14ac:dyDescent="0.2"/>
    <row r="310" ht="16" x14ac:dyDescent="0.2"/>
    <row r="311" ht="16" x14ac:dyDescent="0.2"/>
    <row r="312" ht="16" x14ac:dyDescent="0.2"/>
    <row r="313" ht="16" x14ac:dyDescent="0.2"/>
    <row r="314" ht="16" x14ac:dyDescent="0.2"/>
    <row r="315" ht="16" x14ac:dyDescent="0.2"/>
    <row r="316" ht="16" x14ac:dyDescent="0.2"/>
    <row r="317" ht="16" x14ac:dyDescent="0.2"/>
    <row r="318" ht="16" x14ac:dyDescent="0.2"/>
    <row r="319" ht="16" x14ac:dyDescent="0.2"/>
    <row r="320" ht="16" x14ac:dyDescent="0.2"/>
    <row r="321" ht="16" x14ac:dyDescent="0.2"/>
    <row r="322" ht="16" x14ac:dyDescent="0.2"/>
    <row r="323" ht="16" x14ac:dyDescent="0.2"/>
    <row r="324" ht="16" x14ac:dyDescent="0.2"/>
    <row r="325" ht="16" x14ac:dyDescent="0.2"/>
    <row r="326" ht="16" x14ac:dyDescent="0.2"/>
    <row r="327" ht="16" x14ac:dyDescent="0.2"/>
    <row r="328" ht="16" x14ac:dyDescent="0.2"/>
    <row r="329" ht="16" x14ac:dyDescent="0.2"/>
    <row r="330" ht="16" x14ac:dyDescent="0.2"/>
    <row r="331" ht="16" x14ac:dyDescent="0.2"/>
    <row r="332" ht="16" x14ac:dyDescent="0.2"/>
    <row r="333" ht="16" x14ac:dyDescent="0.2"/>
    <row r="334" ht="16" x14ac:dyDescent="0.2"/>
    <row r="335" ht="16" x14ac:dyDescent="0.2"/>
    <row r="336" ht="16" x14ac:dyDescent="0.2"/>
    <row r="337" ht="16" x14ac:dyDescent="0.2"/>
    <row r="338" ht="16" x14ac:dyDescent="0.2"/>
    <row r="339" ht="16" x14ac:dyDescent="0.2"/>
    <row r="340" ht="16" x14ac:dyDescent="0.2"/>
    <row r="341" ht="16" x14ac:dyDescent="0.2"/>
    <row r="342" ht="16" x14ac:dyDescent="0.2"/>
    <row r="343" ht="16" x14ac:dyDescent="0.2"/>
    <row r="344" ht="16" x14ac:dyDescent="0.2"/>
    <row r="345" ht="16" x14ac:dyDescent="0.2"/>
    <row r="346" ht="16" x14ac:dyDescent="0.2"/>
    <row r="347" ht="16" x14ac:dyDescent="0.2"/>
    <row r="348" ht="16" x14ac:dyDescent="0.2"/>
    <row r="349" ht="16" x14ac:dyDescent="0.2"/>
    <row r="350" ht="16" x14ac:dyDescent="0.2"/>
    <row r="351" ht="16" x14ac:dyDescent="0.2"/>
    <row r="352" ht="16" x14ac:dyDescent="0.2"/>
    <row r="353" ht="16" x14ac:dyDescent="0.2"/>
    <row r="354" ht="16" x14ac:dyDescent="0.2"/>
    <row r="355" ht="16" x14ac:dyDescent="0.2"/>
    <row r="356" ht="16" x14ac:dyDescent="0.2"/>
    <row r="357" ht="16" x14ac:dyDescent="0.2"/>
    <row r="358" ht="16" x14ac:dyDescent="0.2"/>
    <row r="359" ht="16" x14ac:dyDescent="0.2"/>
    <row r="360" ht="16" x14ac:dyDescent="0.2"/>
    <row r="361" ht="16" x14ac:dyDescent="0.2"/>
    <row r="362" ht="16" x14ac:dyDescent="0.2"/>
    <row r="363" ht="16" x14ac:dyDescent="0.2"/>
    <row r="364" ht="16" x14ac:dyDescent="0.2"/>
    <row r="365" ht="16" x14ac:dyDescent="0.2"/>
    <row r="366" ht="16" x14ac:dyDescent="0.2"/>
    <row r="367" ht="16" x14ac:dyDescent="0.2"/>
    <row r="368" ht="16" x14ac:dyDescent="0.2"/>
    <row r="369" ht="16" x14ac:dyDescent="0.2"/>
    <row r="370" ht="16" x14ac:dyDescent="0.2"/>
    <row r="371" ht="16" x14ac:dyDescent="0.2"/>
    <row r="372" ht="16" x14ac:dyDescent="0.2"/>
    <row r="373" ht="16" x14ac:dyDescent="0.2"/>
    <row r="374" ht="16" x14ac:dyDescent="0.2"/>
    <row r="375" ht="16" x14ac:dyDescent="0.2"/>
    <row r="376" ht="16" x14ac:dyDescent="0.2"/>
    <row r="377" ht="16" x14ac:dyDescent="0.2"/>
    <row r="378" ht="16" x14ac:dyDescent="0.2"/>
    <row r="379" ht="16" x14ac:dyDescent="0.2"/>
    <row r="380" ht="16" x14ac:dyDescent="0.2"/>
    <row r="381" ht="16" x14ac:dyDescent="0.2"/>
    <row r="382" ht="16" x14ac:dyDescent="0.2"/>
    <row r="383" ht="16" x14ac:dyDescent="0.2"/>
    <row r="384" ht="16" x14ac:dyDescent="0.2"/>
    <row r="385" ht="16" x14ac:dyDescent="0.2"/>
    <row r="386" ht="16" x14ac:dyDescent="0.2"/>
    <row r="387" ht="16" x14ac:dyDescent="0.2"/>
    <row r="388" ht="16" x14ac:dyDescent="0.2"/>
    <row r="389" ht="16" x14ac:dyDescent="0.2"/>
    <row r="390" ht="16" x14ac:dyDescent="0.2"/>
    <row r="391" ht="16" x14ac:dyDescent="0.2"/>
    <row r="392" ht="16" x14ac:dyDescent="0.2"/>
    <row r="393" ht="16" x14ac:dyDescent="0.2"/>
    <row r="394" ht="16" x14ac:dyDescent="0.2"/>
    <row r="395" ht="16" x14ac:dyDescent="0.2"/>
    <row r="396" ht="16" x14ac:dyDescent="0.2"/>
    <row r="397" ht="16" x14ac:dyDescent="0.2"/>
    <row r="398" ht="16" x14ac:dyDescent="0.2"/>
    <row r="399" ht="16" x14ac:dyDescent="0.2"/>
    <row r="400" ht="16" x14ac:dyDescent="0.2"/>
    <row r="401" ht="16" x14ac:dyDescent="0.2"/>
    <row r="402" ht="16" x14ac:dyDescent="0.2"/>
    <row r="403" ht="16" x14ac:dyDescent="0.2"/>
    <row r="404" ht="16" x14ac:dyDescent="0.2"/>
    <row r="405" ht="16" x14ac:dyDescent="0.2"/>
    <row r="406" ht="16" x14ac:dyDescent="0.2"/>
    <row r="407" ht="16" x14ac:dyDescent="0.2"/>
    <row r="408" ht="16" x14ac:dyDescent="0.2"/>
    <row r="409" ht="16" x14ac:dyDescent="0.2"/>
    <row r="410" ht="16" x14ac:dyDescent="0.2"/>
    <row r="411" ht="16" x14ac:dyDescent="0.2"/>
    <row r="412" ht="16" x14ac:dyDescent="0.2"/>
    <row r="413" ht="16" x14ac:dyDescent="0.2"/>
    <row r="414" ht="16" x14ac:dyDescent="0.2"/>
    <row r="415" ht="16" x14ac:dyDescent="0.2"/>
    <row r="416" ht="16" x14ac:dyDescent="0.2"/>
    <row r="417" ht="16" x14ac:dyDescent="0.2"/>
    <row r="418" ht="16" x14ac:dyDescent="0.2"/>
    <row r="419" ht="16" x14ac:dyDescent="0.2"/>
    <row r="420" ht="16" x14ac:dyDescent="0.2"/>
    <row r="421" ht="16" x14ac:dyDescent="0.2"/>
    <row r="422" ht="16" x14ac:dyDescent="0.2"/>
    <row r="423" ht="16" x14ac:dyDescent="0.2"/>
    <row r="424" ht="16" x14ac:dyDescent="0.2"/>
    <row r="425" ht="16" x14ac:dyDescent="0.2"/>
    <row r="426" ht="16" x14ac:dyDescent="0.2"/>
    <row r="427" ht="16" x14ac:dyDescent="0.2"/>
    <row r="428" ht="16" x14ac:dyDescent="0.2"/>
    <row r="429" ht="16" x14ac:dyDescent="0.2"/>
    <row r="430" ht="16" x14ac:dyDescent="0.2"/>
    <row r="431" ht="16" x14ac:dyDescent="0.2"/>
    <row r="432" ht="16" x14ac:dyDescent="0.2"/>
    <row r="433" ht="16" x14ac:dyDescent="0.2"/>
    <row r="434" ht="16" x14ac:dyDescent="0.2"/>
    <row r="435" ht="16" x14ac:dyDescent="0.2"/>
    <row r="436" ht="16" x14ac:dyDescent="0.2"/>
    <row r="437" ht="16" x14ac:dyDescent="0.2"/>
    <row r="438" ht="16" x14ac:dyDescent="0.2"/>
    <row r="439" ht="16" x14ac:dyDescent="0.2"/>
    <row r="440" ht="16" x14ac:dyDescent="0.2"/>
    <row r="441" ht="16" x14ac:dyDescent="0.2"/>
    <row r="442" ht="16" x14ac:dyDescent="0.2"/>
    <row r="443" ht="16" x14ac:dyDescent="0.2"/>
    <row r="444" ht="16" x14ac:dyDescent="0.2"/>
    <row r="445" ht="16" x14ac:dyDescent="0.2"/>
    <row r="446" ht="16" x14ac:dyDescent="0.2"/>
    <row r="447" ht="16" x14ac:dyDescent="0.2"/>
    <row r="448" ht="16" x14ac:dyDescent="0.2"/>
    <row r="449" ht="16" x14ac:dyDescent="0.2"/>
    <row r="450" ht="16" x14ac:dyDescent="0.2"/>
    <row r="451" ht="16" x14ac:dyDescent="0.2"/>
    <row r="452" ht="16" x14ac:dyDescent="0.2"/>
    <row r="453" ht="16" x14ac:dyDescent="0.2"/>
    <row r="454" ht="16" x14ac:dyDescent="0.2"/>
    <row r="455" ht="16" x14ac:dyDescent="0.2"/>
    <row r="456" ht="16" x14ac:dyDescent="0.2"/>
    <row r="457" ht="16" x14ac:dyDescent="0.2"/>
    <row r="458" ht="16" x14ac:dyDescent="0.2"/>
    <row r="459" ht="16" x14ac:dyDescent="0.2"/>
    <row r="460" ht="16" x14ac:dyDescent="0.2"/>
    <row r="461" ht="16" x14ac:dyDescent="0.2"/>
    <row r="462" ht="16" x14ac:dyDescent="0.2"/>
    <row r="463" ht="16" x14ac:dyDescent="0.2"/>
    <row r="464" ht="16" x14ac:dyDescent="0.2"/>
    <row r="465" ht="16" x14ac:dyDescent="0.2"/>
    <row r="466" ht="16" x14ac:dyDescent="0.2"/>
    <row r="467" ht="16" x14ac:dyDescent="0.2"/>
    <row r="468" ht="16" x14ac:dyDescent="0.2"/>
    <row r="469" ht="16" x14ac:dyDescent="0.2"/>
    <row r="470" ht="16" x14ac:dyDescent="0.2"/>
    <row r="471" ht="16" x14ac:dyDescent="0.2"/>
    <row r="472" ht="16" x14ac:dyDescent="0.2"/>
    <row r="473" ht="16" x14ac:dyDescent="0.2"/>
    <row r="474" ht="16" x14ac:dyDescent="0.2"/>
    <row r="475" ht="16" x14ac:dyDescent="0.2"/>
    <row r="476" ht="16" x14ac:dyDescent="0.2"/>
    <row r="477" ht="16" x14ac:dyDescent="0.2"/>
    <row r="478" ht="16" x14ac:dyDescent="0.2"/>
    <row r="479" ht="16" x14ac:dyDescent="0.2"/>
    <row r="480" ht="16" x14ac:dyDescent="0.2"/>
    <row r="481" ht="16" x14ac:dyDescent="0.2"/>
    <row r="482" ht="16" x14ac:dyDescent="0.2"/>
    <row r="483" ht="16" x14ac:dyDescent="0.2"/>
    <row r="484" ht="16" x14ac:dyDescent="0.2"/>
    <row r="485" ht="16" x14ac:dyDescent="0.2"/>
    <row r="486" ht="16" x14ac:dyDescent="0.2"/>
    <row r="487" ht="16" x14ac:dyDescent="0.2"/>
    <row r="488" ht="16" x14ac:dyDescent="0.2"/>
    <row r="489" ht="16" x14ac:dyDescent="0.2"/>
    <row r="490" ht="16" x14ac:dyDescent="0.2"/>
    <row r="491" ht="16" x14ac:dyDescent="0.2"/>
    <row r="492" ht="16" x14ac:dyDescent="0.2"/>
    <row r="493" ht="16" x14ac:dyDescent="0.2"/>
    <row r="494" ht="16" x14ac:dyDescent="0.2"/>
    <row r="495" ht="16" x14ac:dyDescent="0.2"/>
    <row r="496" ht="16" x14ac:dyDescent="0.2"/>
    <row r="497" ht="16" x14ac:dyDescent="0.2"/>
    <row r="498" ht="16" x14ac:dyDescent="0.2"/>
    <row r="499" ht="16" x14ac:dyDescent="0.2"/>
    <row r="500" ht="16" x14ac:dyDescent="0.2"/>
    <row r="501" ht="16" x14ac:dyDescent="0.2"/>
    <row r="502" ht="16" x14ac:dyDescent="0.2"/>
    <row r="503" ht="16" x14ac:dyDescent="0.2"/>
    <row r="504" ht="16" x14ac:dyDescent="0.2"/>
    <row r="505" ht="16" x14ac:dyDescent="0.2"/>
    <row r="506" ht="16" x14ac:dyDescent="0.2"/>
    <row r="507" ht="16" x14ac:dyDescent="0.2"/>
    <row r="508" ht="16" x14ac:dyDescent="0.2"/>
    <row r="509" ht="16" x14ac:dyDescent="0.2"/>
    <row r="510" ht="16" x14ac:dyDescent="0.2"/>
    <row r="511" ht="16" x14ac:dyDescent="0.2"/>
    <row r="512" ht="16" x14ac:dyDescent="0.2"/>
    <row r="513" ht="16" x14ac:dyDescent="0.2"/>
    <row r="514" ht="16" x14ac:dyDescent="0.2"/>
    <row r="515" ht="16" x14ac:dyDescent="0.2"/>
    <row r="516" ht="16" x14ac:dyDescent="0.2"/>
    <row r="517" ht="16" x14ac:dyDescent="0.2"/>
    <row r="518" ht="16" x14ac:dyDescent="0.2"/>
    <row r="519" ht="16" x14ac:dyDescent="0.2"/>
    <row r="520" ht="16" x14ac:dyDescent="0.2"/>
    <row r="521" ht="16" x14ac:dyDescent="0.2"/>
    <row r="522" ht="16" x14ac:dyDescent="0.2"/>
    <row r="523" ht="16" x14ac:dyDescent="0.2"/>
    <row r="524" ht="16" x14ac:dyDescent="0.2"/>
    <row r="525" ht="16" x14ac:dyDescent="0.2"/>
    <row r="526" ht="16" x14ac:dyDescent="0.2"/>
    <row r="527" ht="16" x14ac:dyDescent="0.2"/>
    <row r="528" ht="16" x14ac:dyDescent="0.2"/>
    <row r="529" ht="16" x14ac:dyDescent="0.2"/>
    <row r="530" ht="16" x14ac:dyDescent="0.2"/>
    <row r="531" ht="16" x14ac:dyDescent="0.2"/>
    <row r="532" ht="16" x14ac:dyDescent="0.2"/>
    <row r="533" ht="16" x14ac:dyDescent="0.2"/>
    <row r="534" ht="16" x14ac:dyDescent="0.2"/>
    <row r="535" ht="16" x14ac:dyDescent="0.2"/>
    <row r="536" ht="16" x14ac:dyDescent="0.2"/>
    <row r="537" ht="16" x14ac:dyDescent="0.2"/>
    <row r="538" ht="16" x14ac:dyDescent="0.2"/>
    <row r="539" ht="16" x14ac:dyDescent="0.2"/>
    <row r="540" ht="16" x14ac:dyDescent="0.2"/>
    <row r="541" ht="16" x14ac:dyDescent="0.2"/>
    <row r="542" ht="16" x14ac:dyDescent="0.2"/>
    <row r="543" ht="16" x14ac:dyDescent="0.2"/>
    <row r="544" ht="16" x14ac:dyDescent="0.2"/>
    <row r="545" ht="16" x14ac:dyDescent="0.2"/>
    <row r="546" ht="16" x14ac:dyDescent="0.2"/>
    <row r="547" ht="16" x14ac:dyDescent="0.2"/>
    <row r="548" ht="16" x14ac:dyDescent="0.2"/>
    <row r="549" ht="16" x14ac:dyDescent="0.2"/>
    <row r="550" ht="16" x14ac:dyDescent="0.2"/>
    <row r="551" ht="16" x14ac:dyDescent="0.2"/>
    <row r="552" ht="16" x14ac:dyDescent="0.2"/>
    <row r="553" ht="16" x14ac:dyDescent="0.2"/>
    <row r="554" ht="16" x14ac:dyDescent="0.2"/>
    <row r="555" ht="16" x14ac:dyDescent="0.2"/>
    <row r="556" ht="16" x14ac:dyDescent="0.2"/>
    <row r="557" ht="16" x14ac:dyDescent="0.2"/>
    <row r="558" ht="16" x14ac:dyDescent="0.2"/>
    <row r="559" ht="16" x14ac:dyDescent="0.2"/>
    <row r="560" ht="16" x14ac:dyDescent="0.2"/>
    <row r="561" ht="16" x14ac:dyDescent="0.2"/>
    <row r="562" ht="16" x14ac:dyDescent="0.2"/>
    <row r="563" ht="16" x14ac:dyDescent="0.2"/>
    <row r="564" ht="16" x14ac:dyDescent="0.2"/>
    <row r="565" ht="16" x14ac:dyDescent="0.2"/>
    <row r="566" ht="16" x14ac:dyDescent="0.2"/>
    <row r="567" ht="16" x14ac:dyDescent="0.2"/>
    <row r="568" ht="16" x14ac:dyDescent="0.2"/>
    <row r="569" ht="16" x14ac:dyDescent="0.2"/>
    <row r="570" ht="16" x14ac:dyDescent="0.2"/>
    <row r="571" ht="16" x14ac:dyDescent="0.2"/>
    <row r="572" ht="16" x14ac:dyDescent="0.2"/>
    <row r="573" ht="16" x14ac:dyDescent="0.2"/>
    <row r="574" ht="16" x14ac:dyDescent="0.2"/>
    <row r="575" ht="16" x14ac:dyDescent="0.2"/>
    <row r="576" ht="16" x14ac:dyDescent="0.2"/>
    <row r="577" ht="16" x14ac:dyDescent="0.2"/>
    <row r="578" ht="16" x14ac:dyDescent="0.2"/>
    <row r="579" ht="16" x14ac:dyDescent="0.2"/>
    <row r="580" ht="16" x14ac:dyDescent="0.2"/>
    <row r="581" ht="16" x14ac:dyDescent="0.2"/>
    <row r="582" ht="16" x14ac:dyDescent="0.2"/>
    <row r="583" ht="16" x14ac:dyDescent="0.2"/>
    <row r="584" ht="16" x14ac:dyDescent="0.2"/>
    <row r="585" ht="16" x14ac:dyDescent="0.2"/>
    <row r="586" ht="16" x14ac:dyDescent="0.2"/>
    <row r="587" ht="16" x14ac:dyDescent="0.2"/>
    <row r="588" ht="16" x14ac:dyDescent="0.2"/>
    <row r="589" ht="16" x14ac:dyDescent="0.2"/>
    <row r="590" ht="16" x14ac:dyDescent="0.2"/>
    <row r="591" ht="16" x14ac:dyDescent="0.2"/>
    <row r="592" ht="16" x14ac:dyDescent="0.2"/>
    <row r="593" ht="16" x14ac:dyDescent="0.2"/>
    <row r="594" ht="16" x14ac:dyDescent="0.2"/>
    <row r="595" ht="16" x14ac:dyDescent="0.2"/>
    <row r="596" ht="16" x14ac:dyDescent="0.2"/>
    <row r="597" ht="16" x14ac:dyDescent="0.2"/>
    <row r="598" ht="16" x14ac:dyDescent="0.2"/>
    <row r="599" ht="16" x14ac:dyDescent="0.2"/>
    <row r="600" ht="16" x14ac:dyDescent="0.2"/>
    <row r="601" ht="16" x14ac:dyDescent="0.2"/>
    <row r="602" ht="16" x14ac:dyDescent="0.2"/>
    <row r="603" ht="16" x14ac:dyDescent="0.2"/>
    <row r="604" ht="16" x14ac:dyDescent="0.2"/>
    <row r="605" ht="16" x14ac:dyDescent="0.2"/>
    <row r="606" ht="16" x14ac:dyDescent="0.2"/>
    <row r="607" ht="16" x14ac:dyDescent="0.2"/>
    <row r="608" ht="16" x14ac:dyDescent="0.2"/>
    <row r="609" ht="16" x14ac:dyDescent="0.2"/>
    <row r="610" ht="16" x14ac:dyDescent="0.2"/>
    <row r="611" ht="16" x14ac:dyDescent="0.2"/>
    <row r="612" ht="16" x14ac:dyDescent="0.2"/>
    <row r="613" ht="16" x14ac:dyDescent="0.2"/>
    <row r="614" ht="16" x14ac:dyDescent="0.2"/>
    <row r="615" ht="16" x14ac:dyDescent="0.2"/>
    <row r="616" ht="16" x14ac:dyDescent="0.2"/>
    <row r="617" ht="16" x14ac:dyDescent="0.2"/>
    <row r="618" ht="16" x14ac:dyDescent="0.2"/>
    <row r="619" ht="16" x14ac:dyDescent="0.2"/>
    <row r="620" ht="16" x14ac:dyDescent="0.2"/>
    <row r="621" ht="16" x14ac:dyDescent="0.2"/>
    <row r="622" ht="16" x14ac:dyDescent="0.2"/>
    <row r="623" ht="16" x14ac:dyDescent="0.2"/>
    <row r="624" ht="16" x14ac:dyDescent="0.2"/>
    <row r="625" ht="16" x14ac:dyDescent="0.2"/>
    <row r="626" ht="16" x14ac:dyDescent="0.2"/>
    <row r="627" ht="16" x14ac:dyDescent="0.2"/>
    <row r="628" ht="16" x14ac:dyDescent="0.2"/>
    <row r="629" ht="16" x14ac:dyDescent="0.2"/>
    <row r="630" ht="16" x14ac:dyDescent="0.2"/>
    <row r="631" ht="16" x14ac:dyDescent="0.2"/>
    <row r="632" ht="16" x14ac:dyDescent="0.2"/>
    <row r="633" ht="16" x14ac:dyDescent="0.2"/>
    <row r="634" ht="16" x14ac:dyDescent="0.2"/>
    <row r="635" ht="16" x14ac:dyDescent="0.2"/>
    <row r="636" ht="16" x14ac:dyDescent="0.2"/>
    <row r="637" ht="16" x14ac:dyDescent="0.2"/>
    <row r="638" ht="16" x14ac:dyDescent="0.2"/>
    <row r="639" ht="16" x14ac:dyDescent="0.2"/>
    <row r="640" ht="16" x14ac:dyDescent="0.2"/>
    <row r="641" ht="16" x14ac:dyDescent="0.2"/>
    <row r="642" ht="16" x14ac:dyDescent="0.2"/>
    <row r="643" ht="16" x14ac:dyDescent="0.2"/>
    <row r="644" ht="16" x14ac:dyDescent="0.2"/>
    <row r="645" ht="16" x14ac:dyDescent="0.2"/>
    <row r="646" ht="16" x14ac:dyDescent="0.2"/>
    <row r="647" ht="16" x14ac:dyDescent="0.2"/>
    <row r="648" ht="16" x14ac:dyDescent="0.2"/>
    <row r="649" ht="16" x14ac:dyDescent="0.2"/>
    <row r="650" ht="16" x14ac:dyDescent="0.2"/>
    <row r="651" ht="16" x14ac:dyDescent="0.2"/>
    <row r="652" ht="16" x14ac:dyDescent="0.2"/>
    <row r="653" ht="16" x14ac:dyDescent="0.2"/>
    <row r="654" ht="16" x14ac:dyDescent="0.2"/>
    <row r="655" ht="16" x14ac:dyDescent="0.2"/>
    <row r="656" ht="16" x14ac:dyDescent="0.2"/>
    <row r="657" ht="16" x14ac:dyDescent="0.2"/>
    <row r="658" ht="16" x14ac:dyDescent="0.2"/>
    <row r="659" ht="16" x14ac:dyDescent="0.2"/>
    <row r="660" ht="16" x14ac:dyDescent="0.2"/>
    <row r="661" ht="16" x14ac:dyDescent="0.2"/>
    <row r="662" ht="16" x14ac:dyDescent="0.2"/>
    <row r="663" ht="16" x14ac:dyDescent="0.2"/>
    <row r="664" ht="16" x14ac:dyDescent="0.2"/>
    <row r="665" ht="16" x14ac:dyDescent="0.2"/>
    <row r="666" ht="16" x14ac:dyDescent="0.2"/>
    <row r="667" ht="16" x14ac:dyDescent="0.2"/>
    <row r="668" ht="16" x14ac:dyDescent="0.2"/>
    <row r="669" ht="16" x14ac:dyDescent="0.2"/>
    <row r="670" ht="16" x14ac:dyDescent="0.2"/>
    <row r="671" ht="16" x14ac:dyDescent="0.2"/>
    <row r="672" ht="16" x14ac:dyDescent="0.2"/>
    <row r="673" ht="16" x14ac:dyDescent="0.2"/>
    <row r="674" ht="16" x14ac:dyDescent="0.2"/>
    <row r="675" ht="16" x14ac:dyDescent="0.2"/>
    <row r="676" ht="16" x14ac:dyDescent="0.2"/>
    <row r="677" ht="16" x14ac:dyDescent="0.2"/>
    <row r="678" ht="16" x14ac:dyDescent="0.2"/>
    <row r="679" ht="16" x14ac:dyDescent="0.2"/>
    <row r="680" ht="16" x14ac:dyDescent="0.2"/>
    <row r="681" ht="16" x14ac:dyDescent="0.2"/>
    <row r="682" ht="16" x14ac:dyDescent="0.2"/>
    <row r="683" ht="16" x14ac:dyDescent="0.2"/>
    <row r="684" ht="16" x14ac:dyDescent="0.2"/>
    <row r="685" ht="16" x14ac:dyDescent="0.2"/>
    <row r="686" ht="16" x14ac:dyDescent="0.2"/>
    <row r="687" ht="16" x14ac:dyDescent="0.2"/>
    <row r="688" ht="16" x14ac:dyDescent="0.2"/>
    <row r="689" ht="16" x14ac:dyDescent="0.2"/>
    <row r="690" ht="16" x14ac:dyDescent="0.2"/>
    <row r="691" ht="16" x14ac:dyDescent="0.2"/>
    <row r="692" ht="16" x14ac:dyDescent="0.2"/>
    <row r="693" ht="16" x14ac:dyDescent="0.2"/>
    <row r="694" ht="16" x14ac:dyDescent="0.2"/>
    <row r="695" ht="16" x14ac:dyDescent="0.2"/>
    <row r="696" ht="16" x14ac:dyDescent="0.2"/>
    <row r="697" ht="16" x14ac:dyDescent="0.2"/>
    <row r="698" ht="16" x14ac:dyDescent="0.2"/>
    <row r="699" ht="16" x14ac:dyDescent="0.2"/>
    <row r="700" ht="16" x14ac:dyDescent="0.2"/>
    <row r="701" ht="16" x14ac:dyDescent="0.2"/>
    <row r="702" ht="16" x14ac:dyDescent="0.2"/>
    <row r="703" ht="16" x14ac:dyDescent="0.2"/>
    <row r="704" ht="16" x14ac:dyDescent="0.2"/>
    <row r="705" ht="16" x14ac:dyDescent="0.2"/>
    <row r="706" ht="16" x14ac:dyDescent="0.2"/>
    <row r="707" ht="16" x14ac:dyDescent="0.2"/>
    <row r="708" ht="16" x14ac:dyDescent="0.2"/>
    <row r="709" ht="16" x14ac:dyDescent="0.2"/>
    <row r="710" ht="16" x14ac:dyDescent="0.2"/>
    <row r="711" ht="16" x14ac:dyDescent="0.2"/>
    <row r="712" ht="16" x14ac:dyDescent="0.2"/>
    <row r="713" ht="16" x14ac:dyDescent="0.2"/>
    <row r="714" ht="16" x14ac:dyDescent="0.2"/>
    <row r="715" ht="16" x14ac:dyDescent="0.2"/>
    <row r="716" ht="16" x14ac:dyDescent="0.2"/>
    <row r="717" ht="16" x14ac:dyDescent="0.2"/>
    <row r="718" ht="16" x14ac:dyDescent="0.2"/>
    <row r="719" ht="16" x14ac:dyDescent="0.2"/>
    <row r="720" ht="16" x14ac:dyDescent="0.2"/>
    <row r="721" ht="16" x14ac:dyDescent="0.2"/>
    <row r="722" ht="16" x14ac:dyDescent="0.2"/>
    <row r="723" ht="16" x14ac:dyDescent="0.2"/>
    <row r="724" ht="16" x14ac:dyDescent="0.2"/>
    <row r="725" ht="16" x14ac:dyDescent="0.2"/>
    <row r="726" ht="16" x14ac:dyDescent="0.2"/>
    <row r="727" ht="16" x14ac:dyDescent="0.2"/>
    <row r="728" ht="16" x14ac:dyDescent="0.2"/>
    <row r="729" ht="16" x14ac:dyDescent="0.2"/>
    <row r="730" ht="16" x14ac:dyDescent="0.2"/>
    <row r="731" ht="16" x14ac:dyDescent="0.2"/>
    <row r="732" ht="16" x14ac:dyDescent="0.2"/>
    <row r="733" ht="16" x14ac:dyDescent="0.2"/>
    <row r="734" ht="16" x14ac:dyDescent="0.2"/>
    <row r="735" ht="16" x14ac:dyDescent="0.2"/>
    <row r="736" ht="16" x14ac:dyDescent="0.2"/>
    <row r="737" ht="16" x14ac:dyDescent="0.2"/>
    <row r="738" ht="16" x14ac:dyDescent="0.2"/>
    <row r="739" ht="16" x14ac:dyDescent="0.2"/>
    <row r="740" ht="16" x14ac:dyDescent="0.2"/>
    <row r="741" ht="16" x14ac:dyDescent="0.2"/>
    <row r="742" ht="16" x14ac:dyDescent="0.2"/>
    <row r="743" ht="16" x14ac:dyDescent="0.2"/>
    <row r="744" ht="16" x14ac:dyDescent="0.2"/>
    <row r="745" ht="16" x14ac:dyDescent="0.2"/>
    <row r="746" ht="16" x14ac:dyDescent="0.2"/>
    <row r="747" ht="16" x14ac:dyDescent="0.2"/>
    <row r="748" ht="16" x14ac:dyDescent="0.2"/>
    <row r="749" ht="16" x14ac:dyDescent="0.2"/>
    <row r="750" ht="16" x14ac:dyDescent="0.2"/>
    <row r="751" ht="16" x14ac:dyDescent="0.2"/>
    <row r="752" ht="16" x14ac:dyDescent="0.2"/>
    <row r="753" ht="16" x14ac:dyDescent="0.2"/>
    <row r="754" ht="16" x14ac:dyDescent="0.2"/>
    <row r="755" ht="16" x14ac:dyDescent="0.2"/>
    <row r="756" ht="16" x14ac:dyDescent="0.2"/>
    <row r="757" ht="16" x14ac:dyDescent="0.2"/>
    <row r="758" ht="16" x14ac:dyDescent="0.2"/>
    <row r="759" ht="16" x14ac:dyDescent="0.2"/>
    <row r="760" ht="16" x14ac:dyDescent="0.2"/>
    <row r="761" ht="16" x14ac:dyDescent="0.2"/>
    <row r="762" ht="16" x14ac:dyDescent="0.2"/>
    <row r="763" ht="16" x14ac:dyDescent="0.2"/>
    <row r="764" ht="16" x14ac:dyDescent="0.2"/>
    <row r="765" ht="16" x14ac:dyDescent="0.2"/>
    <row r="766" ht="16" x14ac:dyDescent="0.2"/>
    <row r="767" ht="16" x14ac:dyDescent="0.2"/>
    <row r="768" ht="16" x14ac:dyDescent="0.2"/>
    <row r="769" ht="16" x14ac:dyDescent="0.2"/>
    <row r="770" ht="16" x14ac:dyDescent="0.2"/>
    <row r="771" ht="16" x14ac:dyDescent="0.2"/>
    <row r="772" ht="16" x14ac:dyDescent="0.2"/>
    <row r="773" ht="16" x14ac:dyDescent="0.2"/>
    <row r="774" ht="16" x14ac:dyDescent="0.2"/>
    <row r="775" ht="16" x14ac:dyDescent="0.2"/>
    <row r="776" ht="16" x14ac:dyDescent="0.2"/>
    <row r="777" ht="16" x14ac:dyDescent="0.2"/>
    <row r="778" ht="16" x14ac:dyDescent="0.2"/>
    <row r="779" ht="16" x14ac:dyDescent="0.2"/>
    <row r="780" ht="16" x14ac:dyDescent="0.2"/>
    <row r="781" ht="16" x14ac:dyDescent="0.2"/>
    <row r="782" ht="16" x14ac:dyDescent="0.2"/>
    <row r="783" ht="16" x14ac:dyDescent="0.2"/>
    <row r="784" ht="16" x14ac:dyDescent="0.2"/>
    <row r="785" ht="16" x14ac:dyDescent="0.2"/>
    <row r="786" ht="16" x14ac:dyDescent="0.2"/>
    <row r="787" ht="16" x14ac:dyDescent="0.2"/>
    <row r="788" ht="16" x14ac:dyDescent="0.2"/>
    <row r="789" ht="16" x14ac:dyDescent="0.2"/>
    <row r="790" ht="16" x14ac:dyDescent="0.2"/>
    <row r="791" ht="16" x14ac:dyDescent="0.2"/>
    <row r="792" ht="16" x14ac:dyDescent="0.2"/>
    <row r="793" ht="16" x14ac:dyDescent="0.2"/>
    <row r="794" ht="16" x14ac:dyDescent="0.2"/>
    <row r="795" ht="16" x14ac:dyDescent="0.2"/>
    <row r="796" ht="16" x14ac:dyDescent="0.2"/>
    <row r="797" ht="16" x14ac:dyDescent="0.2"/>
    <row r="798" ht="16" x14ac:dyDescent="0.2"/>
    <row r="799" ht="16" x14ac:dyDescent="0.2"/>
    <row r="800" ht="16" x14ac:dyDescent="0.2"/>
    <row r="801" ht="16" x14ac:dyDescent="0.2"/>
    <row r="802" ht="16" x14ac:dyDescent="0.2"/>
    <row r="803" ht="16" x14ac:dyDescent="0.2"/>
    <row r="804" ht="16" x14ac:dyDescent="0.2"/>
    <row r="805" ht="16" x14ac:dyDescent="0.2"/>
    <row r="806" ht="16" x14ac:dyDescent="0.2"/>
    <row r="807" ht="16" x14ac:dyDescent="0.2"/>
    <row r="808" ht="16" x14ac:dyDescent="0.2"/>
    <row r="809" ht="16" x14ac:dyDescent="0.2"/>
    <row r="810" ht="16" x14ac:dyDescent="0.2"/>
    <row r="811" ht="16" x14ac:dyDescent="0.2"/>
    <row r="812" ht="16" x14ac:dyDescent="0.2"/>
    <row r="813" ht="16" x14ac:dyDescent="0.2"/>
    <row r="814" ht="16" x14ac:dyDescent="0.2"/>
    <row r="815" ht="16" x14ac:dyDescent="0.2"/>
    <row r="816" ht="16" x14ac:dyDescent="0.2"/>
    <row r="817" ht="16" x14ac:dyDescent="0.2"/>
    <row r="818" ht="16" x14ac:dyDescent="0.2"/>
    <row r="819" ht="16" x14ac:dyDescent="0.2"/>
    <row r="820" ht="16" x14ac:dyDescent="0.2"/>
    <row r="821" ht="16" x14ac:dyDescent="0.2"/>
    <row r="822" ht="16" x14ac:dyDescent="0.2"/>
    <row r="823" ht="16" x14ac:dyDescent="0.2"/>
    <row r="824" ht="16" x14ac:dyDescent="0.2"/>
    <row r="825" ht="16" x14ac:dyDescent="0.2"/>
    <row r="826" ht="16" x14ac:dyDescent="0.2"/>
    <row r="827" ht="16" x14ac:dyDescent="0.2"/>
    <row r="828" ht="16" x14ac:dyDescent="0.2"/>
    <row r="829" ht="16" x14ac:dyDescent="0.2"/>
    <row r="830" ht="16" x14ac:dyDescent="0.2"/>
    <row r="831" ht="16" x14ac:dyDescent="0.2"/>
    <row r="832" ht="16" x14ac:dyDescent="0.2"/>
    <row r="833" ht="16" x14ac:dyDescent="0.2"/>
    <row r="834" ht="16" x14ac:dyDescent="0.2"/>
    <row r="835" ht="16" x14ac:dyDescent="0.2"/>
    <row r="836" ht="16" x14ac:dyDescent="0.2"/>
    <row r="837" ht="16" x14ac:dyDescent="0.2"/>
    <row r="838" ht="16" x14ac:dyDescent="0.2"/>
    <row r="839" ht="16" x14ac:dyDescent="0.2"/>
    <row r="840" ht="16" x14ac:dyDescent="0.2"/>
    <row r="841" ht="16" x14ac:dyDescent="0.2"/>
    <row r="842" ht="16" x14ac:dyDescent="0.2"/>
    <row r="843" ht="16" x14ac:dyDescent="0.2"/>
    <row r="844" ht="16" x14ac:dyDescent="0.2"/>
    <row r="845" ht="16" x14ac:dyDescent="0.2"/>
    <row r="846" ht="16" x14ac:dyDescent="0.2"/>
    <row r="847" ht="16" x14ac:dyDescent="0.2"/>
    <row r="848" ht="16" x14ac:dyDescent="0.2"/>
    <row r="849" ht="16" x14ac:dyDescent="0.2"/>
    <row r="850" ht="16" x14ac:dyDescent="0.2"/>
    <row r="851" ht="16" x14ac:dyDescent="0.2"/>
    <row r="852" ht="16" x14ac:dyDescent="0.2"/>
    <row r="853" ht="16" x14ac:dyDescent="0.2"/>
    <row r="854" ht="16" x14ac:dyDescent="0.2"/>
    <row r="855" ht="16" x14ac:dyDescent="0.2"/>
    <row r="856" ht="16" x14ac:dyDescent="0.2"/>
    <row r="857" ht="16" x14ac:dyDescent="0.2"/>
    <row r="858" ht="16" x14ac:dyDescent="0.2"/>
    <row r="859" ht="16" x14ac:dyDescent="0.2"/>
    <row r="860" ht="16" x14ac:dyDescent="0.2"/>
    <row r="861" ht="16" x14ac:dyDescent="0.2"/>
    <row r="862" ht="16" x14ac:dyDescent="0.2"/>
    <row r="863" ht="16" x14ac:dyDescent="0.2"/>
    <row r="864" ht="16" x14ac:dyDescent="0.2"/>
    <row r="865" ht="16" x14ac:dyDescent="0.2"/>
    <row r="866" ht="16" x14ac:dyDescent="0.2"/>
    <row r="867" ht="16" x14ac:dyDescent="0.2"/>
    <row r="868" ht="16" x14ac:dyDescent="0.2"/>
    <row r="869" ht="16" x14ac:dyDescent="0.2"/>
    <row r="870" ht="16" x14ac:dyDescent="0.2"/>
    <row r="871" ht="16" x14ac:dyDescent="0.2"/>
    <row r="872" ht="16" x14ac:dyDescent="0.2"/>
    <row r="873" ht="16" x14ac:dyDescent="0.2"/>
    <row r="874" ht="16" x14ac:dyDescent="0.2"/>
    <row r="875" ht="16" x14ac:dyDescent="0.2"/>
    <row r="876" ht="16" x14ac:dyDescent="0.2"/>
    <row r="877" ht="16" x14ac:dyDescent="0.2"/>
    <row r="878" ht="16" x14ac:dyDescent="0.2"/>
    <row r="879" ht="16" x14ac:dyDescent="0.2"/>
    <row r="880" ht="16" x14ac:dyDescent="0.2"/>
    <row r="881" ht="16" x14ac:dyDescent="0.2"/>
    <row r="882" ht="16" x14ac:dyDescent="0.2"/>
    <row r="883" ht="16" x14ac:dyDescent="0.2"/>
    <row r="884" ht="16" x14ac:dyDescent="0.2"/>
    <row r="885" ht="16" x14ac:dyDescent="0.2"/>
    <row r="886" ht="16" x14ac:dyDescent="0.2"/>
    <row r="887" ht="16" x14ac:dyDescent="0.2"/>
    <row r="888" ht="16" x14ac:dyDescent="0.2"/>
    <row r="889" ht="16" x14ac:dyDescent="0.2"/>
    <row r="890" ht="16" x14ac:dyDescent="0.2"/>
    <row r="891" ht="16" x14ac:dyDescent="0.2"/>
    <row r="892" ht="16" x14ac:dyDescent="0.2"/>
    <row r="893" ht="16" x14ac:dyDescent="0.2"/>
    <row r="894" ht="16" x14ac:dyDescent="0.2"/>
    <row r="895" ht="16" x14ac:dyDescent="0.2"/>
    <row r="896" ht="16" x14ac:dyDescent="0.2"/>
    <row r="897" ht="16" x14ac:dyDescent="0.2"/>
    <row r="898" ht="16" x14ac:dyDescent="0.2"/>
    <row r="899" ht="16" x14ac:dyDescent="0.2"/>
    <row r="900" ht="16" x14ac:dyDescent="0.2"/>
    <row r="901" ht="16" x14ac:dyDescent="0.2"/>
    <row r="902" ht="16" x14ac:dyDescent="0.2"/>
    <row r="903" ht="16" x14ac:dyDescent="0.2"/>
    <row r="904" ht="16" x14ac:dyDescent="0.2"/>
    <row r="905" ht="16" x14ac:dyDescent="0.2"/>
    <row r="906" ht="16" x14ac:dyDescent="0.2"/>
    <row r="907" ht="16" x14ac:dyDescent="0.2"/>
    <row r="908" ht="16" x14ac:dyDescent="0.2"/>
    <row r="909" ht="16" x14ac:dyDescent="0.2"/>
    <row r="910" ht="16" x14ac:dyDescent="0.2"/>
    <row r="911" ht="16" x14ac:dyDescent="0.2"/>
    <row r="912" ht="16" x14ac:dyDescent="0.2"/>
    <row r="913" ht="16" x14ac:dyDescent="0.2"/>
    <row r="914" ht="16" x14ac:dyDescent="0.2"/>
    <row r="915" ht="16" x14ac:dyDescent="0.2"/>
    <row r="916" ht="16" x14ac:dyDescent="0.2"/>
    <row r="917" ht="16" x14ac:dyDescent="0.2"/>
    <row r="918" ht="16" x14ac:dyDescent="0.2"/>
    <row r="919" ht="16" x14ac:dyDescent="0.2"/>
    <row r="920" ht="16" x14ac:dyDescent="0.2"/>
    <row r="921" ht="16" x14ac:dyDescent="0.2"/>
    <row r="922" ht="16" x14ac:dyDescent="0.2"/>
    <row r="923" ht="16" x14ac:dyDescent="0.2"/>
    <row r="924" ht="16" x14ac:dyDescent="0.2"/>
    <row r="925" ht="16" x14ac:dyDescent="0.2"/>
    <row r="926" ht="16" x14ac:dyDescent="0.2"/>
    <row r="927" ht="16" x14ac:dyDescent="0.2"/>
    <row r="928" ht="16" x14ac:dyDescent="0.2"/>
    <row r="929" ht="16" x14ac:dyDescent="0.2"/>
    <row r="930" ht="16" x14ac:dyDescent="0.2"/>
    <row r="931" ht="16" x14ac:dyDescent="0.2"/>
    <row r="932" ht="16" x14ac:dyDescent="0.2"/>
    <row r="933" ht="16" x14ac:dyDescent="0.2"/>
    <row r="934" ht="16" x14ac:dyDescent="0.2"/>
    <row r="935" ht="16" x14ac:dyDescent="0.2"/>
    <row r="936" ht="16" x14ac:dyDescent="0.2"/>
    <row r="937" ht="16" x14ac:dyDescent="0.2"/>
    <row r="938" ht="16" x14ac:dyDescent="0.2"/>
    <row r="939" ht="16" x14ac:dyDescent="0.2"/>
    <row r="940" ht="16" x14ac:dyDescent="0.2"/>
    <row r="941" ht="16" x14ac:dyDescent="0.2"/>
    <row r="942" ht="16" x14ac:dyDescent="0.2"/>
    <row r="943" ht="16" x14ac:dyDescent="0.2"/>
    <row r="944" ht="16" x14ac:dyDescent="0.2"/>
    <row r="945" ht="16" x14ac:dyDescent="0.2"/>
    <row r="946" ht="16" x14ac:dyDescent="0.2"/>
    <row r="947" ht="16" x14ac:dyDescent="0.2"/>
    <row r="948" ht="16" x14ac:dyDescent="0.2"/>
    <row r="949" ht="16" x14ac:dyDescent="0.2"/>
    <row r="950" ht="16" x14ac:dyDescent="0.2"/>
    <row r="951" ht="16" x14ac:dyDescent="0.2"/>
    <row r="952" ht="16" x14ac:dyDescent="0.2"/>
    <row r="953" ht="16" x14ac:dyDescent="0.2"/>
    <row r="954" ht="16" x14ac:dyDescent="0.2"/>
    <row r="955" ht="16" x14ac:dyDescent="0.2"/>
    <row r="956" ht="16" x14ac:dyDescent="0.2"/>
    <row r="957" ht="16" x14ac:dyDescent="0.2"/>
    <row r="958" ht="16" x14ac:dyDescent="0.2"/>
    <row r="959" ht="16" x14ac:dyDescent="0.2"/>
    <row r="960" ht="16" x14ac:dyDescent="0.2"/>
    <row r="961" ht="16" x14ac:dyDescent="0.2"/>
    <row r="962" ht="16" x14ac:dyDescent="0.2"/>
    <row r="963" ht="16" x14ac:dyDescent="0.2"/>
    <row r="964" ht="16" x14ac:dyDescent="0.2"/>
    <row r="965" ht="16" x14ac:dyDescent="0.2"/>
    <row r="966" ht="16" x14ac:dyDescent="0.2"/>
    <row r="967" ht="16" x14ac:dyDescent="0.2"/>
    <row r="968" ht="16" x14ac:dyDescent="0.2"/>
    <row r="969" ht="16" x14ac:dyDescent="0.2"/>
    <row r="970" ht="16" x14ac:dyDescent="0.2"/>
    <row r="971" ht="16" x14ac:dyDescent="0.2"/>
    <row r="972" ht="16" x14ac:dyDescent="0.2"/>
    <row r="973" ht="16" x14ac:dyDescent="0.2"/>
    <row r="974" ht="16" x14ac:dyDescent="0.2"/>
    <row r="975" ht="16" x14ac:dyDescent="0.2"/>
    <row r="976" ht="16" x14ac:dyDescent="0.2"/>
    <row r="977" ht="16" x14ac:dyDescent="0.2"/>
    <row r="978" ht="16" x14ac:dyDescent="0.2"/>
    <row r="979" ht="16" x14ac:dyDescent="0.2"/>
    <row r="980" ht="16" x14ac:dyDescent="0.2"/>
    <row r="981" ht="16" x14ac:dyDescent="0.2"/>
    <row r="982" ht="16" x14ac:dyDescent="0.2"/>
    <row r="983" ht="16" x14ac:dyDescent="0.2"/>
    <row r="984" ht="16" x14ac:dyDescent="0.2"/>
    <row r="985" ht="16" x14ac:dyDescent="0.2"/>
    <row r="986" ht="16" x14ac:dyDescent="0.2"/>
    <row r="987" ht="16" x14ac:dyDescent="0.2"/>
    <row r="988" ht="16" x14ac:dyDescent="0.2"/>
    <row r="989" ht="16" x14ac:dyDescent="0.2"/>
    <row r="990" ht="16" x14ac:dyDescent="0.2"/>
    <row r="991" ht="16" x14ac:dyDescent="0.2"/>
    <row r="992" ht="16" x14ac:dyDescent="0.2"/>
    <row r="993" ht="16" x14ac:dyDescent="0.2"/>
    <row r="994" ht="16" x14ac:dyDescent="0.2"/>
    <row r="995" ht="16" x14ac:dyDescent="0.2"/>
    <row r="996" ht="16" x14ac:dyDescent="0.2"/>
    <row r="997" ht="16" x14ac:dyDescent="0.2"/>
    <row r="998" ht="16" x14ac:dyDescent="0.2"/>
    <row r="999" ht="16" x14ac:dyDescent="0.2"/>
    <row r="1000" ht="16" x14ac:dyDescent="0.2"/>
    <row r="1001" ht="16" x14ac:dyDescent="0.2"/>
    <row r="1002" ht="16" x14ac:dyDescent="0.2"/>
    <row r="1003" ht="16" x14ac:dyDescent="0.2"/>
    <row r="1004" ht="16" x14ac:dyDescent="0.2"/>
    <row r="1005" ht="16" x14ac:dyDescent="0.2"/>
    <row r="1006" ht="16" x14ac:dyDescent="0.2"/>
    <row r="1007" ht="16" x14ac:dyDescent="0.2"/>
    <row r="1008" ht="16" x14ac:dyDescent="0.2"/>
    <row r="1009" ht="16" x14ac:dyDescent="0.2"/>
    <row r="1010" ht="16" x14ac:dyDescent="0.2"/>
    <row r="1011" ht="16" x14ac:dyDescent="0.2"/>
    <row r="1012" ht="16" x14ac:dyDescent="0.2"/>
    <row r="1013" ht="16" x14ac:dyDescent="0.2"/>
    <row r="1014" ht="16" x14ac:dyDescent="0.2"/>
    <row r="1015" ht="16" x14ac:dyDescent="0.2"/>
    <row r="1016" ht="16" x14ac:dyDescent="0.2"/>
    <row r="1017" ht="16" x14ac:dyDescent="0.2"/>
    <row r="1018" ht="16" x14ac:dyDescent="0.2"/>
    <row r="1019" ht="16" x14ac:dyDescent="0.2"/>
    <row r="1020" ht="16" x14ac:dyDescent="0.2"/>
    <row r="1021" ht="16" x14ac:dyDescent="0.2"/>
    <row r="1022" ht="16" x14ac:dyDescent="0.2"/>
    <row r="1023" ht="16" x14ac:dyDescent="0.2"/>
    <row r="1024" ht="16" x14ac:dyDescent="0.2"/>
    <row r="1025" ht="16" x14ac:dyDescent="0.2"/>
  </sheetData>
  <mergeCells count="27">
    <mergeCell ref="K15:K16"/>
    <mergeCell ref="L15:L16"/>
    <mergeCell ref="M15:S16"/>
    <mergeCell ref="M17:S19"/>
    <mergeCell ref="K8:S8"/>
    <mergeCell ref="D1:H1"/>
    <mergeCell ref="B7:R7"/>
    <mergeCell ref="B1:C1"/>
    <mergeCell ref="K12:Q12"/>
    <mergeCell ref="K10:N10"/>
    <mergeCell ref="B5:S6"/>
    <mergeCell ref="M29:S33"/>
    <mergeCell ref="L17:L19"/>
    <mergeCell ref="H25:I25"/>
    <mergeCell ref="B26:H27"/>
    <mergeCell ref="E28:G29"/>
    <mergeCell ref="C28:D29"/>
    <mergeCell ref="K17:K19"/>
    <mergeCell ref="K26:K28"/>
    <mergeCell ref="M20:S22"/>
    <mergeCell ref="L20:L22"/>
    <mergeCell ref="K20:K22"/>
    <mergeCell ref="K23:K25"/>
    <mergeCell ref="L23:L25"/>
    <mergeCell ref="M23:S25"/>
    <mergeCell ref="M26:S28"/>
    <mergeCell ref="L26:L28"/>
  </mergeCells>
  <phoneticPr fontId="44" type="noConversion"/>
  <hyperlinks>
    <hyperlink ref="H25" r:id="rId1" xr:uid="{00000000-0004-0000-0000-000000000000}"/>
    <hyperlink ref="L17" location="'Summary Financials'!A1" display="Summary Financials" xr:uid="{00000000-0004-0000-0000-000001000000}"/>
    <hyperlink ref="L26" location="'Financing Schedule'!A1" display="Financing Schedule" xr:uid="{00000000-0004-0000-0000-000002000000}"/>
    <hyperlink ref="L29" location="'Year 1'!A1" display="Year 1" xr:uid="{00000000-0004-0000-0000-000003000000}"/>
    <hyperlink ref="L30" location="'Year 2'!A1" display="Year 2" xr:uid="{00000000-0004-0000-0000-000004000000}"/>
    <hyperlink ref="L31" location="'Year 3'!A1" display="Year 3" xr:uid="{00000000-0004-0000-0000-000005000000}"/>
    <hyperlink ref="L32" location="'Year 4'!A1" display="Year 4" xr:uid="{00000000-0004-0000-0000-000006000000}"/>
    <hyperlink ref="L33" location="'Year 5'!A1" display="Year 5" xr:uid="{00000000-0004-0000-0000-000007000000}"/>
    <hyperlink ref="L20" location="'Equidam Financials Input'!A1" display="Equidam Financials Input" xr:uid="{00000000-0004-0000-0000-000008000000}"/>
    <hyperlink ref="L23" location="'Overview of Inputs'!A1" display="Overview of Inputs" xr:uid="{00000000-0004-0000-0000-000009000000}"/>
    <hyperlink ref="E28" r:id="rId2" xr:uid="{00000000-0004-0000-0000-00000A000000}"/>
    <hyperlink ref="C28" r:id="rId3" xr:uid="{00000000-0004-0000-0000-00000B000000}"/>
    <hyperlink ref="L21" location="'Equidam Financials Input'!A1" display="'Equidam Financials Input'!A1" xr:uid="{00000000-0004-0000-0000-00000C000000}"/>
    <hyperlink ref="L22" location="'Equidam Financials Input'!A1" display="'Equidam Financials Input'!A1" xr:uid="{00000000-0004-0000-0000-00000D000000}"/>
  </hyperlinks>
  <pageMargins left="0.7" right="0.7" top="0.75" bottom="0.75" header="0.3" footer="0.3"/>
  <pageSetup paperSize="9" orientation="portrait" horizontalDpi="4294967292" verticalDpi="4294967292"/>
  <drawing r:id="rId4"/>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031"/>
  <sheetViews>
    <sheetView showGridLines="0" topLeftCell="A65" workbookViewId="0">
      <selection activeCell="I3" sqref="I3"/>
    </sheetView>
  </sheetViews>
  <sheetFormatPr baseColWidth="10" defaultColWidth="11.1640625" defaultRowHeight="15" customHeight="1" x14ac:dyDescent="0.2"/>
  <cols>
    <col min="1" max="1" width="7" style="87" customWidth="1"/>
    <col min="2" max="2" width="16.1640625" style="87" customWidth="1"/>
    <col min="3" max="3" width="13.83203125" style="87" customWidth="1"/>
    <col min="4" max="6" width="9.1640625" style="87" customWidth="1"/>
    <col min="7" max="11" width="17.1640625" style="87" customWidth="1"/>
    <col min="12" max="12" width="9.1640625" style="87" customWidth="1"/>
    <col min="13" max="13" width="15.83203125" style="87" customWidth="1"/>
    <col min="14" max="14" width="17.1640625" style="87" customWidth="1"/>
    <col min="15" max="15" width="18.83203125" style="87" customWidth="1"/>
    <col min="16" max="25" width="15" style="87" customWidth="1"/>
    <col min="26" max="26" width="13.33203125" style="87" customWidth="1"/>
    <col min="27" max="16384" width="11.1640625" style="87"/>
  </cols>
  <sheetData>
    <row r="1" spans="1:12" ht="40" customHeight="1" x14ac:dyDescent="0.2">
      <c r="A1" s="1"/>
      <c r="B1" s="108" t="s">
        <v>88</v>
      </c>
      <c r="C1" s="107"/>
      <c r="G1" s="269" t="s">
        <v>384</v>
      </c>
    </row>
    <row r="2" spans="1:12" ht="15.75" customHeight="1" x14ac:dyDescent="0.2">
      <c r="B2" s="107"/>
      <c r="C2" s="107"/>
    </row>
    <row r="3" spans="1:12" ht="28" x14ac:dyDescent="0.2">
      <c r="B3" s="82" t="str">
        <f>"Summary Financials: "&amp;Introduction!$K$10</f>
        <v>Summary Financials: Unicorn Inc.</v>
      </c>
      <c r="C3" s="82"/>
      <c r="D3" s="82"/>
      <c r="E3" s="82"/>
      <c r="F3" s="82"/>
      <c r="G3" s="82"/>
      <c r="H3" s="82"/>
      <c r="I3" s="82"/>
      <c r="J3" s="82"/>
      <c r="K3" s="82"/>
      <c r="L3" s="95"/>
    </row>
    <row r="4" spans="1:12" ht="16" x14ac:dyDescent="0.2">
      <c r="B4" s="95"/>
      <c r="C4" s="95"/>
      <c r="D4" s="95"/>
      <c r="E4" s="95"/>
      <c r="F4" s="95"/>
      <c r="G4" s="95"/>
      <c r="H4" s="95"/>
      <c r="I4" s="95"/>
      <c r="J4" s="95"/>
      <c r="K4" s="95"/>
      <c r="L4" s="95"/>
    </row>
    <row r="5" spans="1:12" ht="20" x14ac:dyDescent="0.2">
      <c r="B5" s="116" t="str">
        <f>"Income Statement: "&amp;Introduction!$K$10</f>
        <v>Income Statement: Unicorn Inc.</v>
      </c>
      <c r="C5" s="117"/>
      <c r="D5" s="117"/>
      <c r="E5" s="117"/>
      <c r="F5" s="117"/>
      <c r="G5" s="118" t="str">
        <f>'Year 1'!$E$3</f>
        <v>Year 1 (2020)</v>
      </c>
      <c r="H5" s="119" t="str">
        <f>'Year 2'!$E$3</f>
        <v>Year 2 (2021)</v>
      </c>
      <c r="I5" s="119" t="str">
        <f>'Year 3'!$E$3</f>
        <v>Year 3 (2022)</v>
      </c>
      <c r="J5" s="119" t="str">
        <f>'Year 4'!$E$3</f>
        <v>Year 4 (2023)</v>
      </c>
      <c r="K5" s="120" t="str">
        <f>'Year 5'!$E$3</f>
        <v>Year 5 (2024)</v>
      </c>
      <c r="L5" s="95"/>
    </row>
    <row r="6" spans="1:12" ht="16" x14ac:dyDescent="0.2">
      <c r="B6" s="112"/>
      <c r="C6" s="95"/>
      <c r="D6" s="95"/>
      <c r="E6" s="95"/>
      <c r="F6" s="95"/>
      <c r="G6" s="121"/>
      <c r="H6" s="122"/>
      <c r="I6" s="122"/>
      <c r="J6" s="122"/>
      <c r="K6" s="123"/>
      <c r="L6" s="95"/>
    </row>
    <row r="7" spans="1:12" ht="16" x14ac:dyDescent="0.2">
      <c r="A7" s="25"/>
      <c r="B7" s="112"/>
      <c r="C7" s="176" t="s">
        <v>253</v>
      </c>
      <c r="D7" s="177"/>
      <c r="E7" s="177"/>
      <c r="F7" s="177"/>
      <c r="G7" s="178">
        <f>'Year 1'!$T$12</f>
        <v>154200</v>
      </c>
      <c r="H7" s="179">
        <f>'Year 2'!$T$12</f>
        <v>200880</v>
      </c>
      <c r="I7" s="179">
        <f>'Year 3'!$T$12</f>
        <v>281280</v>
      </c>
      <c r="J7" s="179">
        <f>'Year 4'!$T$12</f>
        <v>393840</v>
      </c>
      <c r="K7" s="180">
        <f>'Year 5'!$T$12</f>
        <v>551520</v>
      </c>
      <c r="L7" s="95"/>
    </row>
    <row r="8" spans="1:12" ht="16" customHeight="1" x14ac:dyDescent="0.2">
      <c r="B8" s="112"/>
      <c r="C8" s="181"/>
      <c r="D8" s="182"/>
      <c r="E8" s="182"/>
      <c r="F8" s="182"/>
      <c r="G8" s="183"/>
      <c r="H8" s="184"/>
      <c r="I8" s="184"/>
      <c r="J8" s="184"/>
      <c r="K8" s="185"/>
      <c r="L8" s="95"/>
    </row>
    <row r="9" spans="1:12" ht="16" x14ac:dyDescent="0.2">
      <c r="B9" s="112"/>
      <c r="C9" s="181" t="s">
        <v>254</v>
      </c>
      <c r="D9" s="182"/>
      <c r="E9" s="182"/>
      <c r="F9" s="182"/>
      <c r="G9" s="186">
        <f>'Year 1'!$T$20</f>
        <v>2890</v>
      </c>
      <c r="H9" s="187">
        <f>'Year 2'!$T$20</f>
        <v>4530</v>
      </c>
      <c r="I9" s="187">
        <f>'Year 3'!$T$20</f>
        <v>7230</v>
      </c>
      <c r="J9" s="187">
        <f>'Year 4'!$T$20</f>
        <v>11500</v>
      </c>
      <c r="K9" s="188">
        <f>'Year 5'!$T$20</f>
        <v>18360</v>
      </c>
      <c r="L9" s="95"/>
    </row>
    <row r="10" spans="1:12" ht="16" x14ac:dyDescent="0.2">
      <c r="B10" s="112"/>
      <c r="C10" s="181"/>
      <c r="D10" s="182"/>
      <c r="E10" s="182"/>
      <c r="F10" s="182"/>
      <c r="G10" s="183"/>
      <c r="H10" s="184"/>
      <c r="I10" s="184"/>
      <c r="J10" s="184"/>
      <c r="K10" s="185"/>
      <c r="L10" s="95"/>
    </row>
    <row r="11" spans="1:12" ht="16" x14ac:dyDescent="0.2">
      <c r="B11" s="112"/>
      <c r="C11" s="181" t="s">
        <v>286</v>
      </c>
      <c r="D11" s="189"/>
      <c r="E11" s="182"/>
      <c r="F11" s="182"/>
      <c r="G11" s="186">
        <f>'Year 1'!$T$28</f>
        <v>93075</v>
      </c>
      <c r="H11" s="187">
        <f>'Year 2'!$T$28</f>
        <v>138690</v>
      </c>
      <c r="I11" s="187">
        <f>'Year 3'!$T$28</f>
        <v>222405</v>
      </c>
      <c r="J11" s="187">
        <f>'Year 4'!$T$28</f>
        <v>356475</v>
      </c>
      <c r="K11" s="188">
        <f>'Year 5'!$T$28</f>
        <v>570630</v>
      </c>
      <c r="L11" s="95"/>
    </row>
    <row r="12" spans="1:12" ht="16" x14ac:dyDescent="0.2">
      <c r="A12" s="25"/>
      <c r="B12" s="112"/>
      <c r="C12" s="181"/>
      <c r="D12" s="189"/>
      <c r="E12" s="182"/>
      <c r="F12" s="182"/>
      <c r="G12" s="183"/>
      <c r="H12" s="184"/>
      <c r="I12" s="184"/>
      <c r="J12" s="184"/>
      <c r="K12" s="185"/>
      <c r="L12" s="95"/>
    </row>
    <row r="13" spans="1:12" ht="16" x14ac:dyDescent="0.2">
      <c r="A13" s="25"/>
      <c r="B13" s="112"/>
      <c r="C13" s="190" t="s">
        <v>287</v>
      </c>
      <c r="D13" s="191"/>
      <c r="E13" s="191"/>
      <c r="F13" s="191"/>
      <c r="G13" s="192">
        <f>'Year 1'!$T$39</f>
        <v>5799</v>
      </c>
      <c r="H13" s="193">
        <f>'Year 2'!$T$39</f>
        <v>10200</v>
      </c>
      <c r="I13" s="193">
        <f>'Year 3'!$T$39</f>
        <v>10728</v>
      </c>
      <c r="J13" s="193">
        <f>'Year 4'!$T$39</f>
        <v>10728</v>
      </c>
      <c r="K13" s="194">
        <f>'Year 5'!$T$39</f>
        <v>10728</v>
      </c>
      <c r="L13" s="95"/>
    </row>
    <row r="14" spans="1:12" ht="17" thickBot="1" x14ac:dyDescent="0.25">
      <c r="A14" s="25"/>
      <c r="B14" s="112"/>
      <c r="G14" s="130"/>
      <c r="H14" s="131"/>
      <c r="I14" s="131"/>
      <c r="J14" s="131"/>
      <c r="K14" s="132"/>
      <c r="L14" s="95"/>
    </row>
    <row r="15" spans="1:12" ht="16.5" customHeight="1" thickTop="1" x14ac:dyDescent="0.2">
      <c r="A15" s="30"/>
      <c r="B15" s="236" t="s">
        <v>308</v>
      </c>
      <c r="C15" s="237"/>
      <c r="D15" s="238"/>
      <c r="E15" s="238"/>
      <c r="F15" s="238"/>
      <c r="G15" s="239">
        <f>'Year 1'!$T$41</f>
        <v>255964</v>
      </c>
      <c r="H15" s="240">
        <f>'Year 2'!$T$41</f>
        <v>354300</v>
      </c>
      <c r="I15" s="240">
        <f>'Year 3'!$T$41</f>
        <v>521643</v>
      </c>
      <c r="J15" s="240">
        <f>'Year 4'!$T$41</f>
        <v>772543</v>
      </c>
      <c r="K15" s="241">
        <f>'Year 5'!$T$41</f>
        <v>1151238</v>
      </c>
      <c r="L15" s="95"/>
    </row>
    <row r="16" spans="1:12" ht="16" x14ac:dyDescent="0.2">
      <c r="A16" s="25"/>
      <c r="B16" s="170" t="s">
        <v>6</v>
      </c>
      <c r="C16" s="102"/>
      <c r="D16" s="102"/>
      <c r="E16" s="102"/>
      <c r="F16" s="102"/>
      <c r="G16" s="235"/>
      <c r="H16" s="172">
        <f>(H15/G15)-1</f>
        <v>0.38417902517541536</v>
      </c>
      <c r="I16" s="172">
        <f t="shared" ref="I16:K16" si="0">(I15/H15)-1</f>
        <v>0.4723200677392041</v>
      </c>
      <c r="J16" s="172">
        <f t="shared" si="0"/>
        <v>0.48098028728459896</v>
      </c>
      <c r="K16" s="172">
        <f t="shared" si="0"/>
        <v>0.49019277891327739</v>
      </c>
      <c r="L16" s="96"/>
    </row>
    <row r="17" spans="1:12" ht="23" customHeight="1" thickBot="1" x14ac:dyDescent="0.3">
      <c r="A17" s="26"/>
      <c r="B17" s="112"/>
      <c r="G17" s="124"/>
      <c r="H17" s="125"/>
      <c r="I17" s="125"/>
      <c r="J17" s="125"/>
      <c r="K17" s="126"/>
      <c r="L17" s="95"/>
    </row>
    <row r="18" spans="1:12" ht="16.5" customHeight="1" thickTop="1" x14ac:dyDescent="0.2">
      <c r="A18" s="30"/>
      <c r="B18" s="164" t="s">
        <v>7</v>
      </c>
      <c r="C18" s="165"/>
      <c r="D18" s="166"/>
      <c r="E18" s="166"/>
      <c r="F18" s="166"/>
      <c r="G18" s="167">
        <f>'Year 1'!$T$50</f>
        <v>9714.3900000000012</v>
      </c>
      <c r="H18" s="168">
        <f>'Year 2'!$T$50</f>
        <v>13708.800000000003</v>
      </c>
      <c r="I18" s="168">
        <f>'Year 3'!$T$50</f>
        <v>20419.23</v>
      </c>
      <c r="J18" s="168">
        <f>'Year 4'!$T$50</f>
        <v>30627.629999999997</v>
      </c>
      <c r="K18" s="169">
        <f>'Year 5'!$T$50</f>
        <v>46271.579999999994</v>
      </c>
      <c r="L18" s="95"/>
    </row>
    <row r="19" spans="1:12" ht="12" customHeight="1" x14ac:dyDescent="0.2">
      <c r="A19" s="25"/>
      <c r="B19" s="170" t="s">
        <v>382</v>
      </c>
      <c r="C19" s="171"/>
      <c r="D19" s="171"/>
      <c r="E19" s="171"/>
      <c r="F19" s="171"/>
      <c r="G19" s="172">
        <f>G18/G$15</f>
        <v>3.795217296182276E-2</v>
      </c>
      <c r="H19" s="172">
        <f t="shared" ref="H19" si="1">H18/H$15</f>
        <v>3.869263336155801E-2</v>
      </c>
      <c r="I19" s="172">
        <f t="shared" ref="I19" si="2">I18/I$15</f>
        <v>3.9144069794859702E-2</v>
      </c>
      <c r="J19" s="172">
        <f t="shared" ref="J19" si="3">J18/J$15</f>
        <v>3.9645210687301542E-2</v>
      </c>
      <c r="K19" s="172">
        <f t="shared" ref="K19" si="4">K18/K$15</f>
        <v>4.0192888004044337E-2</v>
      </c>
      <c r="L19" s="98"/>
    </row>
    <row r="20" spans="1:12" ht="16.5" customHeight="1" thickBot="1" x14ac:dyDescent="0.25">
      <c r="A20" s="25"/>
      <c r="B20" s="170"/>
      <c r="C20" s="171"/>
      <c r="D20" s="171"/>
      <c r="E20" s="171"/>
      <c r="F20" s="171"/>
      <c r="G20" s="172"/>
      <c r="H20" s="173"/>
      <c r="I20" s="173"/>
      <c r="J20" s="173"/>
      <c r="K20" s="174"/>
      <c r="L20" s="95"/>
    </row>
    <row r="21" spans="1:12" ht="16.5" customHeight="1" thickTop="1" x14ac:dyDescent="0.2">
      <c r="A21" s="30"/>
      <c r="B21" s="164" t="s">
        <v>8</v>
      </c>
      <c r="C21" s="165"/>
      <c r="D21" s="166"/>
      <c r="E21" s="166"/>
      <c r="F21" s="166"/>
      <c r="G21" s="167">
        <f>G15-G18</f>
        <v>246249.61</v>
      </c>
      <c r="H21" s="168">
        <f>H15-H18</f>
        <v>340591.2</v>
      </c>
      <c r="I21" s="168">
        <f>I15-I18</f>
        <v>501223.77</v>
      </c>
      <c r="J21" s="168">
        <f>J15-J18</f>
        <v>741915.37</v>
      </c>
      <c r="K21" s="169">
        <f>K15-K18</f>
        <v>1104966.42</v>
      </c>
      <c r="L21" s="95"/>
    </row>
    <row r="22" spans="1:12" ht="12" customHeight="1" x14ac:dyDescent="0.2">
      <c r="A22" s="25"/>
      <c r="B22" s="170" t="s">
        <v>9</v>
      </c>
      <c r="C22" s="171"/>
      <c r="D22" s="171"/>
      <c r="E22" s="171"/>
      <c r="F22" s="171"/>
      <c r="G22" s="172">
        <f>G21/G$15</f>
        <v>0.96204782703817715</v>
      </c>
      <c r="H22" s="172">
        <f t="shared" ref="H22:K22" si="5">H21/H$15</f>
        <v>0.96130736663844207</v>
      </c>
      <c r="I22" s="172">
        <f t="shared" si="5"/>
        <v>0.96085593020514037</v>
      </c>
      <c r="J22" s="172">
        <f t="shared" si="5"/>
        <v>0.96035478931269846</v>
      </c>
      <c r="K22" s="172">
        <f t="shared" si="5"/>
        <v>0.95980711199595559</v>
      </c>
      <c r="L22" s="98"/>
    </row>
    <row r="23" spans="1:12" ht="16" x14ac:dyDescent="0.2">
      <c r="B23" s="112"/>
      <c r="G23" s="133"/>
      <c r="H23" s="134"/>
      <c r="I23" s="134"/>
      <c r="J23" s="134"/>
      <c r="K23" s="135"/>
      <c r="L23" s="95"/>
    </row>
    <row r="24" spans="1:12" ht="16" x14ac:dyDescent="0.2">
      <c r="B24" s="175" t="s">
        <v>10</v>
      </c>
      <c r="G24" s="133"/>
      <c r="H24" s="134"/>
      <c r="I24" s="134"/>
      <c r="J24" s="134"/>
      <c r="K24" s="242"/>
      <c r="L24" s="95"/>
    </row>
    <row r="25" spans="1:12" ht="15.75" customHeight="1" x14ac:dyDescent="0.2">
      <c r="A25" s="25"/>
      <c r="B25" s="112"/>
      <c r="C25" s="195" t="str">
        <f>'Year 1'!C56</f>
        <v>Commission on Product Revenue</v>
      </c>
      <c r="D25" s="196"/>
      <c r="E25" s="196"/>
      <c r="F25" s="196"/>
      <c r="G25" s="197">
        <f>'Year 1'!$T$56</f>
        <v>4626</v>
      </c>
      <c r="H25" s="198">
        <f>'Year 2'!$T$56</f>
        <v>6026.4000000000005</v>
      </c>
      <c r="I25" s="198">
        <f>'Year 3'!$T$56</f>
        <v>8438.3999999999978</v>
      </c>
      <c r="J25" s="198">
        <f>'Year 4'!$T$56</f>
        <v>11815.2</v>
      </c>
      <c r="K25" s="199">
        <f>'Year 5'!$T$56</f>
        <v>16545.599999999999</v>
      </c>
      <c r="L25" s="95"/>
    </row>
    <row r="26" spans="1:12" ht="16" x14ac:dyDescent="0.2">
      <c r="A26" s="31"/>
      <c r="B26" s="112"/>
      <c r="C26" s="200" t="str">
        <f>'Year 1'!C57</f>
        <v>Commission on Service Revenue</v>
      </c>
      <c r="D26" s="201"/>
      <c r="E26" s="201"/>
      <c r="F26" s="201"/>
      <c r="G26" s="183">
        <f>'Year 1'!$T$57</f>
        <v>57.800000000000004</v>
      </c>
      <c r="H26" s="184">
        <f>'Year 2'!$T$57</f>
        <v>90.6</v>
      </c>
      <c r="I26" s="184">
        <f>'Year 3'!$T$57</f>
        <v>144.6</v>
      </c>
      <c r="J26" s="184">
        <f>'Year 4'!$T$57</f>
        <v>229.99999999999997</v>
      </c>
      <c r="K26" s="185">
        <f>'Year 5'!$T$57</f>
        <v>367.20000000000005</v>
      </c>
      <c r="L26" s="95"/>
    </row>
    <row r="27" spans="1:12" ht="16" x14ac:dyDescent="0.2">
      <c r="A27" s="25"/>
      <c r="B27" s="112"/>
      <c r="C27" s="200" t="str">
        <f>'Year 1'!C58</f>
        <v>Commission on Billable Hours Revenue</v>
      </c>
      <c r="D27" s="182"/>
      <c r="E27" s="182"/>
      <c r="F27" s="182"/>
      <c r="G27" s="183">
        <f>'Year 1'!$T$58</f>
        <v>930.75</v>
      </c>
      <c r="H27" s="184">
        <f>'Year 2'!$T$58</f>
        <v>1386.9</v>
      </c>
      <c r="I27" s="184">
        <f>'Year 3'!$T$58</f>
        <v>2224.0500000000002</v>
      </c>
      <c r="J27" s="184">
        <f>'Year 4'!$T$58</f>
        <v>3564.75</v>
      </c>
      <c r="K27" s="185">
        <f>'Year 5'!$T$58</f>
        <v>5706.3</v>
      </c>
      <c r="L27" s="95"/>
    </row>
    <row r="28" spans="1:12" ht="17" thickBot="1" x14ac:dyDescent="0.25">
      <c r="A28" s="25"/>
      <c r="B28" s="112"/>
      <c r="C28" s="200" t="str">
        <f>'Year 1'!C59</f>
        <v>Commission on Subscription Revenue</v>
      </c>
      <c r="D28" s="182"/>
      <c r="E28" s="182"/>
      <c r="F28" s="182"/>
      <c r="G28" s="183">
        <f>'Year 1'!$T$59</f>
        <v>231.95999999999998</v>
      </c>
      <c r="H28" s="184">
        <f>'Year 2'!$T$59</f>
        <v>407.99999999999994</v>
      </c>
      <c r="I28" s="184">
        <f>'Year 3'!$T$59</f>
        <v>429.11999999999995</v>
      </c>
      <c r="J28" s="184">
        <f>'Year 4'!$T$59</f>
        <v>429.11999999999995</v>
      </c>
      <c r="K28" s="185">
        <f>'Year 5'!$T$59</f>
        <v>429.11999999999995</v>
      </c>
      <c r="L28" s="95"/>
    </row>
    <row r="29" spans="1:12" ht="17" thickTop="1" x14ac:dyDescent="0.2">
      <c r="A29" s="25"/>
      <c r="B29" s="112"/>
      <c r="C29" s="202" t="s">
        <v>27</v>
      </c>
      <c r="D29" s="203"/>
      <c r="E29" s="203"/>
      <c r="F29" s="203"/>
      <c r="G29" s="204">
        <f>'Year 1'!$T$60</f>
        <v>5846.51</v>
      </c>
      <c r="H29" s="205">
        <f>'Year 2'!$T$60</f>
        <v>7911.9</v>
      </c>
      <c r="I29" s="205">
        <f>'Year 3'!$T$60</f>
        <v>11236.169999999998</v>
      </c>
      <c r="J29" s="205">
        <f>'Year 4'!$T$60</f>
        <v>16039.07</v>
      </c>
      <c r="K29" s="206">
        <f>'Year 5'!$T$60</f>
        <v>23048.22</v>
      </c>
      <c r="L29" s="95"/>
    </row>
    <row r="30" spans="1:12" ht="16" x14ac:dyDescent="0.2">
      <c r="A30" s="25"/>
      <c r="B30" s="112"/>
      <c r="C30" s="200" t="s">
        <v>322</v>
      </c>
      <c r="D30" s="182"/>
      <c r="E30" s="182"/>
      <c r="F30" s="182"/>
      <c r="G30" s="207">
        <f>'Year 1'!$T$63</f>
        <v>3084.0000000000005</v>
      </c>
      <c r="H30" s="208">
        <f>'Year 2'!$T$63</f>
        <v>4017.6</v>
      </c>
      <c r="I30" s="208">
        <f>'Year 3'!$T$63</f>
        <v>5625.6</v>
      </c>
      <c r="J30" s="208">
        <f>'Year 4'!$T$63</f>
        <v>7876.8000000000011</v>
      </c>
      <c r="K30" s="209">
        <f>'Year 5'!$T$63</f>
        <v>11030.4</v>
      </c>
      <c r="L30" s="95"/>
    </row>
    <row r="31" spans="1:12" ht="16" x14ac:dyDescent="0.2">
      <c r="A31" s="25"/>
      <c r="B31" s="112"/>
      <c r="C31" s="200" t="s">
        <v>323</v>
      </c>
      <c r="D31" s="182"/>
      <c r="E31" s="182"/>
      <c r="F31" s="182"/>
      <c r="G31" s="207">
        <f>'Year 1'!$T$64</f>
        <v>0</v>
      </c>
      <c r="H31" s="208">
        <f>'Year 2'!$T$64</f>
        <v>0</v>
      </c>
      <c r="I31" s="208">
        <f>'Year 3'!$T$64</f>
        <v>0</v>
      </c>
      <c r="J31" s="208">
        <f>'Year 4'!$T$64</f>
        <v>0</v>
      </c>
      <c r="K31" s="209">
        <f>'Year 5'!$T$64</f>
        <v>0</v>
      </c>
      <c r="L31" s="95"/>
    </row>
    <row r="32" spans="1:12" ht="16" x14ac:dyDescent="0.2">
      <c r="A32" s="25"/>
      <c r="B32" s="112"/>
      <c r="C32" s="200" t="s">
        <v>324</v>
      </c>
      <c r="D32" s="182"/>
      <c r="E32" s="182"/>
      <c r="F32" s="182"/>
      <c r="G32" s="207">
        <f>'Year 1'!$T$65</f>
        <v>27922.5</v>
      </c>
      <c r="H32" s="208">
        <f>'Year 2'!$T$65</f>
        <v>41607</v>
      </c>
      <c r="I32" s="208">
        <f>'Year 3'!$T$65</f>
        <v>66721.5</v>
      </c>
      <c r="J32" s="208">
        <f>'Year 4'!$T$65</f>
        <v>106942.5</v>
      </c>
      <c r="K32" s="209">
        <f>'Year 5'!$T$65</f>
        <v>171189</v>
      </c>
      <c r="L32" s="95"/>
    </row>
    <row r="33" spans="1:12" ht="17" thickBot="1" x14ac:dyDescent="0.25">
      <c r="A33" s="25"/>
      <c r="B33" s="112"/>
      <c r="C33" s="200" t="s">
        <v>325</v>
      </c>
      <c r="D33" s="182"/>
      <c r="E33" s="182"/>
      <c r="F33" s="182"/>
      <c r="G33" s="207">
        <f>'Year 1'!$T$66</f>
        <v>446.39999999999992</v>
      </c>
      <c r="H33" s="208">
        <f>'Year 2'!$T$66</f>
        <v>669.59999999999991</v>
      </c>
      <c r="I33" s="208">
        <f>'Year 3'!$T$66</f>
        <v>669.59999999999991</v>
      </c>
      <c r="J33" s="208">
        <f>'Year 4'!$T$66</f>
        <v>669.59999999999991</v>
      </c>
      <c r="K33" s="209">
        <f>'Year 5'!$T$66</f>
        <v>669.59999999999991</v>
      </c>
      <c r="L33" s="95"/>
    </row>
    <row r="34" spans="1:12" ht="17" thickTop="1" x14ac:dyDescent="0.2">
      <c r="A34" s="25"/>
      <c r="B34" s="112"/>
      <c r="C34" s="202" t="s">
        <v>209</v>
      </c>
      <c r="D34" s="203"/>
      <c r="E34" s="203"/>
      <c r="F34" s="203"/>
      <c r="G34" s="204">
        <f>'Year 1'!$T$67</f>
        <v>31452.899999999998</v>
      </c>
      <c r="H34" s="205">
        <f>'Year 2'!$T$67</f>
        <v>46294.2</v>
      </c>
      <c r="I34" s="205">
        <f>'Year 3'!$T$67</f>
        <v>73016.7</v>
      </c>
      <c r="J34" s="205">
        <f>'Year 4'!$T$67</f>
        <v>115488.89999999998</v>
      </c>
      <c r="K34" s="206">
        <f>'Year 5'!$T$67</f>
        <v>182888.99999999997</v>
      </c>
      <c r="L34" s="95"/>
    </row>
    <row r="35" spans="1:12" ht="16" x14ac:dyDescent="0.2">
      <c r="A35" s="25"/>
      <c r="B35" s="112"/>
      <c r="C35" s="200" t="s">
        <v>326</v>
      </c>
      <c r="D35" s="182"/>
      <c r="E35" s="182"/>
      <c r="F35" s="182"/>
      <c r="G35" s="207">
        <f>'Year 1'!$T$70</f>
        <v>2100</v>
      </c>
      <c r="H35" s="208">
        <f>'Year 2'!$T$70</f>
        <v>0</v>
      </c>
      <c r="I35" s="208">
        <f>'Year 3'!$T$70</f>
        <v>0</v>
      </c>
      <c r="J35" s="208">
        <f>'Year 4'!$T$70</f>
        <v>0</v>
      </c>
      <c r="K35" s="209">
        <f>'Year 5'!$T$70</f>
        <v>0</v>
      </c>
      <c r="L35" s="95"/>
    </row>
    <row r="36" spans="1:12" ht="16" x14ac:dyDescent="0.2">
      <c r="A36" s="25"/>
      <c r="B36" s="112"/>
      <c r="C36" s="200" t="s">
        <v>327</v>
      </c>
      <c r="D36" s="182"/>
      <c r="E36" s="182"/>
      <c r="F36" s="182"/>
      <c r="G36" s="207">
        <f>'Year 1'!$T$71</f>
        <v>450</v>
      </c>
      <c r="H36" s="208">
        <f>'Year 2'!$T$71</f>
        <v>0</v>
      </c>
      <c r="I36" s="208">
        <f>'Year 3'!$T$71</f>
        <v>0</v>
      </c>
      <c r="J36" s="208">
        <f>'Year 4'!$T$71</f>
        <v>0</v>
      </c>
      <c r="K36" s="209">
        <f>'Year 5'!$T$71</f>
        <v>0</v>
      </c>
      <c r="L36" s="95"/>
    </row>
    <row r="37" spans="1:12" ht="16" x14ac:dyDescent="0.2">
      <c r="A37" s="25"/>
      <c r="B37" s="112"/>
      <c r="C37" s="200" t="s">
        <v>328</v>
      </c>
      <c r="D37" s="182"/>
      <c r="E37" s="182"/>
      <c r="F37" s="182"/>
      <c r="G37" s="207">
        <f>'Year 1'!$T$72</f>
        <v>180</v>
      </c>
      <c r="H37" s="208">
        <f>'Year 2'!$T$72</f>
        <v>240</v>
      </c>
      <c r="I37" s="208">
        <f>'Year 3'!$T$72</f>
        <v>240</v>
      </c>
      <c r="J37" s="208">
        <f>'Year 4'!$T$72</f>
        <v>180</v>
      </c>
      <c r="K37" s="209">
        <f>'Year 5'!$T$72</f>
        <v>0</v>
      </c>
      <c r="L37" s="95"/>
    </row>
    <row r="38" spans="1:12" ht="17" thickBot="1" x14ac:dyDescent="0.25">
      <c r="A38" s="25"/>
      <c r="B38" s="112"/>
      <c r="C38" s="200" t="s">
        <v>329</v>
      </c>
      <c r="D38" s="182"/>
      <c r="E38" s="182"/>
      <c r="F38" s="182"/>
      <c r="G38" s="207">
        <f>'Year 1'!$T$73</f>
        <v>4000</v>
      </c>
      <c r="H38" s="208">
        <f>'Year 2'!$T$73</f>
        <v>4800</v>
      </c>
      <c r="I38" s="208">
        <f>'Year 3'!$T$73</f>
        <v>1200</v>
      </c>
      <c r="J38" s="208">
        <f>'Year 4'!$T$73</f>
        <v>0</v>
      </c>
      <c r="K38" s="209">
        <f>'Year 5'!$T$73</f>
        <v>0</v>
      </c>
      <c r="L38" s="95"/>
    </row>
    <row r="39" spans="1:12" ht="17" thickTop="1" x14ac:dyDescent="0.2">
      <c r="A39" s="25"/>
      <c r="B39" s="112"/>
      <c r="C39" s="202" t="s">
        <v>277</v>
      </c>
      <c r="D39" s="203"/>
      <c r="E39" s="203"/>
      <c r="F39" s="203"/>
      <c r="G39" s="204">
        <f>'Year 1'!$T$74</f>
        <v>6730</v>
      </c>
      <c r="H39" s="205">
        <f>'Year 2'!$T$74</f>
        <v>5040</v>
      </c>
      <c r="I39" s="205">
        <f>'Year 3'!$T$74</f>
        <v>1440</v>
      </c>
      <c r="J39" s="205">
        <f>'Year 4'!$T$74</f>
        <v>180</v>
      </c>
      <c r="K39" s="206">
        <f>'Year 5'!$T$74</f>
        <v>0</v>
      </c>
      <c r="L39" s="95"/>
    </row>
    <row r="40" spans="1:12" ht="16" x14ac:dyDescent="0.2">
      <c r="A40" s="25"/>
      <c r="B40" s="112"/>
      <c r="C40" s="200" t="s">
        <v>26</v>
      </c>
      <c r="D40" s="182"/>
      <c r="E40" s="182"/>
      <c r="F40" s="182"/>
      <c r="G40" s="207">
        <f>'Year 1'!$T$77</f>
        <v>8702.7760000000017</v>
      </c>
      <c r="H40" s="208">
        <f>'Year 2'!$T$77</f>
        <v>0</v>
      </c>
      <c r="I40" s="208">
        <f>'Year 3'!$T$77</f>
        <v>0</v>
      </c>
      <c r="J40" s="208">
        <f>'Year 4'!$T$77</f>
        <v>0</v>
      </c>
      <c r="K40" s="209">
        <f>'Year 5'!$T$77</f>
        <v>0</v>
      </c>
      <c r="L40" s="95"/>
    </row>
    <row r="41" spans="1:12" ht="17" thickBot="1" x14ac:dyDescent="0.25">
      <c r="A41" s="25"/>
      <c r="B41" s="112"/>
      <c r="C41" s="210" t="s">
        <v>27</v>
      </c>
      <c r="D41" s="211"/>
      <c r="E41" s="211"/>
      <c r="F41" s="211"/>
      <c r="G41" s="212">
        <f>'Year 1'!$T$78</f>
        <v>12798.199999999997</v>
      </c>
      <c r="H41" s="213">
        <f>'Year 2'!$T$78</f>
        <v>0</v>
      </c>
      <c r="I41" s="213">
        <f>'Year 3'!$T$78</f>
        <v>0</v>
      </c>
      <c r="J41" s="213">
        <f>'Year 4'!$T$78</f>
        <v>0</v>
      </c>
      <c r="K41" s="214">
        <f>'Year 5'!$T$78</f>
        <v>0</v>
      </c>
      <c r="L41" s="95"/>
    </row>
    <row r="42" spans="1:12" ht="17" thickTop="1" x14ac:dyDescent="0.2">
      <c r="A42" s="25"/>
      <c r="B42" s="112"/>
      <c r="C42" s="202" t="s">
        <v>24</v>
      </c>
      <c r="D42" s="203"/>
      <c r="E42" s="203"/>
      <c r="F42" s="203"/>
      <c r="G42" s="204">
        <f>'Year 1'!$T$79</f>
        <v>21500.976000000002</v>
      </c>
      <c r="H42" s="205">
        <f>'Year 2'!$T$79</f>
        <v>29761.200000000001</v>
      </c>
      <c r="I42" s="205">
        <f>'Year 3'!$T$79</f>
        <v>43818.012000000002</v>
      </c>
      <c r="J42" s="205">
        <f>'Year 4'!$T$79</f>
        <v>64893.612000000008</v>
      </c>
      <c r="K42" s="206">
        <f>'Year 5'!$T$79</f>
        <v>96703.992000000013</v>
      </c>
      <c r="L42" s="95"/>
    </row>
    <row r="43" spans="1:12" ht="15.75" customHeight="1" thickBot="1" x14ac:dyDescent="0.25">
      <c r="A43" s="27"/>
      <c r="B43" s="112"/>
      <c r="G43" s="133"/>
      <c r="H43" s="134"/>
      <c r="I43" s="134"/>
      <c r="J43" s="134"/>
      <c r="K43" s="135"/>
      <c r="L43" s="95"/>
    </row>
    <row r="44" spans="1:12" ht="16.5" customHeight="1" thickTop="1" x14ac:dyDescent="0.2">
      <c r="A44" s="30"/>
      <c r="B44" s="164" t="s">
        <v>383</v>
      </c>
      <c r="C44" s="165"/>
      <c r="D44" s="166"/>
      <c r="E44" s="166"/>
      <c r="F44" s="166"/>
      <c r="G44" s="167">
        <f>'Year 1'!$T$81</f>
        <v>65530.385999999999</v>
      </c>
      <c r="H44" s="168">
        <f>'Year 2'!$T$81</f>
        <v>89007.299999999988</v>
      </c>
      <c r="I44" s="168">
        <f>'Year 3'!$T$81</f>
        <v>129510.882</v>
      </c>
      <c r="J44" s="168">
        <f>'Year 4'!$T$81</f>
        <v>196601.58199999999</v>
      </c>
      <c r="K44" s="169">
        <f>'Year 5'!$T$81</f>
        <v>302641.212</v>
      </c>
      <c r="L44" s="95"/>
    </row>
    <row r="45" spans="1:12" ht="12" customHeight="1" x14ac:dyDescent="0.2">
      <c r="A45" s="25"/>
      <c r="B45" s="170" t="s">
        <v>382</v>
      </c>
      <c r="C45" s="171"/>
      <c r="D45" s="171"/>
      <c r="E45" s="171"/>
      <c r="F45" s="171"/>
      <c r="G45" s="172">
        <f>G44/G$15</f>
        <v>0.25601407229141598</v>
      </c>
      <c r="H45" s="172">
        <f t="shared" ref="H45" si="6">H44/H$15</f>
        <v>0.25122015241320911</v>
      </c>
      <c r="I45" s="172">
        <f t="shared" ref="I45" si="7">I44/I$15</f>
        <v>0.24827493515680263</v>
      </c>
      <c r="J45" s="172">
        <f t="shared" ref="J45" si="8">J44/J$15</f>
        <v>0.25448626419500275</v>
      </c>
      <c r="K45" s="172">
        <f t="shared" ref="K45" si="9">K44/K$15</f>
        <v>0.26288327174745796</v>
      </c>
      <c r="L45" s="98"/>
    </row>
    <row r="46" spans="1:12" ht="16" x14ac:dyDescent="0.2">
      <c r="A46" s="25"/>
      <c r="B46" s="170"/>
      <c r="C46" s="171"/>
      <c r="D46" s="171"/>
      <c r="E46" s="171"/>
      <c r="F46" s="171"/>
      <c r="G46" s="172"/>
      <c r="H46" s="173"/>
      <c r="I46" s="173"/>
      <c r="J46" s="173"/>
      <c r="K46" s="174"/>
      <c r="L46" s="95"/>
    </row>
    <row r="47" spans="1:12" ht="16" x14ac:dyDescent="0.2">
      <c r="A47" s="25"/>
      <c r="B47" s="175" t="s">
        <v>364</v>
      </c>
      <c r="C47" s="171"/>
      <c r="D47" s="171"/>
      <c r="E47" s="171"/>
      <c r="F47" s="171"/>
      <c r="G47" s="172"/>
      <c r="H47" s="173"/>
      <c r="I47" s="173"/>
      <c r="J47" s="173"/>
      <c r="K47" s="174"/>
      <c r="L47" s="95"/>
    </row>
    <row r="48" spans="1:12" ht="16" x14ac:dyDescent="0.2">
      <c r="B48" s="112"/>
      <c r="C48" s="195" t="s">
        <v>15</v>
      </c>
      <c r="D48" s="196"/>
      <c r="E48" s="196"/>
      <c r="F48" s="196"/>
      <c r="G48" s="215">
        <f>'Year 1'!$F$96+'Year 1'!$D$101</f>
        <v>9</v>
      </c>
      <c r="H48" s="216">
        <f>'Year 2'!$F$96+'Year 2'!$D$101</f>
        <v>9</v>
      </c>
      <c r="I48" s="216">
        <f>'Year 3'!$F$96+'Year 3'!$D$101</f>
        <v>9</v>
      </c>
      <c r="J48" s="216">
        <f>'Year 4'!$F$96+'Year 4'!$D$101</f>
        <v>9</v>
      </c>
      <c r="K48" s="217">
        <f>'Year 5'!$F$96+'Year 5'!$D$101</f>
        <v>9</v>
      </c>
      <c r="L48" s="95"/>
    </row>
    <row r="49" spans="1:12" ht="16" x14ac:dyDescent="0.2">
      <c r="B49" s="112"/>
      <c r="C49" s="200" t="s">
        <v>223</v>
      </c>
      <c r="D49" s="201"/>
      <c r="E49" s="201"/>
      <c r="F49" s="201"/>
      <c r="G49" s="207">
        <f>'Year 1'!$T$102</f>
        <v>294720</v>
      </c>
      <c r="H49" s="208">
        <f>'Year 2'!$T$102</f>
        <v>303168</v>
      </c>
      <c r="I49" s="208">
        <f>'Year 3'!$T$102</f>
        <v>312015.35999999999</v>
      </c>
      <c r="J49" s="208">
        <f>'Year 4'!$T$102</f>
        <v>321281.58720000001</v>
      </c>
      <c r="K49" s="218">
        <f>'Year 5'!$T$102</f>
        <v>330987.15494400001</v>
      </c>
      <c r="L49" s="95"/>
    </row>
    <row r="50" spans="1:12" ht="16" x14ac:dyDescent="0.2">
      <c r="B50" s="112"/>
      <c r="C50" s="219" t="s">
        <v>232</v>
      </c>
      <c r="D50" s="220"/>
      <c r="E50" s="220"/>
      <c r="F50" s="220"/>
      <c r="G50" s="221">
        <f>'Year 1'!$T$113</f>
        <v>99311.039999999994</v>
      </c>
      <c r="H50" s="222">
        <f>'Year 2'!$T$113</f>
        <v>99898.175999999992</v>
      </c>
      <c r="I50" s="222">
        <f>'Year 3'!$T$113</f>
        <v>100513.06751999998</v>
      </c>
      <c r="J50" s="222">
        <f>'Year 4'!$T$113</f>
        <v>101157.0703104</v>
      </c>
      <c r="K50" s="223">
        <f>'Year 5'!$T$113</f>
        <v>101831.60726860802</v>
      </c>
      <c r="L50" s="95"/>
    </row>
    <row r="51" spans="1:12" ht="17" thickBot="1" x14ac:dyDescent="0.25">
      <c r="B51" s="112"/>
      <c r="C51" s="99"/>
      <c r="D51" s="99"/>
      <c r="E51" s="99"/>
      <c r="F51" s="99"/>
      <c r="G51" s="139"/>
      <c r="H51" s="140"/>
      <c r="I51" s="140"/>
      <c r="J51" s="140"/>
      <c r="K51" s="141"/>
      <c r="L51" s="95"/>
    </row>
    <row r="52" spans="1:12" ht="16.5" customHeight="1" thickTop="1" x14ac:dyDescent="0.2">
      <c r="A52" s="30"/>
      <c r="B52" s="164" t="s">
        <v>364</v>
      </c>
      <c r="C52" s="165"/>
      <c r="D52" s="166"/>
      <c r="E52" s="166"/>
      <c r="F52" s="166"/>
      <c r="G52" s="167">
        <f>'Year 1'!$T$115</f>
        <v>394031.03999999986</v>
      </c>
      <c r="H52" s="168">
        <f>'Year 2'!$T$115</f>
        <v>403066.17599999998</v>
      </c>
      <c r="I52" s="168">
        <f>'Year 3'!$T$115</f>
        <v>412528.42751999997</v>
      </c>
      <c r="J52" s="168">
        <f>'Year 4'!$T$115</f>
        <v>422438.65751040011</v>
      </c>
      <c r="K52" s="169">
        <f>'Year 5'!$T$115</f>
        <v>432818.76221260795</v>
      </c>
      <c r="L52" s="95"/>
    </row>
    <row r="53" spans="1:12" ht="12" customHeight="1" x14ac:dyDescent="0.2">
      <c r="A53" s="25"/>
      <c r="B53" s="170" t="s">
        <v>382</v>
      </c>
      <c r="C53" s="171"/>
      <c r="D53" s="171"/>
      <c r="E53" s="171"/>
      <c r="F53" s="171"/>
      <c r="G53" s="172">
        <f>G52/G$15</f>
        <v>1.539400228157084</v>
      </c>
      <c r="H53" s="172">
        <f t="shared" ref="H53" si="10">H52/H$15</f>
        <v>1.1376409144792548</v>
      </c>
      <c r="I53" s="172">
        <f t="shared" ref="I53" si="11">I52/I$15</f>
        <v>0.79082519562229336</v>
      </c>
      <c r="J53" s="172">
        <f t="shared" ref="J53" si="12">J52/J$15</f>
        <v>0.54681572095067865</v>
      </c>
      <c r="K53" s="172">
        <f t="shared" ref="K53" si="13">K52/K$15</f>
        <v>0.3759594125737753</v>
      </c>
      <c r="L53" s="98"/>
    </row>
    <row r="54" spans="1:12" ht="17" thickBot="1" x14ac:dyDescent="0.25">
      <c r="A54" s="25"/>
      <c r="B54" s="113"/>
      <c r="C54" s="100"/>
      <c r="D54" s="100"/>
      <c r="E54" s="100"/>
      <c r="F54" s="100"/>
      <c r="G54" s="136"/>
      <c r="H54" s="137"/>
      <c r="I54" s="137"/>
      <c r="J54" s="137"/>
      <c r="K54" s="138"/>
      <c r="L54" s="95"/>
    </row>
    <row r="55" spans="1:12" ht="16.5" customHeight="1" thickTop="1" x14ac:dyDescent="0.2">
      <c r="A55" s="30"/>
      <c r="B55" s="164" t="s">
        <v>17</v>
      </c>
      <c r="C55" s="165"/>
      <c r="D55" s="166"/>
      <c r="E55" s="166"/>
      <c r="F55" s="166"/>
      <c r="G55" s="167">
        <f>'Year 1'!$T$141</f>
        <v>64680</v>
      </c>
      <c r="H55" s="168">
        <f>'Year 2'!$T$141</f>
        <v>64680</v>
      </c>
      <c r="I55" s="168">
        <f>'Year 3'!$T$141</f>
        <v>64680</v>
      </c>
      <c r="J55" s="168">
        <f>'Year 4'!$T$141</f>
        <v>64680</v>
      </c>
      <c r="K55" s="169">
        <f>'Year 5'!$T$141</f>
        <v>64680</v>
      </c>
      <c r="L55" s="95"/>
    </row>
    <row r="56" spans="1:12" ht="12" customHeight="1" x14ac:dyDescent="0.2">
      <c r="A56" s="25"/>
      <c r="B56" s="170" t="s">
        <v>382</v>
      </c>
      <c r="C56" s="171"/>
      <c r="D56" s="171"/>
      <c r="E56" s="171"/>
      <c r="F56" s="171"/>
      <c r="G56" s="172">
        <f>G55/G$15</f>
        <v>0.25269178478223503</v>
      </c>
      <c r="H56" s="172">
        <f t="shared" ref="H56" si="14">H55/H$15</f>
        <v>0.18255715495342931</v>
      </c>
      <c r="I56" s="172">
        <f t="shared" ref="I56" si="15">I55/I$15</f>
        <v>0.12399284568181687</v>
      </c>
      <c r="J56" s="172">
        <f t="shared" ref="J56" si="16">J55/J$15</f>
        <v>8.372349500286716E-2</v>
      </c>
      <c r="K56" s="172">
        <f t="shared" ref="K56" si="17">K55/K$15</f>
        <v>5.6182996044258443E-2</v>
      </c>
      <c r="L56" s="98"/>
    </row>
    <row r="57" spans="1:12" ht="17" thickBot="1" x14ac:dyDescent="0.25">
      <c r="B57" s="113"/>
      <c r="C57" s="100"/>
      <c r="D57" s="100"/>
      <c r="E57" s="100"/>
      <c r="F57" s="100"/>
      <c r="G57" s="142"/>
      <c r="H57" s="143"/>
      <c r="I57" s="143"/>
      <c r="J57" s="143"/>
      <c r="K57" s="144"/>
      <c r="L57" s="95"/>
    </row>
    <row r="58" spans="1:12" ht="16.5" customHeight="1" thickTop="1" x14ac:dyDescent="0.2">
      <c r="A58" s="30"/>
      <c r="B58" s="164" t="s">
        <v>18</v>
      </c>
      <c r="C58" s="165"/>
      <c r="D58" s="166"/>
      <c r="E58" s="166"/>
      <c r="F58" s="166"/>
      <c r="G58" s="167">
        <f>'Year 1'!$T$152</f>
        <v>-277991.81599999999</v>
      </c>
      <c r="H58" s="168">
        <f>'Year 2'!$T$152</f>
        <v>-216162.27599999998</v>
      </c>
      <c r="I58" s="168">
        <f>'Year 3'!$T$152</f>
        <v>-105495.53952000001</v>
      </c>
      <c r="J58" s="168">
        <f>'Year 4'!$T$152</f>
        <v>58195.130489599971</v>
      </c>
      <c r="K58" s="169">
        <f>'Year 5'!$T$152</f>
        <v>304826.44578739197</v>
      </c>
      <c r="L58" s="95"/>
    </row>
    <row r="59" spans="1:12" ht="12" customHeight="1" x14ac:dyDescent="0.2">
      <c r="A59" s="25"/>
      <c r="B59" s="170" t="s">
        <v>382</v>
      </c>
      <c r="C59" s="171"/>
      <c r="D59" s="171"/>
      <c r="E59" s="171"/>
      <c r="F59" s="171"/>
      <c r="G59" s="172">
        <f>G58/G$15</f>
        <v>-1.0860582581925582</v>
      </c>
      <c r="H59" s="172">
        <f t="shared" ref="H59" si="18">H58/H$15</f>
        <v>-0.61011085520745123</v>
      </c>
      <c r="I59" s="172">
        <f t="shared" ref="I59" si="19">I58/I$15</f>
        <v>-0.20223704625577263</v>
      </c>
      <c r="J59" s="172">
        <f t="shared" ref="J59" si="20">J58/J$15</f>
        <v>7.5329309164150052E-2</v>
      </c>
      <c r="K59" s="172">
        <f t="shared" ref="K59" si="21">K58/K$15</f>
        <v>0.26478143163046386</v>
      </c>
      <c r="L59" s="98"/>
    </row>
    <row r="60" spans="1:12" ht="16" x14ac:dyDescent="0.2">
      <c r="B60" s="170"/>
      <c r="C60" s="171"/>
      <c r="D60" s="171"/>
      <c r="E60" s="171"/>
      <c r="F60" s="171"/>
      <c r="G60" s="172"/>
      <c r="H60" s="173"/>
      <c r="I60" s="173"/>
      <c r="J60" s="173"/>
      <c r="K60" s="174"/>
      <c r="L60" s="95"/>
    </row>
    <row r="61" spans="1:12" ht="16" x14ac:dyDescent="0.2">
      <c r="B61" s="112"/>
      <c r="C61" s="195" t="s">
        <v>19</v>
      </c>
      <c r="D61" s="196"/>
      <c r="E61" s="196"/>
      <c r="F61" s="196"/>
      <c r="G61" s="224">
        <f>IF((G58/G21)&lt;0,0,(G58/G21))</f>
        <v>0</v>
      </c>
      <c r="H61" s="224">
        <f>IF((H58/H21)&lt;0,0,(H58/H21))</f>
        <v>0</v>
      </c>
      <c r="I61" s="224">
        <f>IF((I58/I21)&lt;0,0,(I58/I21))</f>
        <v>0</v>
      </c>
      <c r="J61" s="224">
        <f>IF((J58/J21)&lt;0,0,(J58/J21))</f>
        <v>7.8439041490136502E-2</v>
      </c>
      <c r="K61" s="224">
        <f>IF((K58/K21)&lt;0,0,(K58/K21))</f>
        <v>0.27586942034617851</v>
      </c>
      <c r="L61" s="101"/>
    </row>
    <row r="62" spans="1:12" ht="16" x14ac:dyDescent="0.2">
      <c r="B62" s="112"/>
      <c r="C62" s="200" t="s">
        <v>20</v>
      </c>
      <c r="D62" s="201"/>
      <c r="E62" s="201"/>
      <c r="F62" s="201"/>
      <c r="G62" s="225">
        <f>IF(G58/G15&lt;0,0,G58/G15)</f>
        <v>0</v>
      </c>
      <c r="H62" s="226">
        <f>IF(H58/H15&lt;0,0,H58/H15)</f>
        <v>0</v>
      </c>
      <c r="I62" s="226">
        <f>IF(I58/I15&lt;0,0,I58/I15)</f>
        <v>0</v>
      </c>
      <c r="J62" s="226">
        <f>IF(J58/J15&lt;0,0,J58/J15)</f>
        <v>7.5329309164150052E-2</v>
      </c>
      <c r="K62" s="227">
        <f>IF(K58/K15&lt;0,0,K58/K15)</f>
        <v>0.26478143163046386</v>
      </c>
      <c r="L62" s="95"/>
    </row>
    <row r="63" spans="1:12" ht="16" x14ac:dyDescent="0.2">
      <c r="B63" s="112"/>
      <c r="C63" s="219" t="s">
        <v>21</v>
      </c>
      <c r="D63" s="220"/>
      <c r="E63" s="220"/>
      <c r="F63" s="220"/>
      <c r="G63" s="221" t="str">
        <f>IF(G61=0,"n/a",(G21-G61))</f>
        <v>n/a</v>
      </c>
      <c r="H63" s="222" t="str">
        <f>IF(H61=0,"n/a",(H21-H61))</f>
        <v>n/a</v>
      </c>
      <c r="I63" s="222" t="str">
        <f>IF(I61=0,"n/a",(I21-I61))</f>
        <v>n/a</v>
      </c>
      <c r="J63" s="222">
        <f>IF(J61=0,"n/a",(J21-J61))</f>
        <v>741915.29156095849</v>
      </c>
      <c r="K63" s="223">
        <f>IF(K61=0,"n/a",(K21-K61))</f>
        <v>1104966.1441305797</v>
      </c>
      <c r="L63" s="95"/>
    </row>
    <row r="64" spans="1:12" ht="17" thickBot="1" x14ac:dyDescent="0.25">
      <c r="B64" s="114"/>
      <c r="C64" s="97"/>
      <c r="D64" s="97"/>
      <c r="E64" s="97"/>
      <c r="F64" s="97"/>
      <c r="G64" s="145"/>
      <c r="H64" s="146"/>
      <c r="I64" s="146"/>
      <c r="J64" s="146"/>
      <c r="K64" s="147"/>
      <c r="L64" s="95"/>
    </row>
    <row r="65" spans="1:12" ht="16.5" customHeight="1" thickTop="1" x14ac:dyDescent="0.2">
      <c r="A65" s="30"/>
      <c r="B65" s="164" t="s">
        <v>22</v>
      </c>
      <c r="C65" s="165"/>
      <c r="D65" s="166"/>
      <c r="E65" s="166"/>
      <c r="F65" s="166"/>
      <c r="G65" s="167">
        <f>'Year 1'!$T$157</f>
        <v>-281896.98266666668</v>
      </c>
      <c r="H65" s="168">
        <f>'Year 2'!$T$157</f>
        <v>-216172.60933333333</v>
      </c>
      <c r="I65" s="168">
        <f>'Year 3'!$T$157</f>
        <v>-105517.53952000001</v>
      </c>
      <c r="J65" s="168">
        <f>'Year 4'!$T$157</f>
        <v>58119.130489599964</v>
      </c>
      <c r="K65" s="169">
        <f>'Year 5'!$T$157</f>
        <v>304597.27912072535</v>
      </c>
      <c r="L65" s="95"/>
    </row>
    <row r="66" spans="1:12" ht="12" customHeight="1" x14ac:dyDescent="0.2">
      <c r="A66" s="25"/>
      <c r="B66" s="170" t="s">
        <v>382</v>
      </c>
      <c r="C66" s="171"/>
      <c r="D66" s="171"/>
      <c r="E66" s="171"/>
      <c r="F66" s="171"/>
      <c r="G66" s="172">
        <f>G65/G$15</f>
        <v>-1.1013149609580515</v>
      </c>
      <c r="H66" s="172">
        <f t="shared" ref="H66" si="22">H65/H$15</f>
        <v>-0.61014002069809015</v>
      </c>
      <c r="I66" s="172">
        <f t="shared" ref="I66" si="23">I65/I$15</f>
        <v>-0.20227922069307938</v>
      </c>
      <c r="J66" s="172">
        <f t="shared" ref="J66" si="24">J65/J$15</f>
        <v>7.5230932763095337E-2</v>
      </c>
      <c r="K66" s="172">
        <f t="shared" ref="K66" si="25">K65/K$15</f>
        <v>0.26458237056171302</v>
      </c>
      <c r="L66" s="98"/>
    </row>
    <row r="67" spans="1:12" ht="15.75" customHeight="1" x14ac:dyDescent="0.2">
      <c r="B67" s="170"/>
      <c r="C67" s="171"/>
      <c r="D67" s="171"/>
      <c r="E67" s="171"/>
      <c r="F67" s="171"/>
      <c r="G67" s="172"/>
      <c r="H67" s="173"/>
      <c r="I67" s="173"/>
      <c r="J67" s="173"/>
      <c r="K67" s="174"/>
      <c r="L67" s="95"/>
    </row>
    <row r="68" spans="1:12" ht="16" x14ac:dyDescent="0.2">
      <c r="B68" s="115"/>
      <c r="C68" s="195" t="s">
        <v>96</v>
      </c>
      <c r="D68" s="196"/>
      <c r="E68" s="196"/>
      <c r="F68" s="196"/>
      <c r="G68" s="228">
        <f>'Year 1'!$T$166</f>
        <v>3583.333333333333</v>
      </c>
      <c r="H68" s="229">
        <f>'Year 2'!$T$166</f>
        <v>1583.3333333333328</v>
      </c>
      <c r="I68" s="229">
        <f>'Year 3'!$T$166</f>
        <v>83.333333333333243</v>
      </c>
      <c r="J68" s="229">
        <f>'Year 4'!$T$166</f>
        <v>0</v>
      </c>
      <c r="K68" s="230">
        <f>'Year 5'!$T$166</f>
        <v>0</v>
      </c>
      <c r="L68" s="95"/>
    </row>
    <row r="69" spans="1:12" ht="16" x14ac:dyDescent="0.2">
      <c r="B69" s="115"/>
      <c r="C69" s="219" t="s">
        <v>34</v>
      </c>
      <c r="D69" s="163"/>
      <c r="E69" s="163"/>
      <c r="F69" s="163"/>
      <c r="G69" s="221">
        <f>'Year 1'!$T$180</f>
        <v>0</v>
      </c>
      <c r="H69" s="222">
        <f>'Year 2'!$T$180</f>
        <v>0</v>
      </c>
      <c r="I69" s="222">
        <f>'Year 3'!$T$180</f>
        <v>0</v>
      </c>
      <c r="J69" s="222">
        <f>'Year 4'!$T$180</f>
        <v>0</v>
      </c>
      <c r="K69" s="231">
        <f>'Year 5'!$T$180</f>
        <v>0</v>
      </c>
      <c r="L69" s="95"/>
    </row>
    <row r="70" spans="1:12" ht="17" thickBot="1" x14ac:dyDescent="0.25">
      <c r="B70" s="115"/>
      <c r="G70" s="127"/>
      <c r="H70" s="128"/>
      <c r="I70" s="128"/>
      <c r="J70" s="128"/>
      <c r="K70" s="129"/>
      <c r="L70" s="95"/>
    </row>
    <row r="71" spans="1:12" ht="16.5" customHeight="1" thickTop="1" x14ac:dyDescent="0.2">
      <c r="A71" s="30"/>
      <c r="B71" s="164" t="s">
        <v>23</v>
      </c>
      <c r="C71" s="165"/>
      <c r="D71" s="166"/>
      <c r="E71" s="166"/>
      <c r="F71" s="166"/>
      <c r="G71" s="167">
        <f>'Year 1'!$T$183</f>
        <v>-288425.11599999998</v>
      </c>
      <c r="H71" s="168">
        <f>'Year 2'!$T$183</f>
        <v>-222644.59266666669</v>
      </c>
      <c r="I71" s="168">
        <f>'Year 3'!$T$183</f>
        <v>-112572.27285333334</v>
      </c>
      <c r="J71" s="168">
        <f>'Year 4'!$T$183</f>
        <v>48052.780489599972</v>
      </c>
      <c r="K71" s="169">
        <f>'Year 5'!$T$183</f>
        <v>290015.02912072529</v>
      </c>
      <c r="L71" s="95"/>
    </row>
    <row r="72" spans="1:12" ht="12" customHeight="1" x14ac:dyDescent="0.2">
      <c r="A72" s="25"/>
      <c r="B72" s="232" t="s">
        <v>382</v>
      </c>
      <c r="C72" s="232"/>
      <c r="D72" s="232"/>
      <c r="E72" s="232"/>
      <c r="F72" s="232"/>
      <c r="G72" s="233">
        <f>G71/G$15</f>
        <v>-1.1268190683064805</v>
      </c>
      <c r="H72" s="233">
        <f t="shared" ref="H72" si="26">H71/H$15</f>
        <v>-0.62840697901966325</v>
      </c>
      <c r="I72" s="233">
        <f t="shared" ref="I72" si="27">I71/I$15</f>
        <v>-0.21580328472409932</v>
      </c>
      <c r="J72" s="233">
        <f t="shared" ref="J72" si="28">J71/J$15</f>
        <v>6.2200784279451075E-2</v>
      </c>
      <c r="K72" s="234">
        <f t="shared" ref="K72" si="29">K71/K$15</f>
        <v>0.25191578902079786</v>
      </c>
      <c r="L72" s="98"/>
    </row>
    <row r="73" spans="1:12" ht="16" x14ac:dyDescent="0.2">
      <c r="G73" s="152"/>
      <c r="H73" s="153"/>
      <c r="I73" s="153"/>
      <c r="J73" s="153"/>
      <c r="K73" s="154"/>
      <c r="L73" s="95"/>
    </row>
    <row r="74" spans="1:12" ht="16" x14ac:dyDescent="0.2">
      <c r="G74" s="152"/>
      <c r="H74" s="153"/>
      <c r="I74" s="153"/>
      <c r="J74" s="153"/>
      <c r="K74" s="268"/>
      <c r="L74" s="95"/>
    </row>
    <row r="75" spans="1:12" ht="20" x14ac:dyDescent="0.2">
      <c r="B75" s="116" t="str">
        <f>"Working Capital: "&amp;Introduction!$K$10</f>
        <v>Working Capital: Unicorn Inc.</v>
      </c>
      <c r="C75" s="117"/>
      <c r="D75" s="117"/>
      <c r="E75" s="117"/>
      <c r="F75" s="117"/>
      <c r="G75" s="118" t="s">
        <v>1</v>
      </c>
      <c r="H75" s="119" t="s">
        <v>2</v>
      </c>
      <c r="I75" s="119" t="s">
        <v>3</v>
      </c>
      <c r="J75" s="119" t="s">
        <v>4</v>
      </c>
      <c r="K75" s="120" t="s">
        <v>5</v>
      </c>
      <c r="L75" s="95"/>
    </row>
    <row r="76" spans="1:12" ht="15.75" customHeight="1" x14ac:dyDescent="0.2">
      <c r="B76" s="246"/>
      <c r="C76" s="103"/>
      <c r="D76" s="103"/>
      <c r="E76" s="103"/>
      <c r="F76" s="103"/>
      <c r="G76" s="148"/>
      <c r="H76" s="149"/>
      <c r="I76" s="149"/>
      <c r="J76" s="149"/>
      <c r="K76" s="247"/>
      <c r="L76" s="95"/>
    </row>
    <row r="77" spans="1:12" ht="15.75" customHeight="1" x14ac:dyDescent="0.2">
      <c r="B77" s="246"/>
      <c r="C77" s="195" t="s">
        <v>149</v>
      </c>
      <c r="D77" s="196"/>
      <c r="E77" s="196"/>
      <c r="F77" s="196"/>
      <c r="G77" s="197">
        <f>'Year 1'!$T$209</f>
        <v>206536.5</v>
      </c>
      <c r="H77" s="198">
        <f>'Year 2'!$T$209</f>
        <v>280425</v>
      </c>
      <c r="I77" s="198">
        <f>'Year 3'!$T$209</f>
        <v>403210.5</v>
      </c>
      <c r="J77" s="198">
        <f>'Year 4'!$T$209</f>
        <v>582805.5</v>
      </c>
      <c r="K77" s="199">
        <f>'Year 5'!$T$209</f>
        <v>847563</v>
      </c>
      <c r="L77" s="95"/>
    </row>
    <row r="78" spans="1:12" ht="15.75" customHeight="1" x14ac:dyDescent="0.2">
      <c r="B78" s="246"/>
      <c r="C78" s="200" t="s">
        <v>371</v>
      </c>
      <c r="D78" s="201"/>
      <c r="E78" s="201"/>
      <c r="F78" s="201"/>
      <c r="G78" s="245">
        <f>'Year 1'!$T$213</f>
        <v>46260</v>
      </c>
      <c r="H78" s="245">
        <f>'Year 1'!$T$213</f>
        <v>46260</v>
      </c>
      <c r="I78" s="245">
        <f>'Year 1'!$T$213</f>
        <v>46260</v>
      </c>
      <c r="J78" s="245">
        <f>'Year 1'!$T$213</f>
        <v>46260</v>
      </c>
      <c r="K78" s="248">
        <f>'Year 1'!$T$213</f>
        <v>46260</v>
      </c>
      <c r="L78" s="95"/>
    </row>
    <row r="79" spans="1:12" ht="15.75" customHeight="1" x14ac:dyDescent="0.2">
      <c r="B79" s="246"/>
      <c r="C79" s="219" t="s">
        <v>150</v>
      </c>
      <c r="D79" s="220"/>
      <c r="E79" s="220"/>
      <c r="F79" s="220"/>
      <c r="G79" s="243">
        <f>'Year 1'!$T$246</f>
        <v>537109.11800000002</v>
      </c>
      <c r="H79" s="244">
        <f>'Year 2'!$T$246</f>
        <v>539518.57200000004</v>
      </c>
      <c r="I79" s="244">
        <f>'Year 3'!$T$246</f>
        <v>544967.04104000004</v>
      </c>
      <c r="J79" s="244">
        <f>'Year 4'!$T$246</f>
        <v>556952.62715413328</v>
      </c>
      <c r="K79" s="249">
        <f>'Year 5'!$T$246</f>
        <v>571278.20548121596</v>
      </c>
      <c r="L79" s="95"/>
    </row>
    <row r="80" spans="1:12" ht="15.75" customHeight="1" thickBot="1" x14ac:dyDescent="0.25">
      <c r="B80" s="246"/>
      <c r="C80" s="103"/>
      <c r="D80" s="103"/>
      <c r="E80" s="103"/>
      <c r="F80" s="103"/>
      <c r="G80" s="148"/>
      <c r="H80" s="149"/>
      <c r="I80" s="149"/>
      <c r="J80" s="149"/>
      <c r="K80" s="247"/>
      <c r="L80" s="95"/>
    </row>
    <row r="81" spans="1:12" ht="16.5" customHeight="1" thickTop="1" x14ac:dyDescent="0.2">
      <c r="A81" s="30"/>
      <c r="B81" s="250" t="s">
        <v>155</v>
      </c>
      <c r="C81" s="237"/>
      <c r="D81" s="238"/>
      <c r="E81" s="238"/>
      <c r="F81" s="238"/>
      <c r="G81" s="239">
        <f>'Year 1'!$T$248</f>
        <v>-284312.61800000002</v>
      </c>
      <c r="H81" s="240">
        <f>'Year 2'!$T$248</f>
        <v>-198829.57199999999</v>
      </c>
      <c r="I81" s="240">
        <f>'Year 3'!$T$248</f>
        <v>-57372.54103999996</v>
      </c>
      <c r="J81" s="240">
        <f>'Year 4'!$T$248</f>
        <v>144004.87284586672</v>
      </c>
      <c r="K81" s="251">
        <f>'Year 5'!$T$248</f>
        <v>441740.79451878404</v>
      </c>
      <c r="L81" s="95"/>
    </row>
    <row r="82" spans="1:12" ht="16" x14ac:dyDescent="0.2">
      <c r="G82" s="152"/>
      <c r="H82" s="153"/>
      <c r="I82" s="153"/>
      <c r="J82" s="153"/>
      <c r="K82" s="154"/>
      <c r="L82" s="95"/>
    </row>
    <row r="83" spans="1:12" ht="16" x14ac:dyDescent="0.2">
      <c r="G83" s="152"/>
      <c r="H83" s="153"/>
      <c r="I83" s="153"/>
      <c r="J83" s="153"/>
      <c r="K83" s="268"/>
      <c r="L83" s="95"/>
    </row>
    <row r="84" spans="1:12" ht="20" x14ac:dyDescent="0.2">
      <c r="B84" s="116" t="str">
        <f>"Cash Flow Statement: "&amp;Introduction!$K$10</f>
        <v>Cash Flow Statement: Unicorn Inc.</v>
      </c>
      <c r="C84" s="117"/>
      <c r="D84" s="117"/>
      <c r="E84" s="117"/>
      <c r="F84" s="117"/>
      <c r="G84" s="118" t="s">
        <v>1</v>
      </c>
      <c r="H84" s="119" t="s">
        <v>2</v>
      </c>
      <c r="I84" s="119" t="s">
        <v>3</v>
      </c>
      <c r="J84" s="119" t="s">
        <v>4</v>
      </c>
      <c r="K84" s="120" t="s">
        <v>5</v>
      </c>
      <c r="L84" s="95"/>
    </row>
    <row r="85" spans="1:12" ht="16" x14ac:dyDescent="0.2">
      <c r="B85" s="257"/>
      <c r="C85" s="104"/>
      <c r="D85" s="104"/>
      <c r="E85" s="104"/>
      <c r="F85" s="105"/>
      <c r="G85" s="155"/>
      <c r="H85" s="156"/>
      <c r="I85" s="156"/>
      <c r="J85" s="156"/>
      <c r="K85" s="258"/>
      <c r="L85" s="95"/>
    </row>
    <row r="86" spans="1:12" ht="16" x14ac:dyDescent="0.2">
      <c r="B86" s="259" t="s">
        <v>146</v>
      </c>
      <c r="G86" s="127"/>
      <c r="H86" s="128"/>
      <c r="I86" s="128"/>
      <c r="J86" s="128"/>
      <c r="K86" s="162"/>
      <c r="L86" s="95"/>
    </row>
    <row r="87" spans="1:12" ht="16" x14ac:dyDescent="0.2">
      <c r="B87" s="161"/>
      <c r="C87" s="195" t="s">
        <v>23</v>
      </c>
      <c r="D87" s="196"/>
      <c r="E87" s="196"/>
      <c r="F87" s="196"/>
      <c r="G87" s="252">
        <f>G71</f>
        <v>-288425.11599999998</v>
      </c>
      <c r="H87" s="252">
        <f>H71</f>
        <v>-222644.59266666669</v>
      </c>
      <c r="I87" s="252">
        <f>I71</f>
        <v>-112572.27285333334</v>
      </c>
      <c r="J87" s="252">
        <f>J71</f>
        <v>48052.780489599972</v>
      </c>
      <c r="K87" s="255">
        <f>K71</f>
        <v>290015.02912072529</v>
      </c>
      <c r="L87" s="95"/>
    </row>
    <row r="88" spans="1:12" ht="16" x14ac:dyDescent="0.2">
      <c r="B88" s="161"/>
      <c r="C88" s="200" t="s">
        <v>147</v>
      </c>
      <c r="D88" s="201"/>
      <c r="E88" s="201"/>
      <c r="F88" s="201"/>
      <c r="G88" s="253">
        <f>'Year 1'!$T254</f>
        <v>3905.1666666666674</v>
      </c>
      <c r="H88" s="254">
        <f>'Year 2'!$T254</f>
        <v>10.333333333333334</v>
      </c>
      <c r="I88" s="254">
        <f>'Year 3'!$T254</f>
        <v>22</v>
      </c>
      <c r="J88" s="254">
        <f>'Year 4'!$T254</f>
        <v>76</v>
      </c>
      <c r="K88" s="256">
        <f>'Year 5'!$T254</f>
        <v>229.16666666666669</v>
      </c>
      <c r="L88" s="95"/>
    </row>
    <row r="89" spans="1:12" ht="16" x14ac:dyDescent="0.2">
      <c r="B89" s="161"/>
      <c r="C89" s="200" t="s">
        <v>153</v>
      </c>
      <c r="D89" s="201"/>
      <c r="E89" s="201"/>
      <c r="F89" s="201"/>
      <c r="G89" s="253">
        <f>'Year 1'!$T255</f>
        <v>44668.128666666664</v>
      </c>
      <c r="H89" s="254">
        <f>'Year 2'!$T255</f>
        <v>44780.010666666662</v>
      </c>
      <c r="I89" s="254">
        <f>'Year 3'!$T255</f>
        <v>45415.749253333328</v>
      </c>
      <c r="J89" s="254">
        <f>'Year 4'!$T255</f>
        <v>46513.341985066669</v>
      </c>
      <c r="K89" s="256">
        <f>'Year 5'!$T255</f>
        <v>47753.272123434668</v>
      </c>
      <c r="L89" s="95"/>
    </row>
    <row r="90" spans="1:12" ht="16" x14ac:dyDescent="0.2">
      <c r="B90" s="161"/>
      <c r="C90" s="219" t="s">
        <v>148</v>
      </c>
      <c r="D90" s="220"/>
      <c r="E90" s="220"/>
      <c r="F90" s="220"/>
      <c r="G90" s="243">
        <f>'Year 1'!$T256</f>
        <v>403300</v>
      </c>
      <c r="H90" s="244">
        <f>'Year 2'!$T256</f>
        <v>12400</v>
      </c>
      <c r="I90" s="244">
        <f>'Year 3'!$T256</f>
        <v>26400</v>
      </c>
      <c r="J90" s="244">
        <f>'Year 4'!$T256</f>
        <v>11200</v>
      </c>
      <c r="K90" s="249">
        <f>'Year 5'!$T256</f>
        <v>26400</v>
      </c>
      <c r="L90" s="95"/>
    </row>
    <row r="91" spans="1:12" ht="17" thickBot="1" x14ac:dyDescent="0.25">
      <c r="B91" s="161"/>
      <c r="G91" s="127"/>
      <c r="H91" s="128"/>
      <c r="I91" s="128"/>
      <c r="J91" s="128"/>
      <c r="K91" s="162"/>
      <c r="L91" s="95"/>
    </row>
    <row r="92" spans="1:12" ht="16.5" customHeight="1" thickTop="1" x14ac:dyDescent="0.2">
      <c r="A92" s="30"/>
      <c r="B92" s="250" t="s">
        <v>146</v>
      </c>
      <c r="C92" s="237"/>
      <c r="D92" s="238"/>
      <c r="E92" s="238"/>
      <c r="F92" s="238"/>
      <c r="G92" s="239">
        <f>'Year 1'!$T257</f>
        <v>-643151.82066666661</v>
      </c>
      <c r="H92" s="240">
        <f>'Year 2'!$T257</f>
        <v>-190254.24866666662</v>
      </c>
      <c r="I92" s="240">
        <f>'Year 3'!$T257</f>
        <v>-93534.523600000015</v>
      </c>
      <c r="J92" s="240">
        <f>'Year 4'!$T257</f>
        <v>83442.122474666627</v>
      </c>
      <c r="K92" s="251">
        <f>'Year 5'!$T257</f>
        <v>311597.46791082661</v>
      </c>
      <c r="L92" s="95"/>
    </row>
    <row r="93" spans="1:12" ht="16" x14ac:dyDescent="0.2">
      <c r="B93" s="161"/>
      <c r="C93" s="103"/>
      <c r="D93" s="103"/>
      <c r="E93" s="103"/>
      <c r="F93" s="103"/>
      <c r="G93" s="133"/>
      <c r="H93" s="134"/>
      <c r="I93" s="134"/>
      <c r="J93" s="134"/>
      <c r="K93" s="435"/>
      <c r="L93" s="95"/>
    </row>
    <row r="94" spans="1:12" ht="16" x14ac:dyDescent="0.2">
      <c r="B94" s="259" t="s">
        <v>140</v>
      </c>
      <c r="C94" s="103"/>
      <c r="D94" s="103"/>
      <c r="E94" s="103"/>
      <c r="F94" s="103"/>
      <c r="G94" s="148"/>
      <c r="H94" s="149"/>
      <c r="I94" s="149"/>
      <c r="J94" s="149"/>
      <c r="K94" s="247"/>
      <c r="L94" s="95"/>
    </row>
    <row r="95" spans="1:12" ht="16" x14ac:dyDescent="0.2">
      <c r="B95" s="246"/>
      <c r="C95" s="195" t="s">
        <v>23</v>
      </c>
      <c r="D95" s="196"/>
      <c r="E95" s="196"/>
      <c r="F95" s="196"/>
      <c r="G95" s="252">
        <f>G71</f>
        <v>-288425.11599999998</v>
      </c>
      <c r="H95" s="252">
        <f>H71</f>
        <v>-222644.59266666669</v>
      </c>
      <c r="I95" s="252">
        <f>I71</f>
        <v>-112572.27285333334</v>
      </c>
      <c r="J95" s="252">
        <f>J71</f>
        <v>48052.780489599972</v>
      </c>
      <c r="K95" s="255">
        <f>K71</f>
        <v>290015.02912072529</v>
      </c>
      <c r="L95" s="95"/>
    </row>
    <row r="96" spans="1:12" ht="16" x14ac:dyDescent="0.2">
      <c r="B96" s="161"/>
      <c r="C96" s="200" t="s">
        <v>45</v>
      </c>
      <c r="D96" s="201"/>
      <c r="E96" s="201"/>
      <c r="F96" s="201"/>
      <c r="G96" s="253">
        <f>'Year 1'!$T$155</f>
        <v>3905.1666666666674</v>
      </c>
      <c r="H96" s="254">
        <f>'Year 2'!$T$155</f>
        <v>10.333333333333334</v>
      </c>
      <c r="I96" s="254">
        <f>'Year 3'!$T$155</f>
        <v>22</v>
      </c>
      <c r="J96" s="254">
        <f>'Year 4'!$T$155</f>
        <v>76</v>
      </c>
      <c r="K96" s="256">
        <f>'Year 5'!$T$155</f>
        <v>229.16666666666669</v>
      </c>
      <c r="L96" s="95"/>
    </row>
    <row r="97" spans="1:12" ht="16" x14ac:dyDescent="0.2">
      <c r="B97" s="161"/>
      <c r="C97" s="219" t="s">
        <v>46</v>
      </c>
      <c r="D97" s="220"/>
      <c r="E97" s="220"/>
      <c r="F97" s="220"/>
      <c r="G97" s="243">
        <f>'Year 1'!$T$262</f>
        <v>-21799.628666666664</v>
      </c>
      <c r="H97" s="244">
        <f>'Year 2'!$T$262</f>
        <v>-11750.010666666662</v>
      </c>
      <c r="I97" s="244">
        <f>'Year 3'!$T$262</f>
        <v>1805.7507466666721</v>
      </c>
      <c r="J97" s="244">
        <f>'Year 4'!$T$262</f>
        <v>21483.158014933331</v>
      </c>
      <c r="K97" s="249">
        <f>'Year 5'!$T$262</f>
        <v>50676.727876565332</v>
      </c>
    </row>
    <row r="98" spans="1:12" ht="17" thickBot="1" x14ac:dyDescent="0.25">
      <c r="B98" s="161"/>
      <c r="G98" s="150"/>
      <c r="H98" s="151"/>
      <c r="I98" s="151"/>
      <c r="J98" s="151"/>
      <c r="K98" s="260"/>
    </row>
    <row r="99" spans="1:12" ht="16.5" customHeight="1" thickTop="1" x14ac:dyDescent="0.2">
      <c r="A99" s="30"/>
      <c r="B99" s="250" t="s">
        <v>141</v>
      </c>
      <c r="C99" s="237"/>
      <c r="D99" s="238"/>
      <c r="E99" s="238"/>
      <c r="F99" s="238"/>
      <c r="G99" s="239">
        <f>'Year 1'!$T$263</f>
        <v>-262720.32066666661</v>
      </c>
      <c r="H99" s="240">
        <f>'Year 2'!$T$263</f>
        <v>-210884.24866666662</v>
      </c>
      <c r="I99" s="240">
        <f>'Year 3'!$T$263</f>
        <v>-114356.02360000001</v>
      </c>
      <c r="J99" s="240">
        <f>'Year 4'!$T$263</f>
        <v>26645.622474666641</v>
      </c>
      <c r="K99" s="251">
        <f>'Year 5'!$T$263</f>
        <v>239567.46791082667</v>
      </c>
      <c r="L99" s="95"/>
    </row>
    <row r="100" spans="1:12" ht="16" x14ac:dyDescent="0.2">
      <c r="B100" s="246"/>
      <c r="C100" s="103"/>
      <c r="D100" s="103"/>
      <c r="E100" s="103"/>
      <c r="F100" s="103"/>
      <c r="G100" s="157"/>
      <c r="H100" s="158"/>
      <c r="I100" s="158"/>
      <c r="J100" s="158"/>
      <c r="K100" s="261"/>
    </row>
    <row r="101" spans="1:12" ht="16" x14ac:dyDescent="0.2">
      <c r="B101" s="259" t="s">
        <v>142</v>
      </c>
      <c r="C101" s="103"/>
      <c r="D101" s="103"/>
      <c r="E101" s="103"/>
      <c r="F101" s="103"/>
      <c r="G101" s="148"/>
      <c r="H101" s="149"/>
      <c r="I101" s="149"/>
      <c r="J101" s="149"/>
      <c r="K101" s="247"/>
    </row>
    <row r="102" spans="1:12" ht="16" x14ac:dyDescent="0.2">
      <c r="B102" s="161"/>
      <c r="C102" s="195" t="s">
        <v>47</v>
      </c>
      <c r="D102" s="196"/>
      <c r="E102" s="196"/>
      <c r="F102" s="196"/>
      <c r="G102" s="252">
        <f>'Year 1'!$T$266</f>
        <v>403300</v>
      </c>
      <c r="H102" s="252">
        <f>'Year 2'!$T$266</f>
        <v>12400</v>
      </c>
      <c r="I102" s="252">
        <f>'Year 3'!$T$266</f>
        <v>26400</v>
      </c>
      <c r="J102" s="252">
        <f>'Year 4'!$T$266</f>
        <v>11200</v>
      </c>
      <c r="K102" s="255">
        <f>'Year 5'!$T$266</f>
        <v>26400</v>
      </c>
    </row>
    <row r="103" spans="1:12" ht="16" x14ac:dyDescent="0.2">
      <c r="B103" s="161"/>
      <c r="C103" s="219" t="s">
        <v>43</v>
      </c>
      <c r="D103" s="220"/>
      <c r="E103" s="220"/>
      <c r="F103" s="220"/>
      <c r="G103" s="243">
        <f>'Year 1'!$T$267</f>
        <v>0</v>
      </c>
      <c r="H103" s="244">
        <f>'Year 2'!$T$267</f>
        <v>0</v>
      </c>
      <c r="I103" s="244">
        <f>'Year 3'!$T$267</f>
        <v>0</v>
      </c>
      <c r="J103" s="244">
        <f>'Year 4'!$T$267</f>
        <v>0</v>
      </c>
      <c r="K103" s="249">
        <f>'Year 5'!$T$267</f>
        <v>0</v>
      </c>
    </row>
    <row r="104" spans="1:12" ht="17" thickBot="1" x14ac:dyDescent="0.25">
      <c r="B104" s="161"/>
      <c r="G104" s="127"/>
      <c r="H104" s="128"/>
      <c r="I104" s="128"/>
      <c r="J104" s="128"/>
      <c r="K104" s="162"/>
    </row>
    <row r="105" spans="1:12" ht="16.5" customHeight="1" thickTop="1" x14ac:dyDescent="0.2">
      <c r="A105" s="30"/>
      <c r="B105" s="250" t="s">
        <v>154</v>
      </c>
      <c r="C105" s="237"/>
      <c r="D105" s="238"/>
      <c r="E105" s="238"/>
      <c r="F105" s="238"/>
      <c r="G105" s="239">
        <f>'Year 1'!$T$268</f>
        <v>-403300</v>
      </c>
      <c r="H105" s="240">
        <f>'Year 2'!$T$268</f>
        <v>-12400</v>
      </c>
      <c r="I105" s="240">
        <f>'Year 3'!$T$268</f>
        <v>-26400</v>
      </c>
      <c r="J105" s="240">
        <f>'Year 4'!$T$268</f>
        <v>-11200</v>
      </c>
      <c r="K105" s="251">
        <f>'Year 5'!$T$268</f>
        <v>-26400</v>
      </c>
      <c r="L105" s="95"/>
    </row>
    <row r="106" spans="1:12" ht="16" x14ac:dyDescent="0.2">
      <c r="B106" s="246"/>
      <c r="C106" s="103"/>
      <c r="D106" s="103"/>
      <c r="E106" s="103"/>
      <c r="F106" s="103"/>
      <c r="G106" s="157"/>
      <c r="H106" s="158"/>
      <c r="I106" s="158"/>
      <c r="J106" s="158"/>
      <c r="K106" s="261"/>
    </row>
    <row r="107" spans="1:12" ht="16" x14ac:dyDescent="0.2">
      <c r="B107" s="259" t="s">
        <v>143</v>
      </c>
      <c r="C107" s="103"/>
      <c r="D107" s="103"/>
      <c r="E107" s="103"/>
      <c r="F107" s="103"/>
      <c r="G107" s="148"/>
      <c r="H107" s="149"/>
      <c r="I107" s="149"/>
      <c r="J107" s="149"/>
      <c r="K107" s="247"/>
    </row>
    <row r="108" spans="1:12" ht="16" x14ac:dyDescent="0.2">
      <c r="B108" s="161"/>
      <c r="C108" s="195" t="s">
        <v>44</v>
      </c>
      <c r="D108" s="196"/>
      <c r="E108" s="196"/>
      <c r="F108" s="196"/>
      <c r="G108" s="252">
        <f>'Year 1'!$T$271</f>
        <v>0</v>
      </c>
      <c r="H108" s="252">
        <f>'Year 2'!$T$271</f>
        <v>0</v>
      </c>
      <c r="I108" s="252">
        <f>'Year 3'!$T$271</f>
        <v>0</v>
      </c>
      <c r="J108" s="252">
        <f>'Year 4'!$T$271</f>
        <v>0</v>
      </c>
      <c r="K108" s="255">
        <f>'Year 5'!$T$271</f>
        <v>0</v>
      </c>
    </row>
    <row r="109" spans="1:12" ht="16" x14ac:dyDescent="0.2">
      <c r="B109" s="161"/>
      <c r="C109" s="200" t="s">
        <v>123</v>
      </c>
      <c r="D109" s="201"/>
      <c r="E109" s="201"/>
      <c r="F109" s="201"/>
      <c r="G109" s="253">
        <f>'Year 1'!$T$272</f>
        <v>0</v>
      </c>
      <c r="H109" s="254">
        <f>'Year 2'!$T$272</f>
        <v>0</v>
      </c>
      <c r="I109" s="254">
        <f>'Year 3'!$T$272</f>
        <v>0</v>
      </c>
      <c r="J109" s="254">
        <f>'Year 4'!$T$272</f>
        <v>0</v>
      </c>
      <c r="K109" s="256">
        <f>'Year 5'!$T$272</f>
        <v>0</v>
      </c>
    </row>
    <row r="110" spans="1:12" ht="16" x14ac:dyDescent="0.2">
      <c r="B110" s="161"/>
      <c r="C110" s="200" t="s">
        <v>122</v>
      </c>
      <c r="D110" s="201"/>
      <c r="E110" s="201"/>
      <c r="F110" s="201"/>
      <c r="G110" s="253">
        <f>'Year 1'!$T$273</f>
        <v>0</v>
      </c>
      <c r="H110" s="254">
        <f>'Year 2'!$T$273</f>
        <v>0</v>
      </c>
      <c r="I110" s="254">
        <f>'Year 3'!$T$273</f>
        <v>0</v>
      </c>
      <c r="J110" s="254">
        <f>'Year 4'!$T$273</f>
        <v>0</v>
      </c>
      <c r="K110" s="256">
        <f>'Year 5'!$T$273</f>
        <v>0</v>
      </c>
    </row>
    <row r="111" spans="1:12" ht="16" x14ac:dyDescent="0.2">
      <c r="B111" s="161"/>
      <c r="C111" s="200" t="s">
        <v>125</v>
      </c>
      <c r="D111" s="201"/>
      <c r="E111" s="201"/>
      <c r="F111" s="201"/>
      <c r="G111" s="253">
        <f>'Year 1'!$T$274</f>
        <v>0</v>
      </c>
      <c r="H111" s="254">
        <f>'Year 2'!$T$274</f>
        <v>0</v>
      </c>
      <c r="I111" s="254">
        <f>'Year 3'!$T$274</f>
        <v>0</v>
      </c>
      <c r="J111" s="254">
        <f>'Year 4'!$T$274</f>
        <v>0</v>
      </c>
      <c r="K111" s="256">
        <f>'Year 5'!$T$274</f>
        <v>0</v>
      </c>
    </row>
    <row r="112" spans="1:12" ht="16" x14ac:dyDescent="0.2">
      <c r="B112" s="161"/>
      <c r="C112" s="219" t="s">
        <v>126</v>
      </c>
      <c r="D112" s="220"/>
      <c r="E112" s="220"/>
      <c r="F112" s="220"/>
      <c r="G112" s="243">
        <f>'Year 1'!$T$282</f>
        <v>49999.999999999993</v>
      </c>
      <c r="H112" s="244">
        <f>'Year 2'!$T$282</f>
        <v>49999.999999999993</v>
      </c>
      <c r="I112" s="244">
        <f>'Year 3'!$T$282</f>
        <v>12500</v>
      </c>
      <c r="J112" s="244">
        <f>'Year 4'!$T$282</f>
        <v>0</v>
      </c>
      <c r="K112" s="249">
        <f>'Year 5'!$T$282</f>
        <v>0</v>
      </c>
    </row>
    <row r="113" spans="1:12" ht="17" thickBot="1" x14ac:dyDescent="0.25">
      <c r="B113" s="161"/>
      <c r="G113" s="127"/>
      <c r="H113" s="128"/>
      <c r="I113" s="128"/>
      <c r="J113" s="128"/>
      <c r="K113" s="162"/>
    </row>
    <row r="114" spans="1:12" ht="16.5" customHeight="1" thickTop="1" x14ac:dyDescent="0.2">
      <c r="A114" s="30"/>
      <c r="B114" s="250" t="s">
        <v>145</v>
      </c>
      <c r="C114" s="237"/>
      <c r="D114" s="238"/>
      <c r="E114" s="238"/>
      <c r="F114" s="238"/>
      <c r="G114" s="239">
        <f>'Year 1'!$T$283</f>
        <v>-49999.999999999993</v>
      </c>
      <c r="H114" s="240">
        <f>'Year 2'!$T$283</f>
        <v>-49999.999999999993</v>
      </c>
      <c r="I114" s="240">
        <f>'Year 3'!$T$283</f>
        <v>-12500</v>
      </c>
      <c r="J114" s="240">
        <f>'Year 4'!$T$283</f>
        <v>0</v>
      </c>
      <c r="K114" s="251">
        <f>'Year 5'!$T$283</f>
        <v>0</v>
      </c>
      <c r="L114" s="95"/>
    </row>
    <row r="115" spans="1:12" ht="17" thickBot="1" x14ac:dyDescent="0.25">
      <c r="B115" s="161"/>
      <c r="G115" s="159"/>
      <c r="H115" s="160"/>
      <c r="I115" s="160"/>
      <c r="J115" s="160"/>
      <c r="K115" s="262"/>
    </row>
    <row r="116" spans="1:12" ht="16.5" customHeight="1" thickTop="1" x14ac:dyDescent="0.2">
      <c r="A116" s="30"/>
      <c r="B116" s="250" t="s">
        <v>50</v>
      </c>
      <c r="C116" s="237"/>
      <c r="D116" s="238"/>
      <c r="E116" s="238"/>
      <c r="F116" s="238"/>
      <c r="G116" s="239">
        <f>'Year 1'!$T$285</f>
        <v>250000</v>
      </c>
      <c r="H116" s="240">
        <f>'Year 2'!$T$285</f>
        <v>-466020.32066666667</v>
      </c>
      <c r="I116" s="240">
        <f>'Year 3'!$T$285</f>
        <v>-739304.56933333329</v>
      </c>
      <c r="J116" s="240">
        <f>'Year 4'!$T$285</f>
        <v>-892560.59293333313</v>
      </c>
      <c r="K116" s="251">
        <f>'Year 5'!$T$285</f>
        <v>-877114.97045866644</v>
      </c>
      <c r="L116" s="95"/>
    </row>
    <row r="117" spans="1:12" ht="15" customHeight="1" thickBot="1" x14ac:dyDescent="0.25">
      <c r="B117" s="161"/>
      <c r="G117" s="159"/>
      <c r="H117" s="160"/>
      <c r="I117" s="160"/>
      <c r="J117" s="160"/>
      <c r="K117" s="262"/>
    </row>
    <row r="118" spans="1:12" ht="16.5" customHeight="1" thickTop="1" x14ac:dyDescent="0.2">
      <c r="A118" s="30"/>
      <c r="B118" s="250" t="s">
        <v>49</v>
      </c>
      <c r="C118" s="237"/>
      <c r="D118" s="238"/>
      <c r="E118" s="238"/>
      <c r="F118" s="238"/>
      <c r="G118" s="239">
        <f>'Year 1'!$T$286</f>
        <v>-716020.32066666661</v>
      </c>
      <c r="H118" s="240">
        <f>'Year 2'!$T$286</f>
        <v>-273284.24866666662</v>
      </c>
      <c r="I118" s="240">
        <f>'Year 3'!$T$286</f>
        <v>-153256.02360000001</v>
      </c>
      <c r="J118" s="240">
        <f>'Year 4'!$T$286</f>
        <v>15445.622474666641</v>
      </c>
      <c r="K118" s="251">
        <f>'Year 5'!$T$286</f>
        <v>213167.46791082667</v>
      </c>
      <c r="L118" s="95"/>
    </row>
    <row r="119" spans="1:12" ht="17" thickBot="1" x14ac:dyDescent="0.25">
      <c r="B119" s="161"/>
      <c r="G119" s="159"/>
      <c r="H119" s="160"/>
      <c r="I119" s="160"/>
      <c r="J119" s="160"/>
      <c r="K119" s="262"/>
    </row>
    <row r="120" spans="1:12" ht="17" thickTop="1" x14ac:dyDescent="0.2">
      <c r="B120" s="263" t="s">
        <v>51</v>
      </c>
      <c r="C120" s="264"/>
      <c r="D120" s="238"/>
      <c r="E120" s="238"/>
      <c r="F120" s="238"/>
      <c r="G120" s="265">
        <f>'Year 1'!$T$287</f>
        <v>-466020.32066666661</v>
      </c>
      <c r="H120" s="266">
        <f>'Year 2'!$T$287</f>
        <v>-739304.56933333329</v>
      </c>
      <c r="I120" s="266">
        <f>'Year 3'!$T$287</f>
        <v>-892560.59293333325</v>
      </c>
      <c r="J120" s="266">
        <f>'Year 4'!$T$287</f>
        <v>-877114.97045866644</v>
      </c>
      <c r="K120" s="267">
        <f>'Year 5'!$T$287</f>
        <v>-663947.50254783977</v>
      </c>
    </row>
    <row r="121" spans="1:12" ht="16" x14ac:dyDescent="0.2"/>
    <row r="122" spans="1:12" ht="16" x14ac:dyDescent="0.2"/>
    <row r="123" spans="1:12" ht="16" x14ac:dyDescent="0.2"/>
    <row r="124" spans="1:12" ht="16" x14ac:dyDescent="0.2"/>
    <row r="125" spans="1:12" ht="16" x14ac:dyDescent="0.2"/>
    <row r="126" spans="1:12" ht="16" x14ac:dyDescent="0.2"/>
    <row r="127" spans="1:12" ht="16" x14ac:dyDescent="0.2"/>
    <row r="128" spans="1:12" ht="16" x14ac:dyDescent="0.2"/>
    <row r="129" ht="16" x14ac:dyDescent="0.2"/>
    <row r="130" ht="16" x14ac:dyDescent="0.2"/>
    <row r="131" ht="16" x14ac:dyDescent="0.2"/>
    <row r="132" ht="16" x14ac:dyDescent="0.2"/>
    <row r="133" ht="16" x14ac:dyDescent="0.2"/>
    <row r="134" ht="16" x14ac:dyDescent="0.2"/>
    <row r="135" ht="16" x14ac:dyDescent="0.2"/>
    <row r="136" ht="16" x14ac:dyDescent="0.2"/>
    <row r="137" ht="16" x14ac:dyDescent="0.2"/>
    <row r="138" ht="16" x14ac:dyDescent="0.2"/>
    <row r="139" ht="16" x14ac:dyDescent="0.2"/>
    <row r="140" ht="16" x14ac:dyDescent="0.2"/>
    <row r="141" ht="16" x14ac:dyDescent="0.2"/>
    <row r="142" ht="16" x14ac:dyDescent="0.2"/>
    <row r="143" ht="16" x14ac:dyDescent="0.2"/>
    <row r="144" ht="16" x14ac:dyDescent="0.2"/>
    <row r="145" ht="16" x14ac:dyDescent="0.2"/>
    <row r="146" ht="16" x14ac:dyDescent="0.2"/>
    <row r="147" ht="16" x14ac:dyDescent="0.2"/>
    <row r="148" ht="16" x14ac:dyDescent="0.2"/>
    <row r="149" ht="16" x14ac:dyDescent="0.2"/>
    <row r="150" ht="16" x14ac:dyDescent="0.2"/>
    <row r="151" ht="16" x14ac:dyDescent="0.2"/>
    <row r="152" ht="16" x14ac:dyDescent="0.2"/>
    <row r="153" ht="16" x14ac:dyDescent="0.2"/>
    <row r="154" ht="16" x14ac:dyDescent="0.2"/>
    <row r="155" ht="16" x14ac:dyDescent="0.2"/>
    <row r="156" ht="16" x14ac:dyDescent="0.2"/>
    <row r="157" ht="16" x14ac:dyDescent="0.2"/>
    <row r="158" ht="16" x14ac:dyDescent="0.2"/>
    <row r="159" ht="16" x14ac:dyDescent="0.2"/>
    <row r="160" ht="16" x14ac:dyDescent="0.2"/>
    <row r="161" ht="16" x14ac:dyDescent="0.2"/>
    <row r="162" ht="16" x14ac:dyDescent="0.2"/>
    <row r="163" ht="16" x14ac:dyDescent="0.2"/>
    <row r="164" ht="16" x14ac:dyDescent="0.2"/>
    <row r="165" ht="16" x14ac:dyDescent="0.2"/>
    <row r="166" ht="16" x14ac:dyDescent="0.2"/>
    <row r="167" ht="16" x14ac:dyDescent="0.2"/>
    <row r="168" ht="16" x14ac:dyDescent="0.2"/>
    <row r="169" ht="16" x14ac:dyDescent="0.2"/>
    <row r="170" ht="16" x14ac:dyDescent="0.2"/>
    <row r="171" ht="16" x14ac:dyDescent="0.2"/>
    <row r="172" ht="16" x14ac:dyDescent="0.2"/>
    <row r="173" ht="16" x14ac:dyDescent="0.2"/>
    <row r="174" ht="16" x14ac:dyDescent="0.2"/>
    <row r="175" ht="16" x14ac:dyDescent="0.2"/>
    <row r="176" ht="16" x14ac:dyDescent="0.2"/>
    <row r="177" ht="16" x14ac:dyDescent="0.2"/>
    <row r="178" ht="16" x14ac:dyDescent="0.2"/>
    <row r="179" ht="16" x14ac:dyDescent="0.2"/>
    <row r="180" ht="16" x14ac:dyDescent="0.2"/>
    <row r="181" ht="16" x14ac:dyDescent="0.2"/>
    <row r="182" ht="16" x14ac:dyDescent="0.2"/>
    <row r="183" ht="16" x14ac:dyDescent="0.2"/>
    <row r="184" ht="16" x14ac:dyDescent="0.2"/>
    <row r="185" ht="16" x14ac:dyDescent="0.2"/>
    <row r="186" ht="16" x14ac:dyDescent="0.2"/>
    <row r="187" ht="16" x14ac:dyDescent="0.2"/>
    <row r="188" ht="16" x14ac:dyDescent="0.2"/>
    <row r="189" ht="16" x14ac:dyDescent="0.2"/>
    <row r="190" ht="16" x14ac:dyDescent="0.2"/>
    <row r="191" ht="16" x14ac:dyDescent="0.2"/>
    <row r="192" ht="16" x14ac:dyDescent="0.2"/>
    <row r="193" ht="16" x14ac:dyDescent="0.2"/>
    <row r="194" ht="16" x14ac:dyDescent="0.2"/>
    <row r="195" ht="16" x14ac:dyDescent="0.2"/>
    <row r="196" ht="16" x14ac:dyDescent="0.2"/>
    <row r="197" ht="16" x14ac:dyDescent="0.2"/>
    <row r="198" ht="16" x14ac:dyDescent="0.2"/>
    <row r="199" ht="16" x14ac:dyDescent="0.2"/>
    <row r="200" ht="16" x14ac:dyDescent="0.2"/>
    <row r="201" ht="16" x14ac:dyDescent="0.2"/>
    <row r="202" ht="16" x14ac:dyDescent="0.2"/>
    <row r="203" ht="16" x14ac:dyDescent="0.2"/>
    <row r="204" ht="16" x14ac:dyDescent="0.2"/>
    <row r="205" ht="16" x14ac:dyDescent="0.2"/>
    <row r="206" ht="16" x14ac:dyDescent="0.2"/>
    <row r="207" ht="16" x14ac:dyDescent="0.2"/>
    <row r="208" ht="16" x14ac:dyDescent="0.2"/>
    <row r="209" ht="16" x14ac:dyDescent="0.2"/>
    <row r="210" ht="16" x14ac:dyDescent="0.2"/>
    <row r="211" ht="16" x14ac:dyDescent="0.2"/>
    <row r="212" ht="16" x14ac:dyDescent="0.2"/>
    <row r="213" ht="16" x14ac:dyDescent="0.2"/>
    <row r="214" ht="16" x14ac:dyDescent="0.2"/>
    <row r="215" ht="16" x14ac:dyDescent="0.2"/>
    <row r="216" ht="16" x14ac:dyDescent="0.2"/>
    <row r="217" ht="16" x14ac:dyDescent="0.2"/>
    <row r="218" ht="16" x14ac:dyDescent="0.2"/>
    <row r="219" ht="16" x14ac:dyDescent="0.2"/>
    <row r="220" ht="16" x14ac:dyDescent="0.2"/>
    <row r="221" ht="16" x14ac:dyDescent="0.2"/>
    <row r="222" ht="16" x14ac:dyDescent="0.2"/>
    <row r="223" ht="16" x14ac:dyDescent="0.2"/>
    <row r="224" ht="16" x14ac:dyDescent="0.2"/>
    <row r="225" ht="16" x14ac:dyDescent="0.2"/>
    <row r="226" ht="16" x14ac:dyDescent="0.2"/>
    <row r="227" ht="16" x14ac:dyDescent="0.2"/>
    <row r="228" ht="16" x14ac:dyDescent="0.2"/>
    <row r="229" ht="16" x14ac:dyDescent="0.2"/>
    <row r="230" ht="16" x14ac:dyDescent="0.2"/>
    <row r="231" ht="16" x14ac:dyDescent="0.2"/>
    <row r="232" ht="16" x14ac:dyDescent="0.2"/>
    <row r="233" ht="16" x14ac:dyDescent="0.2"/>
    <row r="234" ht="16" x14ac:dyDescent="0.2"/>
    <row r="235" ht="16" x14ac:dyDescent="0.2"/>
    <row r="236" ht="16" x14ac:dyDescent="0.2"/>
    <row r="237" ht="16" x14ac:dyDescent="0.2"/>
    <row r="238" ht="16" x14ac:dyDescent="0.2"/>
    <row r="239" ht="16" x14ac:dyDescent="0.2"/>
    <row r="240" ht="16" x14ac:dyDescent="0.2"/>
    <row r="241" ht="16" x14ac:dyDescent="0.2"/>
    <row r="242" ht="16" x14ac:dyDescent="0.2"/>
    <row r="243" ht="16" x14ac:dyDescent="0.2"/>
    <row r="244" ht="16" x14ac:dyDescent="0.2"/>
    <row r="245" ht="16" x14ac:dyDescent="0.2"/>
    <row r="246" ht="16" x14ac:dyDescent="0.2"/>
    <row r="247" ht="16" x14ac:dyDescent="0.2"/>
    <row r="248" ht="16" x14ac:dyDescent="0.2"/>
    <row r="249" ht="16" x14ac:dyDescent="0.2"/>
    <row r="250" ht="16" x14ac:dyDescent="0.2"/>
    <row r="251" ht="16" x14ac:dyDescent="0.2"/>
    <row r="252" ht="16" x14ac:dyDescent="0.2"/>
    <row r="253" ht="16" x14ac:dyDescent="0.2"/>
    <row r="254" ht="16" x14ac:dyDescent="0.2"/>
    <row r="255" ht="16" x14ac:dyDescent="0.2"/>
    <row r="256" ht="16" x14ac:dyDescent="0.2"/>
    <row r="257" ht="16" x14ac:dyDescent="0.2"/>
    <row r="258" ht="16" x14ac:dyDescent="0.2"/>
    <row r="259" ht="16" x14ac:dyDescent="0.2"/>
    <row r="260" ht="16" x14ac:dyDescent="0.2"/>
    <row r="261" ht="16" x14ac:dyDescent="0.2"/>
    <row r="262" ht="16" x14ac:dyDescent="0.2"/>
    <row r="263" ht="16" x14ac:dyDescent="0.2"/>
    <row r="264" ht="16" x14ac:dyDescent="0.2"/>
    <row r="265" ht="16" x14ac:dyDescent="0.2"/>
    <row r="266" ht="16" x14ac:dyDescent="0.2"/>
    <row r="267" ht="16" x14ac:dyDescent="0.2"/>
    <row r="268" ht="16" x14ac:dyDescent="0.2"/>
    <row r="269" ht="16" x14ac:dyDescent="0.2"/>
    <row r="270" ht="16" x14ac:dyDescent="0.2"/>
    <row r="271" ht="16" x14ac:dyDescent="0.2"/>
    <row r="272" ht="16" x14ac:dyDescent="0.2"/>
    <row r="273" ht="16" x14ac:dyDescent="0.2"/>
    <row r="274" ht="16" x14ac:dyDescent="0.2"/>
    <row r="275" ht="16" x14ac:dyDescent="0.2"/>
    <row r="276" ht="16" x14ac:dyDescent="0.2"/>
    <row r="277" ht="16" x14ac:dyDescent="0.2"/>
    <row r="278" ht="16" x14ac:dyDescent="0.2"/>
    <row r="279" ht="16" x14ac:dyDescent="0.2"/>
    <row r="280" ht="16" x14ac:dyDescent="0.2"/>
    <row r="281" ht="16" x14ac:dyDescent="0.2"/>
    <row r="282" ht="16" x14ac:dyDescent="0.2"/>
    <row r="283" ht="16" x14ac:dyDescent="0.2"/>
    <row r="284" ht="16" x14ac:dyDescent="0.2"/>
    <row r="285" ht="16" x14ac:dyDescent="0.2"/>
    <row r="286" ht="16" x14ac:dyDescent="0.2"/>
    <row r="287" ht="16" x14ac:dyDescent="0.2"/>
    <row r="288" ht="16" x14ac:dyDescent="0.2"/>
    <row r="289" ht="16" x14ac:dyDescent="0.2"/>
    <row r="290" ht="16" x14ac:dyDescent="0.2"/>
    <row r="291" ht="16" x14ac:dyDescent="0.2"/>
    <row r="292" ht="16" x14ac:dyDescent="0.2"/>
    <row r="293" ht="16" x14ac:dyDescent="0.2"/>
    <row r="294" ht="16" x14ac:dyDescent="0.2"/>
    <row r="295" ht="16" x14ac:dyDescent="0.2"/>
    <row r="296" ht="16" x14ac:dyDescent="0.2"/>
    <row r="297" ht="16" x14ac:dyDescent="0.2"/>
    <row r="298" ht="16" x14ac:dyDescent="0.2"/>
    <row r="299" ht="16" x14ac:dyDescent="0.2"/>
    <row r="300" ht="16" x14ac:dyDescent="0.2"/>
    <row r="301" ht="16" x14ac:dyDescent="0.2"/>
    <row r="302" ht="16" x14ac:dyDescent="0.2"/>
    <row r="303" ht="16" x14ac:dyDescent="0.2"/>
    <row r="304" ht="16" x14ac:dyDescent="0.2"/>
    <row r="305" ht="16" x14ac:dyDescent="0.2"/>
    <row r="306" ht="16" x14ac:dyDescent="0.2"/>
    <row r="307" ht="16" x14ac:dyDescent="0.2"/>
    <row r="308" ht="16" x14ac:dyDescent="0.2"/>
    <row r="309" ht="16" x14ac:dyDescent="0.2"/>
    <row r="310" ht="16" x14ac:dyDescent="0.2"/>
    <row r="311" ht="16" x14ac:dyDescent="0.2"/>
    <row r="312" ht="16" x14ac:dyDescent="0.2"/>
    <row r="313" ht="16" x14ac:dyDescent="0.2"/>
    <row r="314" ht="16" x14ac:dyDescent="0.2"/>
    <row r="315" ht="16" x14ac:dyDescent="0.2"/>
    <row r="316" ht="16" x14ac:dyDescent="0.2"/>
    <row r="317" ht="16" x14ac:dyDescent="0.2"/>
    <row r="318" ht="16" x14ac:dyDescent="0.2"/>
    <row r="319" ht="16" x14ac:dyDescent="0.2"/>
    <row r="320" ht="16" x14ac:dyDescent="0.2"/>
    <row r="321" ht="16" x14ac:dyDescent="0.2"/>
    <row r="322" ht="16" x14ac:dyDescent="0.2"/>
    <row r="323" ht="16" x14ac:dyDescent="0.2"/>
    <row r="324" ht="16" x14ac:dyDescent="0.2"/>
    <row r="325" ht="16" x14ac:dyDescent="0.2"/>
    <row r="326" ht="16" x14ac:dyDescent="0.2"/>
    <row r="327" ht="16" x14ac:dyDescent="0.2"/>
    <row r="328" ht="16" x14ac:dyDescent="0.2"/>
    <row r="329" ht="16" x14ac:dyDescent="0.2"/>
    <row r="330" ht="16" x14ac:dyDescent="0.2"/>
    <row r="331" ht="16" x14ac:dyDescent="0.2"/>
    <row r="332" ht="16" x14ac:dyDescent="0.2"/>
    <row r="333" ht="16" x14ac:dyDescent="0.2"/>
    <row r="334" ht="16" x14ac:dyDescent="0.2"/>
    <row r="335" ht="16" x14ac:dyDescent="0.2"/>
    <row r="336" ht="16" x14ac:dyDescent="0.2"/>
    <row r="337" ht="16" x14ac:dyDescent="0.2"/>
    <row r="338" ht="16" x14ac:dyDescent="0.2"/>
    <row r="339" ht="16" x14ac:dyDescent="0.2"/>
    <row r="340" ht="16" x14ac:dyDescent="0.2"/>
    <row r="341" ht="16" x14ac:dyDescent="0.2"/>
    <row r="342" ht="16" x14ac:dyDescent="0.2"/>
    <row r="343" ht="16" x14ac:dyDescent="0.2"/>
    <row r="344" ht="16" x14ac:dyDescent="0.2"/>
    <row r="345" ht="16" x14ac:dyDescent="0.2"/>
    <row r="346" ht="16" x14ac:dyDescent="0.2"/>
    <row r="347" ht="16" x14ac:dyDescent="0.2"/>
    <row r="348" ht="16" x14ac:dyDescent="0.2"/>
    <row r="349" ht="16" x14ac:dyDescent="0.2"/>
    <row r="350" ht="16" x14ac:dyDescent="0.2"/>
    <row r="351" ht="16" x14ac:dyDescent="0.2"/>
    <row r="352" ht="16" x14ac:dyDescent="0.2"/>
    <row r="353" ht="16" x14ac:dyDescent="0.2"/>
    <row r="354" ht="16" x14ac:dyDescent="0.2"/>
    <row r="355" ht="16" x14ac:dyDescent="0.2"/>
    <row r="356" ht="16" x14ac:dyDescent="0.2"/>
    <row r="357" ht="16" x14ac:dyDescent="0.2"/>
    <row r="358" ht="16" x14ac:dyDescent="0.2"/>
    <row r="359" ht="16" x14ac:dyDescent="0.2"/>
    <row r="360" ht="16" x14ac:dyDescent="0.2"/>
    <row r="361" ht="16" x14ac:dyDescent="0.2"/>
    <row r="362" ht="16" x14ac:dyDescent="0.2"/>
    <row r="363" ht="16" x14ac:dyDescent="0.2"/>
    <row r="364" ht="16" x14ac:dyDescent="0.2"/>
    <row r="365" ht="16" x14ac:dyDescent="0.2"/>
    <row r="366" ht="16" x14ac:dyDescent="0.2"/>
    <row r="367" ht="16" x14ac:dyDescent="0.2"/>
    <row r="368" ht="16" x14ac:dyDescent="0.2"/>
    <row r="369" ht="16" x14ac:dyDescent="0.2"/>
    <row r="370" ht="16" x14ac:dyDescent="0.2"/>
    <row r="371" ht="16" x14ac:dyDescent="0.2"/>
    <row r="372" ht="16" x14ac:dyDescent="0.2"/>
    <row r="373" ht="16" x14ac:dyDescent="0.2"/>
    <row r="374" ht="16" x14ac:dyDescent="0.2"/>
    <row r="375" ht="16" x14ac:dyDescent="0.2"/>
    <row r="376" ht="16" x14ac:dyDescent="0.2"/>
    <row r="377" ht="16" x14ac:dyDescent="0.2"/>
    <row r="378" ht="16" x14ac:dyDescent="0.2"/>
    <row r="379" ht="16" x14ac:dyDescent="0.2"/>
    <row r="380" ht="16" x14ac:dyDescent="0.2"/>
    <row r="381" ht="16" x14ac:dyDescent="0.2"/>
    <row r="382" ht="16" x14ac:dyDescent="0.2"/>
    <row r="383" ht="16" x14ac:dyDescent="0.2"/>
    <row r="384" ht="16" x14ac:dyDescent="0.2"/>
    <row r="385" ht="16" x14ac:dyDescent="0.2"/>
    <row r="386" ht="16" x14ac:dyDescent="0.2"/>
    <row r="387" ht="16" x14ac:dyDescent="0.2"/>
    <row r="388" ht="16" x14ac:dyDescent="0.2"/>
    <row r="389" ht="16" x14ac:dyDescent="0.2"/>
    <row r="390" ht="16" x14ac:dyDescent="0.2"/>
    <row r="391" ht="16" x14ac:dyDescent="0.2"/>
    <row r="392" ht="16" x14ac:dyDescent="0.2"/>
    <row r="393" ht="16" x14ac:dyDescent="0.2"/>
    <row r="394" ht="16" x14ac:dyDescent="0.2"/>
    <row r="395" ht="16" x14ac:dyDescent="0.2"/>
    <row r="396" ht="16" x14ac:dyDescent="0.2"/>
    <row r="397" ht="16" x14ac:dyDescent="0.2"/>
    <row r="398" ht="16" x14ac:dyDescent="0.2"/>
    <row r="399" ht="16" x14ac:dyDescent="0.2"/>
    <row r="400" ht="16" x14ac:dyDescent="0.2"/>
    <row r="401" ht="16" x14ac:dyDescent="0.2"/>
    <row r="402" ht="16" x14ac:dyDescent="0.2"/>
    <row r="403" ht="16" x14ac:dyDescent="0.2"/>
    <row r="404" ht="16" x14ac:dyDescent="0.2"/>
    <row r="405" ht="16" x14ac:dyDescent="0.2"/>
    <row r="406" ht="16" x14ac:dyDescent="0.2"/>
    <row r="407" ht="16" x14ac:dyDescent="0.2"/>
    <row r="408" ht="16" x14ac:dyDescent="0.2"/>
    <row r="409" ht="16" x14ac:dyDescent="0.2"/>
    <row r="410" ht="16" x14ac:dyDescent="0.2"/>
    <row r="411" ht="16" x14ac:dyDescent="0.2"/>
    <row r="412" ht="16" x14ac:dyDescent="0.2"/>
    <row r="413" ht="16" x14ac:dyDescent="0.2"/>
    <row r="414" ht="16" x14ac:dyDescent="0.2"/>
    <row r="415" ht="16" x14ac:dyDescent="0.2"/>
    <row r="416" ht="16" x14ac:dyDescent="0.2"/>
    <row r="417" ht="16" x14ac:dyDescent="0.2"/>
    <row r="418" ht="16" x14ac:dyDescent="0.2"/>
    <row r="419" ht="16" x14ac:dyDescent="0.2"/>
    <row r="420" ht="16" x14ac:dyDescent="0.2"/>
    <row r="421" ht="16" x14ac:dyDescent="0.2"/>
    <row r="422" ht="16" x14ac:dyDescent="0.2"/>
    <row r="423" ht="16" x14ac:dyDescent="0.2"/>
    <row r="424" ht="16" x14ac:dyDescent="0.2"/>
    <row r="425" ht="16" x14ac:dyDescent="0.2"/>
    <row r="426" ht="16" x14ac:dyDescent="0.2"/>
    <row r="427" ht="16" x14ac:dyDescent="0.2"/>
    <row r="428" ht="16" x14ac:dyDescent="0.2"/>
    <row r="429" ht="16" x14ac:dyDescent="0.2"/>
    <row r="430" ht="16" x14ac:dyDescent="0.2"/>
    <row r="431" ht="16" x14ac:dyDescent="0.2"/>
    <row r="432" ht="16" x14ac:dyDescent="0.2"/>
    <row r="433" ht="16" x14ac:dyDescent="0.2"/>
    <row r="434" ht="16" x14ac:dyDescent="0.2"/>
    <row r="435" ht="16" x14ac:dyDescent="0.2"/>
    <row r="436" ht="16" x14ac:dyDescent="0.2"/>
    <row r="437" ht="16" x14ac:dyDescent="0.2"/>
    <row r="438" ht="16" x14ac:dyDescent="0.2"/>
    <row r="439" ht="16" x14ac:dyDescent="0.2"/>
    <row r="440" ht="16" x14ac:dyDescent="0.2"/>
    <row r="441" ht="16" x14ac:dyDescent="0.2"/>
    <row r="442" ht="16" x14ac:dyDescent="0.2"/>
    <row r="443" ht="16" x14ac:dyDescent="0.2"/>
    <row r="444" ht="16" x14ac:dyDescent="0.2"/>
    <row r="445" ht="16" x14ac:dyDescent="0.2"/>
    <row r="446" ht="16" x14ac:dyDescent="0.2"/>
    <row r="447" ht="16" x14ac:dyDescent="0.2"/>
    <row r="448" ht="16" x14ac:dyDescent="0.2"/>
    <row r="449" ht="16" x14ac:dyDescent="0.2"/>
    <row r="450" ht="16" x14ac:dyDescent="0.2"/>
    <row r="451" ht="16" x14ac:dyDescent="0.2"/>
    <row r="452" ht="16" x14ac:dyDescent="0.2"/>
    <row r="453" ht="16" x14ac:dyDescent="0.2"/>
    <row r="454" ht="16" x14ac:dyDescent="0.2"/>
    <row r="455" ht="16" x14ac:dyDescent="0.2"/>
    <row r="456" ht="16" x14ac:dyDescent="0.2"/>
    <row r="457" ht="16" x14ac:dyDescent="0.2"/>
    <row r="458" ht="16" x14ac:dyDescent="0.2"/>
    <row r="459" ht="16" x14ac:dyDescent="0.2"/>
    <row r="460" ht="16" x14ac:dyDescent="0.2"/>
    <row r="461" ht="16" x14ac:dyDescent="0.2"/>
    <row r="462" ht="16" x14ac:dyDescent="0.2"/>
    <row r="463" ht="16" x14ac:dyDescent="0.2"/>
    <row r="464" ht="16" x14ac:dyDescent="0.2"/>
    <row r="465" ht="16" x14ac:dyDescent="0.2"/>
    <row r="466" ht="16" x14ac:dyDescent="0.2"/>
    <row r="467" ht="16" x14ac:dyDescent="0.2"/>
    <row r="468" ht="16" x14ac:dyDescent="0.2"/>
    <row r="469" ht="16" x14ac:dyDescent="0.2"/>
    <row r="470" ht="16" x14ac:dyDescent="0.2"/>
    <row r="471" ht="16" x14ac:dyDescent="0.2"/>
    <row r="472" ht="16" x14ac:dyDescent="0.2"/>
    <row r="473" ht="16" x14ac:dyDescent="0.2"/>
    <row r="474" ht="16" x14ac:dyDescent="0.2"/>
    <row r="475" ht="16" x14ac:dyDescent="0.2"/>
    <row r="476" ht="16" x14ac:dyDescent="0.2"/>
    <row r="477" ht="16" x14ac:dyDescent="0.2"/>
    <row r="478" ht="16" x14ac:dyDescent="0.2"/>
    <row r="479" ht="16" x14ac:dyDescent="0.2"/>
    <row r="480" ht="16" x14ac:dyDescent="0.2"/>
    <row r="481" ht="16" x14ac:dyDescent="0.2"/>
    <row r="482" ht="16" x14ac:dyDescent="0.2"/>
    <row r="483" ht="16" x14ac:dyDescent="0.2"/>
    <row r="484" ht="16" x14ac:dyDescent="0.2"/>
    <row r="485" ht="16" x14ac:dyDescent="0.2"/>
    <row r="486" ht="16" x14ac:dyDescent="0.2"/>
    <row r="487" ht="16" x14ac:dyDescent="0.2"/>
    <row r="488" ht="16" x14ac:dyDescent="0.2"/>
    <row r="489" ht="16" x14ac:dyDescent="0.2"/>
    <row r="490" ht="16" x14ac:dyDescent="0.2"/>
    <row r="491" ht="16" x14ac:dyDescent="0.2"/>
    <row r="492" ht="16" x14ac:dyDescent="0.2"/>
    <row r="493" ht="16" x14ac:dyDescent="0.2"/>
    <row r="494" ht="16" x14ac:dyDescent="0.2"/>
    <row r="495" ht="16" x14ac:dyDescent="0.2"/>
    <row r="496" ht="16" x14ac:dyDescent="0.2"/>
    <row r="497" ht="16" x14ac:dyDescent="0.2"/>
    <row r="498" ht="16" x14ac:dyDescent="0.2"/>
    <row r="499" ht="16" x14ac:dyDescent="0.2"/>
    <row r="500" ht="16" x14ac:dyDescent="0.2"/>
    <row r="501" ht="16" x14ac:dyDescent="0.2"/>
    <row r="502" ht="16" x14ac:dyDescent="0.2"/>
    <row r="503" ht="16" x14ac:dyDescent="0.2"/>
    <row r="504" ht="16" x14ac:dyDescent="0.2"/>
    <row r="505" ht="16" x14ac:dyDescent="0.2"/>
    <row r="506" ht="16" x14ac:dyDescent="0.2"/>
    <row r="507" ht="16" x14ac:dyDescent="0.2"/>
    <row r="508" ht="16" x14ac:dyDescent="0.2"/>
    <row r="509" ht="16" x14ac:dyDescent="0.2"/>
    <row r="510" ht="16" x14ac:dyDescent="0.2"/>
    <row r="511" ht="16" x14ac:dyDescent="0.2"/>
    <row r="512" ht="16" x14ac:dyDescent="0.2"/>
    <row r="513" ht="16" x14ac:dyDescent="0.2"/>
    <row r="514" ht="16" x14ac:dyDescent="0.2"/>
    <row r="515" ht="16" x14ac:dyDescent="0.2"/>
    <row r="516" ht="16" x14ac:dyDescent="0.2"/>
    <row r="517" ht="16" x14ac:dyDescent="0.2"/>
    <row r="518" ht="16" x14ac:dyDescent="0.2"/>
    <row r="519" ht="16" x14ac:dyDescent="0.2"/>
    <row r="520" ht="16" x14ac:dyDescent="0.2"/>
    <row r="521" ht="16" x14ac:dyDescent="0.2"/>
    <row r="522" ht="16" x14ac:dyDescent="0.2"/>
    <row r="523" ht="16" x14ac:dyDescent="0.2"/>
    <row r="524" ht="16" x14ac:dyDescent="0.2"/>
    <row r="525" ht="16" x14ac:dyDescent="0.2"/>
    <row r="526" ht="16" x14ac:dyDescent="0.2"/>
    <row r="527" ht="16" x14ac:dyDescent="0.2"/>
    <row r="528" ht="16" x14ac:dyDescent="0.2"/>
    <row r="529" ht="16" x14ac:dyDescent="0.2"/>
    <row r="530" ht="16" x14ac:dyDescent="0.2"/>
    <row r="531" ht="16" x14ac:dyDescent="0.2"/>
    <row r="532" ht="16" x14ac:dyDescent="0.2"/>
    <row r="533" ht="16" x14ac:dyDescent="0.2"/>
    <row r="534" ht="16" x14ac:dyDescent="0.2"/>
    <row r="535" ht="16" x14ac:dyDescent="0.2"/>
    <row r="536" ht="16" x14ac:dyDescent="0.2"/>
    <row r="537" ht="16" x14ac:dyDescent="0.2"/>
    <row r="538" ht="16" x14ac:dyDescent="0.2"/>
    <row r="539" ht="16" x14ac:dyDescent="0.2"/>
    <row r="540" ht="16" x14ac:dyDescent="0.2"/>
    <row r="541" ht="16" x14ac:dyDescent="0.2"/>
    <row r="542" ht="16" x14ac:dyDescent="0.2"/>
    <row r="543" ht="16" x14ac:dyDescent="0.2"/>
    <row r="544" ht="16" x14ac:dyDescent="0.2"/>
    <row r="545" ht="16" x14ac:dyDescent="0.2"/>
    <row r="546" ht="16" x14ac:dyDescent="0.2"/>
    <row r="547" ht="16" x14ac:dyDescent="0.2"/>
    <row r="548" ht="16" x14ac:dyDescent="0.2"/>
    <row r="549" ht="16" x14ac:dyDescent="0.2"/>
    <row r="550" ht="16" x14ac:dyDescent="0.2"/>
    <row r="551" ht="16" x14ac:dyDescent="0.2"/>
    <row r="552" ht="16" x14ac:dyDescent="0.2"/>
    <row r="553" ht="16" x14ac:dyDescent="0.2"/>
    <row r="554" ht="16" x14ac:dyDescent="0.2"/>
    <row r="555" ht="16" x14ac:dyDescent="0.2"/>
    <row r="556" ht="16" x14ac:dyDescent="0.2"/>
    <row r="557" ht="16" x14ac:dyDescent="0.2"/>
    <row r="558" ht="16" x14ac:dyDescent="0.2"/>
    <row r="559" ht="16" x14ac:dyDescent="0.2"/>
    <row r="560" ht="16" x14ac:dyDescent="0.2"/>
    <row r="561" ht="16" x14ac:dyDescent="0.2"/>
    <row r="562" ht="16" x14ac:dyDescent="0.2"/>
    <row r="563" ht="16" x14ac:dyDescent="0.2"/>
    <row r="564" ht="16" x14ac:dyDescent="0.2"/>
    <row r="565" ht="16" x14ac:dyDescent="0.2"/>
    <row r="566" ht="16" x14ac:dyDescent="0.2"/>
    <row r="567" ht="16" x14ac:dyDescent="0.2"/>
    <row r="568" ht="16" x14ac:dyDescent="0.2"/>
    <row r="569" ht="16" x14ac:dyDescent="0.2"/>
    <row r="570" ht="16" x14ac:dyDescent="0.2"/>
    <row r="571" ht="16" x14ac:dyDescent="0.2"/>
    <row r="572" ht="16" x14ac:dyDescent="0.2"/>
    <row r="573" ht="16" x14ac:dyDescent="0.2"/>
    <row r="574" ht="16" x14ac:dyDescent="0.2"/>
    <row r="575" ht="16" x14ac:dyDescent="0.2"/>
    <row r="576" ht="16" x14ac:dyDescent="0.2"/>
    <row r="577" ht="16" x14ac:dyDescent="0.2"/>
    <row r="578" ht="16" x14ac:dyDescent="0.2"/>
    <row r="579" ht="16" x14ac:dyDescent="0.2"/>
    <row r="580" ht="16" x14ac:dyDescent="0.2"/>
    <row r="581" ht="16" x14ac:dyDescent="0.2"/>
    <row r="582" ht="16" x14ac:dyDescent="0.2"/>
    <row r="583" ht="16" x14ac:dyDescent="0.2"/>
    <row r="584" ht="16" x14ac:dyDescent="0.2"/>
    <row r="585" ht="16" x14ac:dyDescent="0.2"/>
    <row r="586" ht="16" x14ac:dyDescent="0.2"/>
    <row r="587" ht="16" x14ac:dyDescent="0.2"/>
    <row r="588" ht="16" x14ac:dyDescent="0.2"/>
    <row r="589" ht="16" x14ac:dyDescent="0.2"/>
    <row r="590" ht="16" x14ac:dyDescent="0.2"/>
    <row r="591" ht="16" x14ac:dyDescent="0.2"/>
    <row r="592" ht="16" x14ac:dyDescent="0.2"/>
    <row r="593" ht="16" x14ac:dyDescent="0.2"/>
    <row r="594" ht="16" x14ac:dyDescent="0.2"/>
    <row r="595" ht="16" x14ac:dyDescent="0.2"/>
    <row r="596" ht="16" x14ac:dyDescent="0.2"/>
    <row r="597" ht="16" x14ac:dyDescent="0.2"/>
    <row r="598" ht="16" x14ac:dyDescent="0.2"/>
    <row r="599" ht="16" x14ac:dyDescent="0.2"/>
    <row r="600" ht="16" x14ac:dyDescent="0.2"/>
    <row r="601" ht="16" x14ac:dyDescent="0.2"/>
    <row r="602" ht="16" x14ac:dyDescent="0.2"/>
    <row r="603" ht="16" x14ac:dyDescent="0.2"/>
    <row r="604" ht="16" x14ac:dyDescent="0.2"/>
    <row r="605" ht="16" x14ac:dyDescent="0.2"/>
    <row r="606" ht="16" x14ac:dyDescent="0.2"/>
    <row r="607" ht="16" x14ac:dyDescent="0.2"/>
    <row r="608" ht="16" x14ac:dyDescent="0.2"/>
    <row r="609" ht="16" x14ac:dyDescent="0.2"/>
    <row r="610" ht="16" x14ac:dyDescent="0.2"/>
    <row r="611" ht="16" x14ac:dyDescent="0.2"/>
    <row r="612" ht="16" x14ac:dyDescent="0.2"/>
    <row r="613" ht="16" x14ac:dyDescent="0.2"/>
    <row r="614" ht="16" x14ac:dyDescent="0.2"/>
    <row r="615" ht="16" x14ac:dyDescent="0.2"/>
    <row r="616" ht="16" x14ac:dyDescent="0.2"/>
    <row r="617" ht="16" x14ac:dyDescent="0.2"/>
    <row r="618" ht="16" x14ac:dyDescent="0.2"/>
    <row r="619" ht="16" x14ac:dyDescent="0.2"/>
    <row r="620" ht="16" x14ac:dyDescent="0.2"/>
    <row r="621" ht="16" x14ac:dyDescent="0.2"/>
    <row r="622" ht="16" x14ac:dyDescent="0.2"/>
    <row r="623" ht="16" x14ac:dyDescent="0.2"/>
    <row r="624" ht="16" x14ac:dyDescent="0.2"/>
    <row r="625" ht="16" x14ac:dyDescent="0.2"/>
    <row r="626" ht="16" x14ac:dyDescent="0.2"/>
    <row r="627" ht="16" x14ac:dyDescent="0.2"/>
    <row r="628" ht="16" x14ac:dyDescent="0.2"/>
    <row r="629" ht="16" x14ac:dyDescent="0.2"/>
    <row r="630" ht="16" x14ac:dyDescent="0.2"/>
    <row r="631" ht="16" x14ac:dyDescent="0.2"/>
    <row r="632" ht="16" x14ac:dyDescent="0.2"/>
    <row r="633" ht="16" x14ac:dyDescent="0.2"/>
    <row r="634" ht="16" x14ac:dyDescent="0.2"/>
    <row r="635" ht="16" x14ac:dyDescent="0.2"/>
    <row r="636" ht="16" x14ac:dyDescent="0.2"/>
    <row r="637" ht="16" x14ac:dyDescent="0.2"/>
    <row r="638" ht="16" x14ac:dyDescent="0.2"/>
    <row r="639" ht="16" x14ac:dyDescent="0.2"/>
    <row r="640" ht="16" x14ac:dyDescent="0.2"/>
    <row r="641" ht="16" x14ac:dyDescent="0.2"/>
    <row r="642" ht="16" x14ac:dyDescent="0.2"/>
    <row r="643" ht="16" x14ac:dyDescent="0.2"/>
    <row r="644" ht="16" x14ac:dyDescent="0.2"/>
    <row r="645" ht="16" x14ac:dyDescent="0.2"/>
    <row r="646" ht="16" x14ac:dyDescent="0.2"/>
    <row r="647" ht="16" x14ac:dyDescent="0.2"/>
    <row r="648" ht="16" x14ac:dyDescent="0.2"/>
    <row r="649" ht="16" x14ac:dyDescent="0.2"/>
    <row r="650" ht="16" x14ac:dyDescent="0.2"/>
    <row r="651" ht="16" x14ac:dyDescent="0.2"/>
    <row r="652" ht="16" x14ac:dyDescent="0.2"/>
    <row r="653" ht="16" x14ac:dyDescent="0.2"/>
    <row r="654" ht="16" x14ac:dyDescent="0.2"/>
    <row r="655" ht="16" x14ac:dyDescent="0.2"/>
    <row r="656" ht="16" x14ac:dyDescent="0.2"/>
    <row r="657" ht="16" x14ac:dyDescent="0.2"/>
    <row r="658" ht="16" x14ac:dyDescent="0.2"/>
    <row r="659" ht="16" x14ac:dyDescent="0.2"/>
    <row r="660" ht="16" x14ac:dyDescent="0.2"/>
    <row r="661" ht="16" x14ac:dyDescent="0.2"/>
    <row r="662" ht="16" x14ac:dyDescent="0.2"/>
    <row r="663" ht="16" x14ac:dyDescent="0.2"/>
    <row r="664" ht="16" x14ac:dyDescent="0.2"/>
    <row r="665" ht="16" x14ac:dyDescent="0.2"/>
    <row r="666" ht="16" x14ac:dyDescent="0.2"/>
    <row r="667" ht="16" x14ac:dyDescent="0.2"/>
    <row r="668" ht="16" x14ac:dyDescent="0.2"/>
    <row r="669" ht="16" x14ac:dyDescent="0.2"/>
    <row r="670" ht="16" x14ac:dyDescent="0.2"/>
    <row r="671" ht="16" x14ac:dyDescent="0.2"/>
    <row r="672" ht="16" x14ac:dyDescent="0.2"/>
    <row r="673" ht="16" x14ac:dyDescent="0.2"/>
    <row r="674" ht="16" x14ac:dyDescent="0.2"/>
    <row r="675" ht="16" x14ac:dyDescent="0.2"/>
    <row r="676" ht="16" x14ac:dyDescent="0.2"/>
    <row r="677" ht="16" x14ac:dyDescent="0.2"/>
    <row r="678" ht="16" x14ac:dyDescent="0.2"/>
    <row r="679" ht="16" x14ac:dyDescent="0.2"/>
    <row r="680" ht="16" x14ac:dyDescent="0.2"/>
    <row r="681" ht="16" x14ac:dyDescent="0.2"/>
    <row r="682" ht="16" x14ac:dyDescent="0.2"/>
    <row r="683" ht="16" x14ac:dyDescent="0.2"/>
    <row r="684" ht="16" x14ac:dyDescent="0.2"/>
    <row r="685" ht="16" x14ac:dyDescent="0.2"/>
    <row r="686" ht="16" x14ac:dyDescent="0.2"/>
    <row r="687" ht="16" x14ac:dyDescent="0.2"/>
    <row r="688" ht="16" x14ac:dyDescent="0.2"/>
    <row r="689" ht="16" x14ac:dyDescent="0.2"/>
    <row r="690" ht="16" x14ac:dyDescent="0.2"/>
    <row r="691" ht="16" x14ac:dyDescent="0.2"/>
    <row r="692" ht="16" x14ac:dyDescent="0.2"/>
    <row r="693" ht="16" x14ac:dyDescent="0.2"/>
    <row r="694" ht="16" x14ac:dyDescent="0.2"/>
    <row r="695" ht="16" x14ac:dyDescent="0.2"/>
    <row r="696" ht="16" x14ac:dyDescent="0.2"/>
    <row r="697" ht="16" x14ac:dyDescent="0.2"/>
    <row r="698" ht="16" x14ac:dyDescent="0.2"/>
    <row r="699" ht="16" x14ac:dyDescent="0.2"/>
    <row r="700" ht="16" x14ac:dyDescent="0.2"/>
    <row r="701" ht="16" x14ac:dyDescent="0.2"/>
    <row r="702" ht="16" x14ac:dyDescent="0.2"/>
    <row r="703" ht="16" x14ac:dyDescent="0.2"/>
    <row r="704" ht="16" x14ac:dyDescent="0.2"/>
    <row r="705" ht="16" x14ac:dyDescent="0.2"/>
    <row r="706" ht="16" x14ac:dyDescent="0.2"/>
    <row r="707" ht="16" x14ac:dyDescent="0.2"/>
    <row r="708" ht="16" x14ac:dyDescent="0.2"/>
    <row r="709" ht="16" x14ac:dyDescent="0.2"/>
    <row r="710" ht="16" x14ac:dyDescent="0.2"/>
    <row r="711" ht="16" x14ac:dyDescent="0.2"/>
    <row r="712" ht="16" x14ac:dyDescent="0.2"/>
    <row r="713" ht="16" x14ac:dyDescent="0.2"/>
    <row r="714" ht="16" x14ac:dyDescent="0.2"/>
    <row r="715" ht="16" x14ac:dyDescent="0.2"/>
    <row r="716" ht="16" x14ac:dyDescent="0.2"/>
    <row r="717" ht="16" x14ac:dyDescent="0.2"/>
    <row r="718" ht="16" x14ac:dyDescent="0.2"/>
    <row r="719" ht="16" x14ac:dyDescent="0.2"/>
    <row r="720" ht="16" x14ac:dyDescent="0.2"/>
    <row r="721" ht="16" x14ac:dyDescent="0.2"/>
    <row r="722" ht="16" x14ac:dyDescent="0.2"/>
    <row r="723" ht="16" x14ac:dyDescent="0.2"/>
    <row r="724" ht="16" x14ac:dyDescent="0.2"/>
    <row r="725" ht="16" x14ac:dyDescent="0.2"/>
    <row r="726" ht="16" x14ac:dyDescent="0.2"/>
    <row r="727" ht="16" x14ac:dyDescent="0.2"/>
    <row r="728" ht="16" x14ac:dyDescent="0.2"/>
    <row r="729" ht="16" x14ac:dyDescent="0.2"/>
    <row r="730" ht="16" x14ac:dyDescent="0.2"/>
    <row r="731" ht="16" x14ac:dyDescent="0.2"/>
    <row r="732" ht="16" x14ac:dyDescent="0.2"/>
    <row r="733" ht="16" x14ac:dyDescent="0.2"/>
    <row r="734" ht="16" x14ac:dyDescent="0.2"/>
    <row r="735" ht="16" x14ac:dyDescent="0.2"/>
    <row r="736" ht="16" x14ac:dyDescent="0.2"/>
    <row r="737" ht="16" x14ac:dyDescent="0.2"/>
    <row r="738" ht="16" x14ac:dyDescent="0.2"/>
    <row r="739" ht="16" x14ac:dyDescent="0.2"/>
    <row r="740" ht="16" x14ac:dyDescent="0.2"/>
    <row r="741" ht="16" x14ac:dyDescent="0.2"/>
    <row r="742" ht="16" x14ac:dyDescent="0.2"/>
    <row r="743" ht="16" x14ac:dyDescent="0.2"/>
    <row r="744" ht="16" x14ac:dyDescent="0.2"/>
    <row r="745" ht="16" x14ac:dyDescent="0.2"/>
    <row r="746" ht="16" x14ac:dyDescent="0.2"/>
    <row r="747" ht="16" x14ac:dyDescent="0.2"/>
    <row r="748" ht="16" x14ac:dyDescent="0.2"/>
    <row r="749" ht="16" x14ac:dyDescent="0.2"/>
    <row r="750" ht="16" x14ac:dyDescent="0.2"/>
    <row r="751" ht="16" x14ac:dyDescent="0.2"/>
    <row r="752" ht="16" x14ac:dyDescent="0.2"/>
    <row r="753" ht="16" x14ac:dyDescent="0.2"/>
    <row r="754" ht="16" x14ac:dyDescent="0.2"/>
    <row r="755" ht="16" x14ac:dyDescent="0.2"/>
    <row r="756" ht="16" x14ac:dyDescent="0.2"/>
    <row r="757" ht="16" x14ac:dyDescent="0.2"/>
    <row r="758" ht="16" x14ac:dyDescent="0.2"/>
    <row r="759" ht="16" x14ac:dyDescent="0.2"/>
    <row r="760" ht="16" x14ac:dyDescent="0.2"/>
    <row r="761" ht="16" x14ac:dyDescent="0.2"/>
    <row r="762" ht="16" x14ac:dyDescent="0.2"/>
    <row r="763" ht="16" x14ac:dyDescent="0.2"/>
    <row r="764" ht="16" x14ac:dyDescent="0.2"/>
    <row r="765" ht="16" x14ac:dyDescent="0.2"/>
    <row r="766" ht="16" x14ac:dyDescent="0.2"/>
    <row r="767" ht="16" x14ac:dyDescent="0.2"/>
    <row r="768" ht="16" x14ac:dyDescent="0.2"/>
    <row r="769" ht="16" x14ac:dyDescent="0.2"/>
    <row r="770" ht="16" x14ac:dyDescent="0.2"/>
    <row r="771" ht="16" x14ac:dyDescent="0.2"/>
    <row r="772" ht="16" x14ac:dyDescent="0.2"/>
    <row r="773" ht="16" x14ac:dyDescent="0.2"/>
    <row r="774" ht="16" x14ac:dyDescent="0.2"/>
    <row r="775" ht="16" x14ac:dyDescent="0.2"/>
    <row r="776" ht="16" x14ac:dyDescent="0.2"/>
    <row r="777" ht="16" x14ac:dyDescent="0.2"/>
    <row r="778" ht="16" x14ac:dyDescent="0.2"/>
    <row r="779" ht="16" x14ac:dyDescent="0.2"/>
    <row r="780" ht="16" x14ac:dyDescent="0.2"/>
    <row r="781" ht="16" x14ac:dyDescent="0.2"/>
    <row r="782" ht="16" x14ac:dyDescent="0.2"/>
    <row r="783" ht="16" x14ac:dyDescent="0.2"/>
    <row r="784" ht="16" x14ac:dyDescent="0.2"/>
    <row r="785" ht="16" x14ac:dyDescent="0.2"/>
    <row r="786" ht="16" x14ac:dyDescent="0.2"/>
    <row r="787" ht="16" x14ac:dyDescent="0.2"/>
    <row r="788" ht="16" x14ac:dyDescent="0.2"/>
    <row r="789" ht="16" x14ac:dyDescent="0.2"/>
    <row r="790" ht="16" x14ac:dyDescent="0.2"/>
    <row r="791" ht="16" x14ac:dyDescent="0.2"/>
    <row r="792" ht="16" x14ac:dyDescent="0.2"/>
    <row r="793" ht="16" x14ac:dyDescent="0.2"/>
    <row r="794" ht="16" x14ac:dyDescent="0.2"/>
    <row r="795" ht="16" x14ac:dyDescent="0.2"/>
    <row r="796" ht="16" x14ac:dyDescent="0.2"/>
    <row r="797" ht="16" x14ac:dyDescent="0.2"/>
    <row r="798" ht="16" x14ac:dyDescent="0.2"/>
    <row r="799" ht="16" x14ac:dyDescent="0.2"/>
    <row r="800" ht="16" x14ac:dyDescent="0.2"/>
    <row r="801" ht="16" x14ac:dyDescent="0.2"/>
    <row r="802" ht="16" x14ac:dyDescent="0.2"/>
    <row r="803" ht="16" x14ac:dyDescent="0.2"/>
    <row r="804" ht="16" x14ac:dyDescent="0.2"/>
    <row r="805" ht="16" x14ac:dyDescent="0.2"/>
    <row r="806" ht="16" x14ac:dyDescent="0.2"/>
    <row r="807" ht="16" x14ac:dyDescent="0.2"/>
    <row r="808" ht="16" x14ac:dyDescent="0.2"/>
    <row r="809" ht="16" x14ac:dyDescent="0.2"/>
    <row r="810" ht="16" x14ac:dyDescent="0.2"/>
    <row r="811" ht="16" x14ac:dyDescent="0.2"/>
    <row r="812" ht="16" x14ac:dyDescent="0.2"/>
    <row r="813" ht="16" x14ac:dyDescent="0.2"/>
    <row r="814" ht="16" x14ac:dyDescent="0.2"/>
    <row r="815" ht="16" x14ac:dyDescent="0.2"/>
    <row r="816" ht="16" x14ac:dyDescent="0.2"/>
    <row r="817" ht="16" x14ac:dyDescent="0.2"/>
    <row r="818" ht="16" x14ac:dyDescent="0.2"/>
    <row r="819" ht="16" x14ac:dyDescent="0.2"/>
    <row r="820" ht="16" x14ac:dyDescent="0.2"/>
    <row r="821" ht="16" x14ac:dyDescent="0.2"/>
    <row r="822" ht="16" x14ac:dyDescent="0.2"/>
    <row r="823" ht="16" x14ac:dyDescent="0.2"/>
    <row r="824" ht="16" x14ac:dyDescent="0.2"/>
    <row r="825" ht="16" x14ac:dyDescent="0.2"/>
    <row r="826" ht="16" x14ac:dyDescent="0.2"/>
    <row r="827" ht="16" x14ac:dyDescent="0.2"/>
    <row r="828" ht="16" x14ac:dyDescent="0.2"/>
    <row r="829" ht="16" x14ac:dyDescent="0.2"/>
    <row r="830" ht="16" x14ac:dyDescent="0.2"/>
    <row r="831" ht="16" x14ac:dyDescent="0.2"/>
    <row r="832" ht="16" x14ac:dyDescent="0.2"/>
    <row r="833" ht="16" x14ac:dyDescent="0.2"/>
    <row r="834" ht="16" x14ac:dyDescent="0.2"/>
    <row r="835" ht="16" x14ac:dyDescent="0.2"/>
    <row r="836" ht="16" x14ac:dyDescent="0.2"/>
    <row r="837" ht="16" x14ac:dyDescent="0.2"/>
    <row r="838" ht="16" x14ac:dyDescent="0.2"/>
    <row r="839" ht="16" x14ac:dyDescent="0.2"/>
    <row r="840" ht="16" x14ac:dyDescent="0.2"/>
    <row r="841" ht="16" x14ac:dyDescent="0.2"/>
    <row r="842" ht="16" x14ac:dyDescent="0.2"/>
    <row r="843" ht="16" x14ac:dyDescent="0.2"/>
    <row r="844" ht="16" x14ac:dyDescent="0.2"/>
    <row r="845" ht="16" x14ac:dyDescent="0.2"/>
    <row r="846" ht="16" x14ac:dyDescent="0.2"/>
    <row r="847" ht="16" x14ac:dyDescent="0.2"/>
    <row r="848" ht="16" x14ac:dyDescent="0.2"/>
    <row r="849" ht="16" x14ac:dyDescent="0.2"/>
    <row r="850" ht="16" x14ac:dyDescent="0.2"/>
    <row r="851" ht="16" x14ac:dyDescent="0.2"/>
    <row r="852" ht="16" x14ac:dyDescent="0.2"/>
    <row r="853" ht="16" x14ac:dyDescent="0.2"/>
    <row r="854" ht="16" x14ac:dyDescent="0.2"/>
    <row r="855" ht="16" x14ac:dyDescent="0.2"/>
    <row r="856" ht="16" x14ac:dyDescent="0.2"/>
    <row r="857" ht="16" x14ac:dyDescent="0.2"/>
    <row r="858" ht="16" x14ac:dyDescent="0.2"/>
    <row r="859" ht="16" x14ac:dyDescent="0.2"/>
    <row r="860" ht="16" x14ac:dyDescent="0.2"/>
    <row r="861" ht="16" x14ac:dyDescent="0.2"/>
    <row r="862" ht="16" x14ac:dyDescent="0.2"/>
    <row r="863" ht="16" x14ac:dyDescent="0.2"/>
    <row r="864" ht="16" x14ac:dyDescent="0.2"/>
    <row r="865" ht="16" x14ac:dyDescent="0.2"/>
    <row r="866" ht="16" x14ac:dyDescent="0.2"/>
    <row r="867" ht="16" x14ac:dyDescent="0.2"/>
    <row r="868" ht="16" x14ac:dyDescent="0.2"/>
    <row r="869" ht="16" x14ac:dyDescent="0.2"/>
    <row r="870" ht="16" x14ac:dyDescent="0.2"/>
    <row r="871" ht="16" x14ac:dyDescent="0.2"/>
    <row r="872" ht="16" x14ac:dyDescent="0.2"/>
    <row r="873" ht="16" x14ac:dyDescent="0.2"/>
    <row r="874" ht="16" x14ac:dyDescent="0.2"/>
    <row r="875" ht="16" x14ac:dyDescent="0.2"/>
    <row r="876" ht="16" x14ac:dyDescent="0.2"/>
    <row r="877" ht="16" x14ac:dyDescent="0.2"/>
    <row r="878" ht="16" x14ac:dyDescent="0.2"/>
    <row r="879" ht="16" x14ac:dyDescent="0.2"/>
    <row r="880" ht="16" x14ac:dyDescent="0.2"/>
    <row r="881" ht="16" x14ac:dyDescent="0.2"/>
    <row r="882" ht="16" x14ac:dyDescent="0.2"/>
    <row r="883" ht="16" x14ac:dyDescent="0.2"/>
    <row r="884" ht="16" x14ac:dyDescent="0.2"/>
    <row r="885" ht="16" x14ac:dyDescent="0.2"/>
    <row r="886" ht="16" x14ac:dyDescent="0.2"/>
    <row r="887" ht="16" x14ac:dyDescent="0.2"/>
    <row r="888" ht="16" x14ac:dyDescent="0.2"/>
    <row r="889" ht="16" x14ac:dyDescent="0.2"/>
    <row r="890" ht="16" x14ac:dyDescent="0.2"/>
    <row r="891" ht="16" x14ac:dyDescent="0.2"/>
    <row r="892" ht="16" x14ac:dyDescent="0.2"/>
    <row r="893" ht="16" x14ac:dyDescent="0.2"/>
    <row r="894" ht="16" x14ac:dyDescent="0.2"/>
    <row r="895" ht="16" x14ac:dyDescent="0.2"/>
    <row r="896" ht="16" x14ac:dyDescent="0.2"/>
    <row r="897" ht="16" x14ac:dyDescent="0.2"/>
    <row r="898" ht="16" x14ac:dyDescent="0.2"/>
    <row r="899" ht="16" x14ac:dyDescent="0.2"/>
    <row r="900" ht="16" x14ac:dyDescent="0.2"/>
    <row r="901" ht="16" x14ac:dyDescent="0.2"/>
    <row r="902" ht="16" x14ac:dyDescent="0.2"/>
    <row r="903" ht="16" x14ac:dyDescent="0.2"/>
    <row r="904" ht="16" x14ac:dyDescent="0.2"/>
    <row r="905" ht="16" x14ac:dyDescent="0.2"/>
    <row r="906" ht="16" x14ac:dyDescent="0.2"/>
    <row r="907" ht="16" x14ac:dyDescent="0.2"/>
    <row r="908" ht="16" x14ac:dyDescent="0.2"/>
    <row r="909" ht="16" x14ac:dyDescent="0.2"/>
    <row r="910" ht="16" x14ac:dyDescent="0.2"/>
    <row r="911" ht="16" x14ac:dyDescent="0.2"/>
    <row r="912" ht="16" x14ac:dyDescent="0.2"/>
    <row r="913" ht="16" x14ac:dyDescent="0.2"/>
    <row r="914" ht="16" x14ac:dyDescent="0.2"/>
    <row r="915" ht="16" x14ac:dyDescent="0.2"/>
    <row r="916" ht="16" x14ac:dyDescent="0.2"/>
    <row r="917" ht="16" x14ac:dyDescent="0.2"/>
    <row r="918" ht="16" x14ac:dyDescent="0.2"/>
    <row r="919" ht="16" x14ac:dyDescent="0.2"/>
    <row r="920" ht="16" x14ac:dyDescent="0.2"/>
    <row r="921" ht="16" x14ac:dyDescent="0.2"/>
    <row r="922" ht="16" x14ac:dyDescent="0.2"/>
    <row r="923" ht="16" x14ac:dyDescent="0.2"/>
    <row r="924" ht="16" x14ac:dyDescent="0.2"/>
    <row r="925" ht="16" x14ac:dyDescent="0.2"/>
    <row r="926" ht="16" x14ac:dyDescent="0.2"/>
    <row r="927" ht="16" x14ac:dyDescent="0.2"/>
    <row r="928" ht="16" x14ac:dyDescent="0.2"/>
    <row r="929" ht="16" x14ac:dyDescent="0.2"/>
    <row r="930" ht="16" x14ac:dyDescent="0.2"/>
    <row r="931" ht="16" x14ac:dyDescent="0.2"/>
    <row r="932" ht="16" x14ac:dyDescent="0.2"/>
    <row r="933" ht="16" x14ac:dyDescent="0.2"/>
    <row r="934" ht="16" x14ac:dyDescent="0.2"/>
    <row r="935" ht="16" x14ac:dyDescent="0.2"/>
    <row r="936" ht="16" x14ac:dyDescent="0.2"/>
    <row r="937" ht="16" x14ac:dyDescent="0.2"/>
    <row r="938" ht="16" x14ac:dyDescent="0.2"/>
    <row r="939" ht="16" x14ac:dyDescent="0.2"/>
    <row r="940" ht="16" x14ac:dyDescent="0.2"/>
    <row r="941" ht="16" x14ac:dyDescent="0.2"/>
    <row r="942" ht="16" x14ac:dyDescent="0.2"/>
    <row r="943" ht="16" x14ac:dyDescent="0.2"/>
    <row r="944" ht="16" x14ac:dyDescent="0.2"/>
    <row r="945" ht="16" x14ac:dyDescent="0.2"/>
    <row r="946" ht="16" x14ac:dyDescent="0.2"/>
    <row r="947" ht="16" x14ac:dyDescent="0.2"/>
    <row r="948" ht="16" x14ac:dyDescent="0.2"/>
    <row r="949" ht="16" x14ac:dyDescent="0.2"/>
    <row r="950" ht="16" x14ac:dyDescent="0.2"/>
    <row r="951" ht="16" x14ac:dyDescent="0.2"/>
    <row r="952" ht="16" x14ac:dyDescent="0.2"/>
    <row r="953" ht="16" x14ac:dyDescent="0.2"/>
    <row r="954" ht="16" x14ac:dyDescent="0.2"/>
    <row r="955" ht="16" x14ac:dyDescent="0.2"/>
    <row r="956" ht="16" x14ac:dyDescent="0.2"/>
    <row r="957" ht="16" x14ac:dyDescent="0.2"/>
    <row r="958" ht="16" x14ac:dyDescent="0.2"/>
    <row r="959" ht="16" x14ac:dyDescent="0.2"/>
    <row r="960" ht="16" x14ac:dyDescent="0.2"/>
    <row r="961" ht="16" x14ac:dyDescent="0.2"/>
    <row r="962" ht="16" x14ac:dyDescent="0.2"/>
    <row r="963" ht="16" x14ac:dyDescent="0.2"/>
    <row r="964" ht="16" x14ac:dyDescent="0.2"/>
    <row r="965" ht="16" x14ac:dyDescent="0.2"/>
    <row r="966" ht="16" x14ac:dyDescent="0.2"/>
    <row r="967" ht="16" x14ac:dyDescent="0.2"/>
    <row r="968" ht="16" x14ac:dyDescent="0.2"/>
    <row r="969" ht="16" x14ac:dyDescent="0.2"/>
    <row r="970" ht="16" x14ac:dyDescent="0.2"/>
    <row r="971" ht="16" x14ac:dyDescent="0.2"/>
    <row r="972" ht="16" x14ac:dyDescent="0.2"/>
    <row r="973" ht="16" x14ac:dyDescent="0.2"/>
    <row r="974" ht="16" x14ac:dyDescent="0.2"/>
    <row r="975" ht="16" x14ac:dyDescent="0.2"/>
    <row r="976" ht="16" x14ac:dyDescent="0.2"/>
    <row r="977" ht="16" x14ac:dyDescent="0.2"/>
    <row r="978" ht="16" x14ac:dyDescent="0.2"/>
    <row r="979" ht="16" x14ac:dyDescent="0.2"/>
    <row r="980" ht="16" x14ac:dyDescent="0.2"/>
    <row r="981" ht="16" x14ac:dyDescent="0.2"/>
    <row r="982" ht="16" x14ac:dyDescent="0.2"/>
    <row r="983" ht="16" x14ac:dyDescent="0.2"/>
    <row r="984" ht="16" x14ac:dyDescent="0.2"/>
    <row r="985" ht="16" x14ac:dyDescent="0.2"/>
    <row r="986" ht="16" x14ac:dyDescent="0.2"/>
    <row r="987" ht="16" x14ac:dyDescent="0.2"/>
    <row r="988" ht="16" x14ac:dyDescent="0.2"/>
    <row r="989" ht="16" x14ac:dyDescent="0.2"/>
    <row r="990" ht="16" x14ac:dyDescent="0.2"/>
    <row r="991" ht="16" x14ac:dyDescent="0.2"/>
    <row r="992" ht="16" x14ac:dyDescent="0.2"/>
    <row r="993" ht="16" x14ac:dyDescent="0.2"/>
    <row r="994" ht="16" x14ac:dyDescent="0.2"/>
    <row r="995" ht="16" x14ac:dyDescent="0.2"/>
    <row r="996" ht="16" x14ac:dyDescent="0.2"/>
    <row r="997" ht="16" x14ac:dyDescent="0.2"/>
    <row r="998" ht="16" x14ac:dyDescent="0.2"/>
    <row r="999" ht="16" x14ac:dyDescent="0.2"/>
    <row r="1000" ht="16" x14ac:dyDescent="0.2"/>
    <row r="1001" ht="16" x14ac:dyDescent="0.2"/>
    <row r="1002" ht="16" x14ac:dyDescent="0.2"/>
    <row r="1003" ht="16" x14ac:dyDescent="0.2"/>
    <row r="1004" ht="16" x14ac:dyDescent="0.2"/>
    <row r="1005" ht="16" x14ac:dyDescent="0.2"/>
    <row r="1006" ht="16" x14ac:dyDescent="0.2"/>
    <row r="1007" ht="16" x14ac:dyDescent="0.2"/>
    <row r="1008" ht="16" x14ac:dyDescent="0.2"/>
    <row r="1009" ht="16" x14ac:dyDescent="0.2"/>
    <row r="1010" ht="16" x14ac:dyDescent="0.2"/>
    <row r="1011" ht="16" x14ac:dyDescent="0.2"/>
    <row r="1012" ht="16" x14ac:dyDescent="0.2"/>
    <row r="1013" ht="16" x14ac:dyDescent="0.2"/>
    <row r="1014" ht="16" x14ac:dyDescent="0.2"/>
    <row r="1015" ht="16" x14ac:dyDescent="0.2"/>
    <row r="1016" ht="16" x14ac:dyDescent="0.2"/>
    <row r="1017" ht="16" x14ac:dyDescent="0.2"/>
    <row r="1018" ht="16" x14ac:dyDescent="0.2"/>
    <row r="1019" ht="16" x14ac:dyDescent="0.2"/>
    <row r="1020" ht="16" x14ac:dyDescent="0.2"/>
    <row r="1021" ht="16" x14ac:dyDescent="0.2"/>
    <row r="1022" ht="16" x14ac:dyDescent="0.2"/>
    <row r="1023" ht="16" x14ac:dyDescent="0.2"/>
    <row r="1024" ht="16" x14ac:dyDescent="0.2"/>
    <row r="1025" ht="16" x14ac:dyDescent="0.2"/>
    <row r="1026" ht="16" x14ac:dyDescent="0.2"/>
    <row r="1027" ht="16" x14ac:dyDescent="0.2"/>
    <row r="1028" ht="16" x14ac:dyDescent="0.2"/>
    <row r="1029" ht="16" x14ac:dyDescent="0.2"/>
    <row r="1030" ht="16" x14ac:dyDescent="0.2"/>
    <row r="1031" ht="16" x14ac:dyDescent="0.2"/>
  </sheetData>
  <conditionalFormatting sqref="G58:K58 G65:K65 G71:K71 G92:K92 G99:K99 G105:K105 G114:K114">
    <cfRule type="cellIs" dxfId="26" priority="1" operator="lessThan">
      <formula>0</formula>
    </cfRule>
  </conditionalFormatting>
  <hyperlinks>
    <hyperlink ref="B1" location="Introduction!A1" display="Return to Introduction Page" xr:uid="{00000000-0004-0000-0100-000000000000}"/>
  </hyperlinks>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90"/>
  <sheetViews>
    <sheetView showGridLines="0" workbookViewId="0">
      <pane xSplit="7" topLeftCell="H1" activePane="topRight" state="frozen"/>
      <selection pane="topRight" activeCell="H4" sqref="H4"/>
    </sheetView>
  </sheetViews>
  <sheetFormatPr baseColWidth="10" defaultColWidth="11.1640625" defaultRowHeight="16" x14ac:dyDescent="0.2"/>
  <cols>
    <col min="1" max="1" width="7" style="25" customWidth="1"/>
    <col min="2" max="2" width="11" style="309" customWidth="1"/>
    <col min="3" max="3" width="18.83203125" customWidth="1"/>
    <col min="4" max="4" width="27.6640625" customWidth="1"/>
    <col min="5" max="5" width="15.33203125" customWidth="1"/>
    <col min="6" max="7" width="13.83203125" customWidth="1"/>
    <col min="8" max="20" width="19.83203125" customWidth="1"/>
    <col min="21" max="26" width="11" customWidth="1"/>
    <col min="27" max="27" width="13.33203125" customWidth="1"/>
  </cols>
  <sheetData>
    <row r="1" spans="1:20" ht="25" x14ac:dyDescent="0.25">
      <c r="A1" s="56"/>
      <c r="B1" s="108" t="s">
        <v>88</v>
      </c>
      <c r="C1" s="108"/>
      <c r="D1" s="495"/>
      <c r="E1" s="495"/>
      <c r="F1" s="495"/>
      <c r="G1" s="495"/>
      <c r="H1" s="495"/>
      <c r="I1" s="309" t="str">
        <f>"tip: input your assumptions and forecast parameters for "&amp; $E$3&amp;" on the left or in the lightly green highlighted cells below."</f>
        <v>tip: input your assumptions and forecast parameters for Year 1 (2020) on the left or in the lightly green highlighted cells below.</v>
      </c>
      <c r="J1" s="47"/>
    </row>
    <row r="2" spans="1:20" x14ac:dyDescent="0.2">
      <c r="B2" s="304"/>
      <c r="C2" s="108"/>
    </row>
    <row r="3" spans="1:20" ht="20" x14ac:dyDescent="0.2">
      <c r="B3" s="116" t="s">
        <v>0</v>
      </c>
      <c r="C3" s="327"/>
      <c r="D3" s="327"/>
      <c r="E3" s="327" t="str">
        <f>"Year 1 ("&amp;'Financing Schedule'!$D$5&amp;")"</f>
        <v>Year 1 (2020)</v>
      </c>
      <c r="F3" s="327"/>
      <c r="G3" s="327"/>
      <c r="H3" s="360" t="s">
        <v>127</v>
      </c>
      <c r="I3" s="361" t="s">
        <v>128</v>
      </c>
      <c r="J3" s="361" t="s">
        <v>129</v>
      </c>
      <c r="K3" s="361" t="s">
        <v>130</v>
      </c>
      <c r="L3" s="361" t="s">
        <v>131</v>
      </c>
      <c r="M3" s="361" t="s">
        <v>132</v>
      </c>
      <c r="N3" s="361" t="s">
        <v>133</v>
      </c>
      <c r="O3" s="361" t="s">
        <v>134</v>
      </c>
      <c r="P3" s="361" t="s">
        <v>135</v>
      </c>
      <c r="Q3" s="361" t="s">
        <v>136</v>
      </c>
      <c r="R3" s="361" t="s">
        <v>137</v>
      </c>
      <c r="S3" s="361" t="s">
        <v>138</v>
      </c>
      <c r="T3" s="362" t="s">
        <v>179</v>
      </c>
    </row>
    <row r="4" spans="1:20" x14ac:dyDescent="0.2">
      <c r="B4" s="401"/>
      <c r="C4" s="402"/>
      <c r="D4" s="402"/>
      <c r="E4" s="402"/>
      <c r="F4" s="402"/>
      <c r="G4" s="403" t="s">
        <v>57</v>
      </c>
      <c r="H4" s="363">
        <v>1</v>
      </c>
      <c r="I4" s="364">
        <f t="shared" ref="I4:S4" si="0">H4+1</f>
        <v>2</v>
      </c>
      <c r="J4" s="364">
        <f t="shared" si="0"/>
        <v>3</v>
      </c>
      <c r="K4" s="364">
        <f t="shared" si="0"/>
        <v>4</v>
      </c>
      <c r="L4" s="364">
        <f t="shared" si="0"/>
        <v>5</v>
      </c>
      <c r="M4" s="364">
        <f t="shared" si="0"/>
        <v>6</v>
      </c>
      <c r="N4" s="364">
        <f t="shared" si="0"/>
        <v>7</v>
      </c>
      <c r="O4" s="364">
        <f t="shared" si="0"/>
        <v>8</v>
      </c>
      <c r="P4" s="364">
        <f t="shared" si="0"/>
        <v>9</v>
      </c>
      <c r="Q4" s="364">
        <f t="shared" si="0"/>
        <v>10</v>
      </c>
      <c r="R4" s="364">
        <f t="shared" si="0"/>
        <v>11</v>
      </c>
      <c r="S4" s="364">
        <f t="shared" si="0"/>
        <v>12</v>
      </c>
      <c r="T4" s="405" t="str">
        <f>"Total for " &amp; $E$3</f>
        <v>Total for Year 1 (2020)</v>
      </c>
    </row>
    <row r="5" spans="1:20" x14ac:dyDescent="0.2">
      <c r="B5" s="308"/>
      <c r="H5" s="365"/>
      <c r="I5" s="366"/>
      <c r="J5" s="366"/>
      <c r="K5" s="366"/>
      <c r="L5" s="366"/>
      <c r="M5" s="366"/>
      <c r="N5" s="366"/>
      <c r="O5" s="366"/>
      <c r="P5" s="366"/>
      <c r="Q5" s="366"/>
      <c r="R5" s="366"/>
      <c r="S5" s="366"/>
      <c r="T5" s="406"/>
    </row>
    <row r="6" spans="1:20" x14ac:dyDescent="0.2">
      <c r="B6" s="307" t="s">
        <v>253</v>
      </c>
      <c r="C6" s="9"/>
      <c r="D6" s="11"/>
      <c r="E6" s="12"/>
      <c r="H6" s="367"/>
      <c r="I6" s="368"/>
      <c r="J6" s="368"/>
      <c r="K6" s="368"/>
      <c r="L6" s="368"/>
      <c r="M6" s="368"/>
      <c r="N6" s="368"/>
      <c r="O6" s="368"/>
      <c r="P6" s="368"/>
      <c r="Q6" s="368"/>
      <c r="R6" s="368"/>
      <c r="S6" s="368"/>
      <c r="T6" s="407"/>
    </row>
    <row r="7" spans="1:20" x14ac:dyDescent="0.2">
      <c r="B7" s="308"/>
      <c r="C7" t="s">
        <v>188</v>
      </c>
      <c r="E7" s="452">
        <v>120</v>
      </c>
      <c r="G7" s="13"/>
      <c r="H7" s="367"/>
      <c r="I7" s="369"/>
      <c r="J7" s="369"/>
      <c r="K7" s="369"/>
      <c r="L7" s="369"/>
      <c r="M7" s="369"/>
      <c r="N7" s="369"/>
      <c r="O7" s="369"/>
      <c r="P7" s="369"/>
      <c r="Q7" s="369"/>
      <c r="R7" s="369"/>
      <c r="S7" s="369"/>
      <c r="T7" s="408"/>
    </row>
    <row r="8" spans="1:20" x14ac:dyDescent="0.2">
      <c r="B8" s="308"/>
      <c r="C8" t="s">
        <v>189</v>
      </c>
      <c r="E8" s="453">
        <v>100</v>
      </c>
      <c r="H8" s="367"/>
      <c r="I8" s="368"/>
      <c r="J8" s="368"/>
      <c r="K8" s="368"/>
      <c r="L8" s="368"/>
      <c r="M8" s="368"/>
      <c r="N8" s="368"/>
      <c r="O8" s="368"/>
      <c r="P8" s="368"/>
      <c r="Q8" s="368"/>
      <c r="R8" s="368"/>
      <c r="S8" s="368"/>
      <c r="T8" s="409"/>
    </row>
    <row r="9" spans="1:20" x14ac:dyDescent="0.2">
      <c r="B9" s="308"/>
      <c r="C9" t="str">
        <f>$E$3&amp;" Sales Growth"</f>
        <v>Year 1 (2020) Sales Growth</v>
      </c>
      <c r="E9" s="454">
        <v>0.15</v>
      </c>
      <c r="G9" s="13"/>
      <c r="H9" s="370"/>
      <c r="I9" s="371"/>
      <c r="J9" s="371"/>
      <c r="K9" s="371"/>
      <c r="L9" s="371"/>
      <c r="M9" s="371"/>
      <c r="N9" s="371"/>
      <c r="O9" s="371"/>
      <c r="P9" s="371"/>
      <c r="Q9" s="371"/>
      <c r="R9" s="371"/>
      <c r="S9" s="372"/>
      <c r="T9" s="410"/>
    </row>
    <row r="10" spans="1:20" x14ac:dyDescent="0.2">
      <c r="B10" s="307" t="s">
        <v>262</v>
      </c>
      <c r="G10" s="13"/>
      <c r="H10" s="455"/>
      <c r="I10" s="456"/>
      <c r="J10" s="456"/>
      <c r="K10" s="456"/>
      <c r="L10" s="456"/>
      <c r="M10" s="456"/>
      <c r="N10" s="456"/>
      <c r="O10" s="456"/>
      <c r="P10" s="456"/>
      <c r="Q10" s="456"/>
      <c r="R10" s="456"/>
      <c r="S10" s="456"/>
      <c r="T10" s="410" t="str">
        <f>IF(SUM(H10:S10)=0,"",SUM(H10:S10))</f>
        <v/>
      </c>
    </row>
    <row r="11" spans="1:20" ht="17" thickBot="1" x14ac:dyDescent="0.25">
      <c r="B11" s="307" t="s">
        <v>294</v>
      </c>
      <c r="H11" s="370">
        <f>IF(H10="",$E8,"")</f>
        <v>100</v>
      </c>
      <c r="I11" s="371">
        <f>IFERROR(IF(I10="",ROUNDDOWN($H11+((I$4-$H$4)/11)*($S11-$H11),0),""),"")</f>
        <v>101</v>
      </c>
      <c r="J11" s="371">
        <f t="shared" ref="J11:R11" si="1">IFERROR(IF(J10="",ROUNDDOWN($H11+((J$4-$H$4)/11)*($S11-$H11),0),""),"")</f>
        <v>102</v>
      </c>
      <c r="K11" s="371">
        <f t="shared" si="1"/>
        <v>104</v>
      </c>
      <c r="L11" s="371">
        <f t="shared" si="1"/>
        <v>105</v>
      </c>
      <c r="M11" s="371">
        <f t="shared" si="1"/>
        <v>106</v>
      </c>
      <c r="N11" s="371">
        <f t="shared" si="1"/>
        <v>108</v>
      </c>
      <c r="O11" s="371">
        <f t="shared" si="1"/>
        <v>109</v>
      </c>
      <c r="P11" s="371">
        <f t="shared" si="1"/>
        <v>110</v>
      </c>
      <c r="Q11" s="371">
        <f t="shared" si="1"/>
        <v>112</v>
      </c>
      <c r="R11" s="371">
        <f t="shared" si="1"/>
        <v>113</v>
      </c>
      <c r="S11" s="371">
        <f>IFERROR(IF(S10="",ROUNDDOWN($E8*(1+$E9),0),""),"")</f>
        <v>115</v>
      </c>
      <c r="T11" s="410">
        <f>IF(SUM(H11:S11)=0,"",SUM(H11:S11))</f>
        <v>1285</v>
      </c>
    </row>
    <row r="12" spans="1:20" ht="17" thickTop="1" x14ac:dyDescent="0.2">
      <c r="B12" s="418" t="s">
        <v>257</v>
      </c>
      <c r="C12" s="419"/>
      <c r="D12" s="419"/>
      <c r="E12" s="419"/>
      <c r="F12" s="419"/>
      <c r="G12" s="420"/>
      <c r="H12" s="421">
        <f>IF(H11="",H10*$E7,H11*$E7)</f>
        <v>12000</v>
      </c>
      <c r="I12" s="422">
        <f>IF(I11="",I10*$E7,I11*$E7)</f>
        <v>12120</v>
      </c>
      <c r="J12" s="422">
        <f t="shared" ref="J12:S12" si="2">IF(J11="",J10*$E7,J11*$E7)</f>
        <v>12240</v>
      </c>
      <c r="K12" s="422">
        <f t="shared" si="2"/>
        <v>12480</v>
      </c>
      <c r="L12" s="422">
        <f t="shared" si="2"/>
        <v>12600</v>
      </c>
      <c r="M12" s="422">
        <f t="shared" si="2"/>
        <v>12720</v>
      </c>
      <c r="N12" s="422">
        <f t="shared" si="2"/>
        <v>12960</v>
      </c>
      <c r="O12" s="422">
        <f t="shared" si="2"/>
        <v>13080</v>
      </c>
      <c r="P12" s="422">
        <f t="shared" si="2"/>
        <v>13200</v>
      </c>
      <c r="Q12" s="422">
        <f t="shared" si="2"/>
        <v>13440</v>
      </c>
      <c r="R12" s="422">
        <f t="shared" si="2"/>
        <v>13560</v>
      </c>
      <c r="S12" s="422">
        <f t="shared" si="2"/>
        <v>13800</v>
      </c>
      <c r="T12" s="423">
        <f>SUM(H12:S12)</f>
        <v>154200</v>
      </c>
    </row>
    <row r="13" spans="1:20" x14ac:dyDescent="0.2">
      <c r="B13" s="308"/>
      <c r="G13" s="14"/>
      <c r="H13" s="373"/>
      <c r="I13" s="374"/>
      <c r="J13" s="374"/>
      <c r="K13" s="374"/>
      <c r="L13" s="374"/>
      <c r="M13" s="374"/>
      <c r="N13" s="374"/>
      <c r="O13" s="374"/>
      <c r="P13" s="374"/>
      <c r="Q13" s="374"/>
      <c r="R13" s="374"/>
      <c r="S13" s="374"/>
      <c r="T13" s="411"/>
    </row>
    <row r="14" spans="1:20" x14ac:dyDescent="0.2">
      <c r="B14" s="307" t="s">
        <v>254</v>
      </c>
      <c r="C14" s="9"/>
      <c r="D14" s="11"/>
      <c r="E14" s="58"/>
      <c r="H14" s="367"/>
      <c r="I14" s="368"/>
      <c r="J14" s="368"/>
      <c r="K14" s="368"/>
      <c r="L14" s="368"/>
      <c r="M14" s="368"/>
      <c r="N14" s="368"/>
      <c r="O14" s="368"/>
      <c r="P14" s="368"/>
      <c r="Q14" s="368"/>
      <c r="R14" s="368"/>
      <c r="S14" s="368"/>
      <c r="T14" s="407"/>
    </row>
    <row r="15" spans="1:20" x14ac:dyDescent="0.2">
      <c r="B15" s="308"/>
      <c r="C15" t="s">
        <v>255</v>
      </c>
      <c r="E15" s="452">
        <v>10</v>
      </c>
      <c r="G15" s="13"/>
      <c r="H15" s="367"/>
      <c r="I15" s="369"/>
      <c r="J15" s="369"/>
      <c r="K15" s="369"/>
      <c r="L15" s="369"/>
      <c r="M15" s="369"/>
      <c r="N15" s="369"/>
      <c r="O15" s="369"/>
      <c r="P15" s="369"/>
      <c r="Q15" s="369"/>
      <c r="R15" s="369"/>
      <c r="S15" s="369"/>
      <c r="T15" s="408"/>
    </row>
    <row r="16" spans="1:20" x14ac:dyDescent="0.2">
      <c r="B16" s="308"/>
      <c r="C16" t="s">
        <v>256</v>
      </c>
      <c r="E16" s="453">
        <v>20</v>
      </c>
      <c r="F16" t="s">
        <v>14</v>
      </c>
      <c r="H16" s="367"/>
      <c r="I16" s="368"/>
      <c r="J16" s="368"/>
      <c r="K16" s="368"/>
      <c r="L16" s="368"/>
      <c r="M16" s="368"/>
      <c r="N16" s="368"/>
      <c r="O16" s="368"/>
      <c r="P16" s="368"/>
      <c r="Q16" s="368"/>
      <c r="R16" s="368"/>
      <c r="S16" s="368"/>
      <c r="T16" s="409"/>
    </row>
    <row r="17" spans="2:20" x14ac:dyDescent="0.2">
      <c r="B17" s="308"/>
      <c r="C17" t="str">
        <f>$E$3&amp;" Sales Growth"</f>
        <v>Year 1 (2020) Sales Growth</v>
      </c>
      <c r="E17" s="454">
        <v>0.45</v>
      </c>
      <c r="G17" s="13"/>
      <c r="H17" s="370"/>
      <c r="I17" s="371"/>
      <c r="J17" s="371"/>
      <c r="K17" s="371"/>
      <c r="L17" s="371"/>
      <c r="M17" s="371"/>
      <c r="N17" s="371"/>
      <c r="O17" s="371"/>
      <c r="P17" s="371"/>
      <c r="Q17" s="371"/>
      <c r="R17" s="371"/>
      <c r="S17" s="372"/>
      <c r="T17" s="410"/>
    </row>
    <row r="18" spans="2:20" x14ac:dyDescent="0.2">
      <c r="B18" s="307" t="s">
        <v>260</v>
      </c>
      <c r="G18" s="13"/>
      <c r="H18" s="455"/>
      <c r="I18" s="456"/>
      <c r="J18" s="456"/>
      <c r="K18" s="456"/>
      <c r="L18" s="456"/>
      <c r="M18" s="456"/>
      <c r="N18" s="456"/>
      <c r="O18" s="456"/>
      <c r="P18" s="456"/>
      <c r="Q18" s="456"/>
      <c r="R18" s="456"/>
      <c r="S18" s="456"/>
      <c r="T18" s="410" t="str">
        <f>IF(SUM(H18:S18)=0,"",SUM(H18:S18))</f>
        <v/>
      </c>
    </row>
    <row r="19" spans="2:20" ht="17" thickBot="1" x14ac:dyDescent="0.25">
      <c r="B19" s="307" t="s">
        <v>263</v>
      </c>
      <c r="H19" s="370">
        <f>IF(H18="",$E16,"")</f>
        <v>20</v>
      </c>
      <c r="I19" s="371">
        <f>IFERROR(IF(I18="",ROUNDDOWN($H19+((I$4-$H$4)/11)*($S19-$H19),0),""),"")</f>
        <v>20</v>
      </c>
      <c r="J19" s="371">
        <f t="shared" ref="J19:R19" si="3">IFERROR(IF(J18="",ROUNDDOWN($H19+((J$4-$H$4)/11)*($S19-$H19),0),""),"")</f>
        <v>21</v>
      </c>
      <c r="K19" s="371">
        <f t="shared" si="3"/>
        <v>22</v>
      </c>
      <c r="L19" s="371">
        <f t="shared" si="3"/>
        <v>23</v>
      </c>
      <c r="M19" s="371">
        <f t="shared" si="3"/>
        <v>24</v>
      </c>
      <c r="N19" s="371">
        <f t="shared" si="3"/>
        <v>24</v>
      </c>
      <c r="O19" s="371">
        <f t="shared" si="3"/>
        <v>25</v>
      </c>
      <c r="P19" s="371">
        <f t="shared" si="3"/>
        <v>26</v>
      </c>
      <c r="Q19" s="371">
        <f t="shared" si="3"/>
        <v>27</v>
      </c>
      <c r="R19" s="371">
        <f t="shared" si="3"/>
        <v>28</v>
      </c>
      <c r="S19" s="371">
        <f>IFERROR(IF(S18="",ROUNDDOWN($E16*(1+$E17),0),""),"")</f>
        <v>29</v>
      </c>
      <c r="T19" s="410">
        <f>IF(SUM(H19:S19)=0,"",SUM(H19:S19))</f>
        <v>289</v>
      </c>
    </row>
    <row r="20" spans="2:20" ht="17" thickTop="1" x14ac:dyDescent="0.2">
      <c r="B20" s="418" t="s">
        <v>258</v>
      </c>
      <c r="C20" s="419"/>
      <c r="D20" s="419"/>
      <c r="E20" s="419"/>
      <c r="F20" s="419"/>
      <c r="G20" s="420"/>
      <c r="H20" s="421">
        <f>IF(H19="",H18*$E15,H19*$E15)</f>
        <v>200</v>
      </c>
      <c r="I20" s="422">
        <f>IF(I19="",I18*$E15,I19*$E15)</f>
        <v>200</v>
      </c>
      <c r="J20" s="422">
        <f t="shared" ref="J20" si="4">IF(J19="",J18*$E15,J19*$E15)</f>
        <v>210</v>
      </c>
      <c r="K20" s="422">
        <f t="shared" ref="K20" si="5">IF(K19="",K18*$E15,K19*$E15)</f>
        <v>220</v>
      </c>
      <c r="L20" s="422">
        <f t="shared" ref="L20" si="6">IF(L19="",L18*$E15,L19*$E15)</f>
        <v>230</v>
      </c>
      <c r="M20" s="422">
        <f t="shared" ref="M20" si="7">IF(M19="",M18*$E15,M19*$E15)</f>
        <v>240</v>
      </c>
      <c r="N20" s="422">
        <f t="shared" ref="N20" si="8">IF(N19="",N18*$E15,N19*$E15)</f>
        <v>240</v>
      </c>
      <c r="O20" s="422">
        <f t="shared" ref="O20" si="9">IF(O19="",O18*$E15,O19*$E15)</f>
        <v>250</v>
      </c>
      <c r="P20" s="422">
        <f t="shared" ref="P20" si="10">IF(P19="",P18*$E15,P19*$E15)</f>
        <v>260</v>
      </c>
      <c r="Q20" s="422">
        <f t="shared" ref="Q20" si="11">IF(Q19="",Q18*$E15,Q19*$E15)</f>
        <v>270</v>
      </c>
      <c r="R20" s="422">
        <f t="shared" ref="R20" si="12">IF(R19="",R18*$E15,R19*$E15)</f>
        <v>280</v>
      </c>
      <c r="S20" s="422">
        <f t="shared" ref="S20" si="13">IF(S19="",S18*$E15,S19*$E15)</f>
        <v>290</v>
      </c>
      <c r="T20" s="423">
        <f>SUM(H20:S20)</f>
        <v>2890</v>
      </c>
    </row>
    <row r="21" spans="2:20" x14ac:dyDescent="0.2">
      <c r="B21" s="307"/>
      <c r="E21" s="15"/>
      <c r="G21" s="13"/>
      <c r="H21" s="367"/>
      <c r="I21" s="368"/>
      <c r="J21" s="368"/>
      <c r="K21" s="368"/>
      <c r="L21" s="368"/>
      <c r="M21" s="368"/>
      <c r="N21" s="368"/>
      <c r="O21" s="368"/>
      <c r="P21" s="368"/>
      <c r="Q21" s="368"/>
      <c r="R21" s="368"/>
      <c r="S21" s="368"/>
      <c r="T21" s="412"/>
    </row>
    <row r="22" spans="2:20" x14ac:dyDescent="0.2">
      <c r="B22" s="307" t="s">
        <v>286</v>
      </c>
      <c r="C22" s="9"/>
      <c r="D22" s="11"/>
      <c r="E22" s="58"/>
      <c r="H22" s="367"/>
      <c r="I22" s="368"/>
      <c r="J22" s="368"/>
      <c r="K22" s="368"/>
      <c r="L22" s="368"/>
      <c r="M22" s="368"/>
      <c r="N22" s="368"/>
      <c r="O22" s="368"/>
      <c r="P22" s="368"/>
      <c r="Q22" s="368"/>
      <c r="R22" s="368"/>
      <c r="S22" s="368"/>
      <c r="T22" s="407"/>
    </row>
    <row r="23" spans="2:20" x14ac:dyDescent="0.2">
      <c r="B23" s="308"/>
      <c r="C23" t="s">
        <v>249</v>
      </c>
      <c r="E23" s="452">
        <v>150</v>
      </c>
      <c r="G23" s="13"/>
      <c r="H23" s="367"/>
      <c r="I23" s="369"/>
      <c r="J23" s="369"/>
      <c r="K23" s="369"/>
      <c r="L23" s="369"/>
      <c r="M23" s="369"/>
      <c r="N23" s="369"/>
      <c r="O23" s="369"/>
      <c r="P23" s="369"/>
      <c r="Q23" s="369"/>
      <c r="R23" s="369"/>
      <c r="S23" s="369"/>
      <c r="T23" s="408"/>
    </row>
    <row r="24" spans="2:20" x14ac:dyDescent="0.2">
      <c r="B24" s="308"/>
      <c r="C24" t="s">
        <v>250</v>
      </c>
      <c r="E24" s="453">
        <v>45</v>
      </c>
      <c r="H24" s="367"/>
      <c r="I24" s="368"/>
      <c r="J24" s="368"/>
      <c r="K24" s="368"/>
      <c r="L24" s="368"/>
      <c r="M24" s="368"/>
      <c r="N24" s="368"/>
      <c r="O24" s="368"/>
      <c r="P24" s="368"/>
      <c r="Q24" s="368"/>
      <c r="R24" s="368"/>
      <c r="S24" s="368"/>
      <c r="T24" s="409"/>
    </row>
    <row r="25" spans="2:20" x14ac:dyDescent="0.2">
      <c r="B25" s="308"/>
      <c r="C25" t="str">
        <f>$E$3&amp;" Billable Hours Growth"</f>
        <v>Year 1 (2020) Billable Hours Growth</v>
      </c>
      <c r="E25" s="454">
        <v>0.3</v>
      </c>
      <c r="G25" s="13"/>
      <c r="H25" s="370"/>
      <c r="I25" s="371"/>
      <c r="J25" s="371"/>
      <c r="K25" s="371"/>
      <c r="L25" s="371"/>
      <c r="M25" s="371"/>
      <c r="N25" s="371"/>
      <c r="O25" s="371"/>
      <c r="P25" s="371"/>
      <c r="Q25" s="371"/>
      <c r="R25" s="371"/>
      <c r="S25" s="372"/>
      <c r="T25" s="410"/>
    </row>
    <row r="26" spans="2:20" x14ac:dyDescent="0.2">
      <c r="B26" s="307" t="s">
        <v>261</v>
      </c>
      <c r="G26" s="13"/>
      <c r="H26" s="455"/>
      <c r="I26" s="456"/>
      <c r="J26" s="456"/>
      <c r="K26" s="456"/>
      <c r="L26" s="456"/>
      <c r="M26" s="456"/>
      <c r="N26" s="456"/>
      <c r="O26" s="456"/>
      <c r="P26" s="456"/>
      <c r="Q26" s="456"/>
      <c r="R26" s="456"/>
      <c r="S26" s="456"/>
      <c r="T26" s="410" t="str">
        <f>IF(SUM(H26:S26)=0,"",SUM(H26:S26))</f>
        <v/>
      </c>
    </row>
    <row r="27" spans="2:20" ht="17" thickBot="1" x14ac:dyDescent="0.25">
      <c r="B27" s="307" t="s">
        <v>251</v>
      </c>
      <c r="H27" s="375">
        <f>IF(H26="",$E24,"")</f>
        <v>45</v>
      </c>
      <c r="I27" s="376">
        <f>IFERROR(IF(I26="",ROUNDDOWN($H27+((I$4-$H$4)/11)*($S27-$H27),1),""),"")</f>
        <v>46.2</v>
      </c>
      <c r="J27" s="376">
        <f t="shared" ref="J27:R27" si="14">IFERROR(IF(J26="",ROUNDDOWN($H27+((J$4-$H$4)/11)*($S27-$H27),1),""),"")</f>
        <v>47.4</v>
      </c>
      <c r="K27" s="376">
        <f t="shared" si="14"/>
        <v>48.6</v>
      </c>
      <c r="L27" s="376">
        <f t="shared" si="14"/>
        <v>49.9</v>
      </c>
      <c r="M27" s="376">
        <f t="shared" si="14"/>
        <v>51.1</v>
      </c>
      <c r="N27" s="376">
        <f t="shared" si="14"/>
        <v>52.3</v>
      </c>
      <c r="O27" s="376">
        <f t="shared" si="14"/>
        <v>53.5</v>
      </c>
      <c r="P27" s="376">
        <f t="shared" si="14"/>
        <v>54.8</v>
      </c>
      <c r="Q27" s="376">
        <f t="shared" si="14"/>
        <v>56</v>
      </c>
      <c r="R27" s="376">
        <f t="shared" si="14"/>
        <v>57.2</v>
      </c>
      <c r="S27" s="376">
        <f>IFERROR(IF(S26="",ROUNDDOWN($E24*(1+$E25),1),""),"")</f>
        <v>58.5</v>
      </c>
      <c r="T27" s="410">
        <f>IF(SUM(H27:S27)=0,"",SUM(H27:S27))</f>
        <v>620.5</v>
      </c>
    </row>
    <row r="28" spans="2:20" ht="17" thickTop="1" x14ac:dyDescent="0.2">
      <c r="B28" s="418" t="s">
        <v>252</v>
      </c>
      <c r="C28" s="419"/>
      <c r="D28" s="419"/>
      <c r="E28" s="419"/>
      <c r="F28" s="419"/>
      <c r="G28" s="420"/>
      <c r="H28" s="421">
        <f>IF(H27="",H26*$E23,H27*$E23)</f>
        <v>6750</v>
      </c>
      <c r="I28" s="422">
        <f>IF(I27="",I26*$E23,I27*$E23)</f>
        <v>6930</v>
      </c>
      <c r="J28" s="422">
        <f t="shared" ref="J28" si="15">IF(J27="",J26*$E23,J27*$E23)</f>
        <v>7110</v>
      </c>
      <c r="K28" s="422">
        <f t="shared" ref="K28" si="16">IF(K27="",K26*$E23,K27*$E23)</f>
        <v>7290</v>
      </c>
      <c r="L28" s="422">
        <f t="shared" ref="L28" si="17">IF(L27="",L26*$E23,L27*$E23)</f>
        <v>7485</v>
      </c>
      <c r="M28" s="422">
        <f t="shared" ref="M28" si="18">IF(M27="",M26*$E23,M27*$E23)</f>
        <v>7665</v>
      </c>
      <c r="N28" s="422">
        <f t="shared" ref="N28" si="19">IF(N27="",N26*$E23,N27*$E23)</f>
        <v>7845</v>
      </c>
      <c r="O28" s="422">
        <f t="shared" ref="O28" si="20">IF(O27="",O26*$E23,O27*$E23)</f>
        <v>8025</v>
      </c>
      <c r="P28" s="422">
        <f t="shared" ref="P28" si="21">IF(P27="",P26*$E23,P27*$E23)</f>
        <v>8220</v>
      </c>
      <c r="Q28" s="422">
        <f t="shared" ref="Q28" si="22">IF(Q27="",Q26*$E23,Q27*$E23)</f>
        <v>8400</v>
      </c>
      <c r="R28" s="422">
        <f t="shared" ref="R28" si="23">IF(R27="",R26*$E23,R27*$E23)</f>
        <v>8580</v>
      </c>
      <c r="S28" s="422">
        <f t="shared" ref="S28" si="24">IF(S27="",S26*$E23,S27*$E23)</f>
        <v>8775</v>
      </c>
      <c r="T28" s="423">
        <f>SUM(H28:S28)</f>
        <v>93075</v>
      </c>
    </row>
    <row r="29" spans="2:20" x14ac:dyDescent="0.2">
      <c r="B29" s="308"/>
      <c r="E29" s="59"/>
      <c r="G29" s="13"/>
      <c r="H29" s="367"/>
      <c r="I29" s="368"/>
      <c r="J29" s="368"/>
      <c r="K29" s="368"/>
      <c r="L29" s="368"/>
      <c r="M29" s="368"/>
      <c r="N29" s="368"/>
      <c r="O29" s="368"/>
      <c r="P29" s="368"/>
      <c r="Q29" s="368"/>
      <c r="R29" s="368"/>
      <c r="S29" s="368"/>
      <c r="T29" s="412"/>
    </row>
    <row r="30" spans="2:20" x14ac:dyDescent="0.2">
      <c r="B30" s="307" t="s">
        <v>287</v>
      </c>
      <c r="C30" s="9"/>
      <c r="D30" s="11"/>
      <c r="E30" s="58"/>
      <c r="H30" s="367"/>
      <c r="I30" s="368"/>
      <c r="J30" s="368"/>
      <c r="K30" s="368"/>
      <c r="L30" s="368"/>
      <c r="M30" s="368"/>
      <c r="N30" s="368"/>
      <c r="O30" s="368"/>
      <c r="P30" s="368"/>
      <c r="Q30" s="368"/>
      <c r="R30" s="368"/>
      <c r="S30" s="368"/>
      <c r="T30" s="407"/>
    </row>
    <row r="31" spans="2:20" x14ac:dyDescent="0.2">
      <c r="B31" s="308"/>
      <c r="C31" t="s">
        <v>245</v>
      </c>
      <c r="E31" s="452">
        <v>20</v>
      </c>
      <c r="G31" s="13"/>
      <c r="H31" s="367"/>
      <c r="I31" s="369"/>
      <c r="J31" s="369"/>
      <c r="K31" s="369"/>
      <c r="L31" s="369"/>
      <c r="M31" s="369"/>
      <c r="N31" s="369"/>
      <c r="O31" s="369"/>
      <c r="P31" s="369"/>
      <c r="Q31" s="369"/>
      <c r="R31" s="369"/>
      <c r="S31" s="369"/>
      <c r="T31" s="408"/>
    </row>
    <row r="32" spans="2:20" x14ac:dyDescent="0.2">
      <c r="B32" s="308"/>
      <c r="C32" t="s">
        <v>244</v>
      </c>
      <c r="E32" s="452">
        <v>11</v>
      </c>
      <c r="H32" s="367"/>
      <c r="I32" s="368"/>
      <c r="J32" s="368"/>
      <c r="K32" s="368"/>
      <c r="L32" s="368"/>
      <c r="M32" s="368"/>
      <c r="N32" s="368"/>
      <c r="O32" s="368"/>
      <c r="P32" s="368"/>
      <c r="Q32" s="368"/>
      <c r="R32" s="368"/>
      <c r="S32" s="368"/>
      <c r="T32" s="409"/>
    </row>
    <row r="33" spans="2:20" x14ac:dyDescent="0.2">
      <c r="B33" s="308"/>
      <c r="C33" t="s">
        <v>259</v>
      </c>
      <c r="E33" s="453">
        <v>0</v>
      </c>
      <c r="H33" s="367"/>
      <c r="I33" s="368"/>
      <c r="J33" s="368"/>
      <c r="K33" s="368"/>
      <c r="L33" s="368"/>
      <c r="M33" s="368"/>
      <c r="N33" s="368"/>
      <c r="O33" s="368"/>
      <c r="P33" s="368"/>
      <c r="Q33" s="368"/>
      <c r="R33" s="368"/>
      <c r="S33" s="368"/>
      <c r="T33" s="409"/>
    </row>
    <row r="34" spans="2:20" x14ac:dyDescent="0.2">
      <c r="B34" s="308"/>
      <c r="C34" t="str">
        <f>"Number of new customers per month "&amp;$E$3</f>
        <v>Number of new customers per month Year 1 (2020)</v>
      </c>
      <c r="E34" s="453">
        <v>10</v>
      </c>
      <c r="G34" s="13"/>
      <c r="H34" s="370"/>
      <c r="I34" s="371"/>
      <c r="J34" s="371"/>
      <c r="K34" s="371"/>
      <c r="L34" s="371"/>
      <c r="M34" s="371"/>
      <c r="N34" s="371"/>
      <c r="O34" s="371"/>
      <c r="P34" s="371"/>
      <c r="Q34" s="371"/>
      <c r="R34" s="371"/>
      <c r="S34" s="372"/>
      <c r="T34" s="410"/>
    </row>
    <row r="35" spans="2:20" x14ac:dyDescent="0.2">
      <c r="B35" s="308"/>
      <c r="C35" t="str">
        <f>$E$3&amp;" Churn rate"</f>
        <v>Year 1 (2020) Churn rate</v>
      </c>
      <c r="E35" s="454">
        <v>0.3</v>
      </c>
      <c r="G35" s="13"/>
      <c r="H35" s="370"/>
      <c r="I35" s="371"/>
      <c r="J35" s="371"/>
      <c r="K35" s="371"/>
      <c r="L35" s="371"/>
      <c r="M35" s="371"/>
      <c r="N35" s="371"/>
      <c r="O35" s="371"/>
      <c r="P35" s="371"/>
      <c r="Q35" s="371"/>
      <c r="R35" s="371"/>
      <c r="S35" s="372"/>
      <c r="T35" s="410"/>
    </row>
    <row r="36" spans="2:20" x14ac:dyDescent="0.2">
      <c r="B36" s="307" t="s">
        <v>273</v>
      </c>
      <c r="G36" s="13"/>
      <c r="H36" s="455"/>
      <c r="I36" s="456"/>
      <c r="J36" s="456"/>
      <c r="K36" s="456"/>
      <c r="L36" s="456"/>
      <c r="M36" s="456"/>
      <c r="N36" s="456"/>
      <c r="O36" s="456"/>
      <c r="P36" s="456"/>
      <c r="Q36" s="456"/>
      <c r="R36" s="456"/>
      <c r="S36" s="456"/>
      <c r="T36" s="410" t="str">
        <f>IF(SUM(H36:S36)=0,"",SUM(H36:S36))</f>
        <v/>
      </c>
    </row>
    <row r="37" spans="2:20" x14ac:dyDescent="0.2">
      <c r="B37" s="307" t="s">
        <v>272</v>
      </c>
      <c r="H37" s="370">
        <f>IF(H36="",$E$34,"")</f>
        <v>10</v>
      </c>
      <c r="I37" s="371">
        <f t="shared" ref="I37:S37" si="25">IF(I36="",$E$34,"")</f>
        <v>10</v>
      </c>
      <c r="J37" s="371">
        <f t="shared" si="25"/>
        <v>10</v>
      </c>
      <c r="K37" s="371">
        <f t="shared" si="25"/>
        <v>10</v>
      </c>
      <c r="L37" s="371">
        <f t="shared" si="25"/>
        <v>10</v>
      </c>
      <c r="M37" s="371">
        <f t="shared" si="25"/>
        <v>10</v>
      </c>
      <c r="N37" s="371">
        <f t="shared" si="25"/>
        <v>10</v>
      </c>
      <c r="O37" s="371">
        <f t="shared" si="25"/>
        <v>10</v>
      </c>
      <c r="P37" s="371">
        <f t="shared" si="25"/>
        <v>10</v>
      </c>
      <c r="Q37" s="371">
        <f t="shared" si="25"/>
        <v>10</v>
      </c>
      <c r="R37" s="371">
        <f t="shared" si="25"/>
        <v>10</v>
      </c>
      <c r="S37" s="371">
        <f t="shared" si="25"/>
        <v>10</v>
      </c>
      <c r="T37" s="410">
        <f>IF(SUM(H37:S37)=0,"",SUM(H37:S37))</f>
        <v>120</v>
      </c>
    </row>
    <row r="38" spans="2:20" ht="17" thickBot="1" x14ac:dyDescent="0.25">
      <c r="B38" s="307" t="s">
        <v>246</v>
      </c>
      <c r="H38" s="370">
        <f>ROUNDDOWN(IF(H$37="",H$36+$E$33-($E$33*$E$35),H$37+$E$33-($E$33*$E$35)),0)</f>
        <v>10</v>
      </c>
      <c r="I38" s="371">
        <f>ROUNDDOWN(IF(I37="",I$36+H$38-(H$38*$E$35),I$37+H$38-(H$38*$E$35)),0)</f>
        <v>17</v>
      </c>
      <c r="J38" s="371">
        <f t="shared" ref="J38:S38" si="26">ROUNDDOWN(IF(J37="",J$36+I$38-(I$38*$E$35),J$37+I$38-(I$38*$E$35)),0)</f>
        <v>21</v>
      </c>
      <c r="K38" s="371">
        <f t="shared" si="26"/>
        <v>24</v>
      </c>
      <c r="L38" s="371">
        <f t="shared" si="26"/>
        <v>26</v>
      </c>
      <c r="M38" s="371">
        <f t="shared" si="26"/>
        <v>28</v>
      </c>
      <c r="N38" s="371">
        <f t="shared" si="26"/>
        <v>29</v>
      </c>
      <c r="O38" s="371">
        <f t="shared" si="26"/>
        <v>30</v>
      </c>
      <c r="P38" s="371">
        <f t="shared" si="26"/>
        <v>31</v>
      </c>
      <c r="Q38" s="371">
        <f t="shared" si="26"/>
        <v>31</v>
      </c>
      <c r="R38" s="371">
        <f t="shared" si="26"/>
        <v>31</v>
      </c>
      <c r="S38" s="371">
        <f t="shared" si="26"/>
        <v>31</v>
      </c>
      <c r="T38" s="410">
        <f>S38</f>
        <v>31</v>
      </c>
    </row>
    <row r="39" spans="2:20" ht="17" thickTop="1" x14ac:dyDescent="0.2">
      <c r="B39" s="418" t="s">
        <v>247</v>
      </c>
      <c r="C39" s="419"/>
      <c r="D39" s="419"/>
      <c r="E39" s="419"/>
      <c r="F39" s="419"/>
      <c r="G39" s="420"/>
      <c r="H39" s="421">
        <f>IF(H$37="",H$38*$E$32+H$36*$E$31,H$38*$E$32+H$37*$E$31)</f>
        <v>310</v>
      </c>
      <c r="I39" s="422">
        <f t="shared" ref="I39:S39" si="27">IF(I$37="",I$38*$E$32+I$36*$E$31,I$38*$E$32+I$37*$E$31)</f>
        <v>387</v>
      </c>
      <c r="J39" s="422">
        <f t="shared" si="27"/>
        <v>431</v>
      </c>
      <c r="K39" s="422">
        <f t="shared" si="27"/>
        <v>464</v>
      </c>
      <c r="L39" s="422">
        <f t="shared" si="27"/>
        <v>486</v>
      </c>
      <c r="M39" s="422">
        <f t="shared" si="27"/>
        <v>508</v>
      </c>
      <c r="N39" s="422">
        <f t="shared" si="27"/>
        <v>519</v>
      </c>
      <c r="O39" s="422">
        <f t="shared" si="27"/>
        <v>530</v>
      </c>
      <c r="P39" s="422">
        <f t="shared" si="27"/>
        <v>541</v>
      </c>
      <c r="Q39" s="422">
        <f t="shared" si="27"/>
        <v>541</v>
      </c>
      <c r="R39" s="422">
        <f t="shared" si="27"/>
        <v>541</v>
      </c>
      <c r="S39" s="422">
        <f t="shared" si="27"/>
        <v>541</v>
      </c>
      <c r="T39" s="423">
        <f>SUM(H39:S39)</f>
        <v>5799</v>
      </c>
    </row>
    <row r="40" spans="2:20" ht="17" thickBot="1" x14ac:dyDescent="0.25">
      <c r="B40" s="404"/>
      <c r="C40" s="2"/>
      <c r="D40" s="2"/>
      <c r="E40" s="2"/>
      <c r="F40" s="2"/>
      <c r="G40" s="3"/>
      <c r="H40" s="377"/>
      <c r="I40" s="378"/>
      <c r="J40" s="378"/>
      <c r="K40" s="378"/>
      <c r="L40" s="378"/>
      <c r="M40" s="378"/>
      <c r="N40" s="378"/>
      <c r="O40" s="378"/>
      <c r="P40" s="378"/>
      <c r="Q40" s="378"/>
      <c r="R40" s="378"/>
      <c r="S40" s="368"/>
      <c r="T40" s="413"/>
    </row>
    <row r="41" spans="2:20" ht="17" thickTop="1" x14ac:dyDescent="0.2">
      <c r="B41" s="236" t="s">
        <v>208</v>
      </c>
      <c r="C41" s="237"/>
      <c r="D41" s="237"/>
      <c r="E41" s="237"/>
      <c r="F41" s="237"/>
      <c r="G41" s="237"/>
      <c r="H41" s="239">
        <f t="shared" ref="H41:S41" si="28">SUM(H12,H20,H28,H39)</f>
        <v>19260</v>
      </c>
      <c r="I41" s="240">
        <f t="shared" si="28"/>
        <v>19637</v>
      </c>
      <c r="J41" s="240">
        <f t="shared" si="28"/>
        <v>19991</v>
      </c>
      <c r="K41" s="240">
        <f t="shared" si="28"/>
        <v>20454</v>
      </c>
      <c r="L41" s="240">
        <f t="shared" si="28"/>
        <v>20801</v>
      </c>
      <c r="M41" s="240">
        <f t="shared" si="28"/>
        <v>21133</v>
      </c>
      <c r="N41" s="240">
        <f t="shared" si="28"/>
        <v>21564</v>
      </c>
      <c r="O41" s="240">
        <f t="shared" si="28"/>
        <v>21885</v>
      </c>
      <c r="P41" s="240">
        <f t="shared" si="28"/>
        <v>22221</v>
      </c>
      <c r="Q41" s="240">
        <f t="shared" si="28"/>
        <v>22651</v>
      </c>
      <c r="R41" s="240">
        <f t="shared" si="28"/>
        <v>22961</v>
      </c>
      <c r="S41" s="240">
        <f t="shared" si="28"/>
        <v>23406</v>
      </c>
      <c r="T41" s="240">
        <f>SUM(H41:S41)</f>
        <v>255964</v>
      </c>
    </row>
    <row r="42" spans="2:20" x14ac:dyDescent="0.2">
      <c r="B42" s="400"/>
      <c r="C42" s="5"/>
      <c r="D42" s="5"/>
      <c r="E42" s="5"/>
      <c r="F42" s="5"/>
      <c r="G42" s="5"/>
      <c r="H42" s="414"/>
      <c r="I42" s="415"/>
      <c r="J42" s="415"/>
      <c r="K42" s="415"/>
      <c r="L42" s="415"/>
      <c r="M42" s="415"/>
      <c r="N42" s="415"/>
      <c r="O42" s="415"/>
      <c r="P42" s="415"/>
      <c r="Q42" s="415"/>
      <c r="R42" s="415"/>
      <c r="S42" s="415"/>
      <c r="T42" s="416"/>
    </row>
    <row r="43" spans="2:20" ht="20" x14ac:dyDescent="0.2">
      <c r="B43" s="116" t="s">
        <v>365</v>
      </c>
      <c r="C43" s="327"/>
      <c r="D43" s="327"/>
      <c r="E43" s="327" t="str">
        <f>$E$3</f>
        <v>Year 1 (2020)</v>
      </c>
      <c r="F43" s="327"/>
      <c r="G43" s="327"/>
      <c r="H43" s="360" t="s">
        <v>127</v>
      </c>
      <c r="I43" s="361" t="s">
        <v>128</v>
      </c>
      <c r="J43" s="361" t="s">
        <v>129</v>
      </c>
      <c r="K43" s="361" t="s">
        <v>130</v>
      </c>
      <c r="L43" s="361" t="s">
        <v>131</v>
      </c>
      <c r="M43" s="361" t="s">
        <v>132</v>
      </c>
      <c r="N43" s="361" t="s">
        <v>133</v>
      </c>
      <c r="O43" s="361" t="s">
        <v>134</v>
      </c>
      <c r="P43" s="361" t="s">
        <v>135</v>
      </c>
      <c r="Q43" s="361" t="s">
        <v>136</v>
      </c>
      <c r="R43" s="361" t="s">
        <v>137</v>
      </c>
      <c r="S43" s="361" t="s">
        <v>138</v>
      </c>
      <c r="T43" s="362" t="s">
        <v>179</v>
      </c>
    </row>
    <row r="44" spans="2:20" x14ac:dyDescent="0.2">
      <c r="B44" s="401"/>
      <c r="C44" s="402"/>
      <c r="D44" s="402"/>
      <c r="E44" s="402"/>
      <c r="F44" s="402"/>
      <c r="G44" s="403" t="s">
        <v>57</v>
      </c>
      <c r="H44" s="363">
        <f>H$4</f>
        <v>1</v>
      </c>
      <c r="I44" s="364">
        <f t="shared" ref="I44:S44" si="29">I$4</f>
        <v>2</v>
      </c>
      <c r="J44" s="364">
        <f t="shared" si="29"/>
        <v>3</v>
      </c>
      <c r="K44" s="364">
        <f t="shared" si="29"/>
        <v>4</v>
      </c>
      <c r="L44" s="364">
        <f t="shared" si="29"/>
        <v>5</v>
      </c>
      <c r="M44" s="364">
        <f t="shared" si="29"/>
        <v>6</v>
      </c>
      <c r="N44" s="364">
        <f t="shared" si="29"/>
        <v>7</v>
      </c>
      <c r="O44" s="364">
        <f t="shared" si="29"/>
        <v>8</v>
      </c>
      <c r="P44" s="364">
        <f t="shared" si="29"/>
        <v>9</v>
      </c>
      <c r="Q44" s="364">
        <f t="shared" si="29"/>
        <v>10</v>
      </c>
      <c r="R44" s="364">
        <f t="shared" si="29"/>
        <v>11</v>
      </c>
      <c r="S44" s="364">
        <f t="shared" si="29"/>
        <v>12</v>
      </c>
      <c r="T44" s="405" t="str">
        <f>"Total for " &amp; $E$3</f>
        <v>Total for Year 1 (2020)</v>
      </c>
    </row>
    <row r="45" spans="2:20" x14ac:dyDescent="0.2">
      <c r="B45" s="308"/>
      <c r="E45" s="12" t="s">
        <v>312</v>
      </c>
      <c r="H45" s="367"/>
      <c r="I45" s="368"/>
      <c r="J45" s="368"/>
      <c r="K45" s="368"/>
      <c r="L45" s="368"/>
      <c r="M45" s="368"/>
      <c r="N45" s="368"/>
      <c r="O45" s="368"/>
      <c r="P45" s="368"/>
      <c r="Q45" s="368"/>
      <c r="R45" s="368"/>
      <c r="S45" s="368"/>
      <c r="T45" s="407"/>
    </row>
    <row r="46" spans="2:20" x14ac:dyDescent="0.2">
      <c r="B46" s="307" t="s">
        <v>367</v>
      </c>
      <c r="E46" s="454">
        <v>0.03</v>
      </c>
      <c r="H46" s="379">
        <f>H$12*$E46</f>
        <v>360</v>
      </c>
      <c r="I46" s="380">
        <f t="shared" ref="I46:S46" si="30">I$12*$E46</f>
        <v>363.59999999999997</v>
      </c>
      <c r="J46" s="380">
        <f t="shared" si="30"/>
        <v>367.2</v>
      </c>
      <c r="K46" s="380">
        <f t="shared" si="30"/>
        <v>374.4</v>
      </c>
      <c r="L46" s="380">
        <f t="shared" si="30"/>
        <v>378</v>
      </c>
      <c r="M46" s="380">
        <f t="shared" si="30"/>
        <v>381.59999999999997</v>
      </c>
      <c r="N46" s="380">
        <f t="shared" si="30"/>
        <v>388.8</v>
      </c>
      <c r="O46" s="380">
        <f t="shared" si="30"/>
        <v>392.4</v>
      </c>
      <c r="P46" s="380">
        <f t="shared" si="30"/>
        <v>396</v>
      </c>
      <c r="Q46" s="380">
        <f t="shared" si="30"/>
        <v>403.2</v>
      </c>
      <c r="R46" s="380">
        <f t="shared" si="30"/>
        <v>406.8</v>
      </c>
      <c r="S46" s="380">
        <f t="shared" si="30"/>
        <v>414</v>
      </c>
      <c r="T46" s="417">
        <f t="shared" ref="T46:T49" si="31">SUM(H46:S46)</f>
        <v>4626</v>
      </c>
    </row>
    <row r="47" spans="2:20" x14ac:dyDescent="0.2">
      <c r="B47" s="307" t="s">
        <v>368</v>
      </c>
      <c r="E47" s="454">
        <v>0.03</v>
      </c>
      <c r="H47" s="379">
        <f>H$20*$E47</f>
        <v>6</v>
      </c>
      <c r="I47" s="380">
        <f t="shared" ref="I47:S47" si="32">I$20*$E47</f>
        <v>6</v>
      </c>
      <c r="J47" s="380">
        <f t="shared" si="32"/>
        <v>6.3</v>
      </c>
      <c r="K47" s="380">
        <f t="shared" si="32"/>
        <v>6.6</v>
      </c>
      <c r="L47" s="380">
        <f t="shared" si="32"/>
        <v>6.8999999999999995</v>
      </c>
      <c r="M47" s="380">
        <f t="shared" si="32"/>
        <v>7.1999999999999993</v>
      </c>
      <c r="N47" s="380">
        <f t="shared" si="32"/>
        <v>7.1999999999999993</v>
      </c>
      <c r="O47" s="380">
        <f t="shared" si="32"/>
        <v>7.5</v>
      </c>
      <c r="P47" s="380">
        <f t="shared" si="32"/>
        <v>7.8</v>
      </c>
      <c r="Q47" s="380">
        <f t="shared" si="32"/>
        <v>8.1</v>
      </c>
      <c r="R47" s="380">
        <f t="shared" si="32"/>
        <v>8.4</v>
      </c>
      <c r="S47" s="380">
        <f t="shared" si="32"/>
        <v>8.6999999999999993</v>
      </c>
      <c r="T47" s="417">
        <f t="shared" si="31"/>
        <v>86.7</v>
      </c>
    </row>
    <row r="48" spans="2:20" x14ac:dyDescent="0.2">
      <c r="B48" s="307" t="s">
        <v>369</v>
      </c>
      <c r="E48" s="454">
        <v>0.05</v>
      </c>
      <c r="H48" s="379">
        <f>H$28*$E48</f>
        <v>337.5</v>
      </c>
      <c r="I48" s="380">
        <f t="shared" ref="I48:S48" si="33">I$28*$E48</f>
        <v>346.5</v>
      </c>
      <c r="J48" s="380">
        <f t="shared" si="33"/>
        <v>355.5</v>
      </c>
      <c r="K48" s="380">
        <f t="shared" si="33"/>
        <v>364.5</v>
      </c>
      <c r="L48" s="380">
        <f t="shared" si="33"/>
        <v>374.25</v>
      </c>
      <c r="M48" s="380">
        <f t="shared" si="33"/>
        <v>383.25</v>
      </c>
      <c r="N48" s="380">
        <f t="shared" si="33"/>
        <v>392.25</v>
      </c>
      <c r="O48" s="380">
        <f t="shared" si="33"/>
        <v>401.25</v>
      </c>
      <c r="P48" s="380">
        <f t="shared" si="33"/>
        <v>411</v>
      </c>
      <c r="Q48" s="380">
        <f t="shared" si="33"/>
        <v>420</v>
      </c>
      <c r="R48" s="380">
        <f t="shared" si="33"/>
        <v>429</v>
      </c>
      <c r="S48" s="380">
        <f t="shared" si="33"/>
        <v>438.75</v>
      </c>
      <c r="T48" s="417">
        <f t="shared" si="31"/>
        <v>4653.75</v>
      </c>
    </row>
    <row r="49" spans="2:20" ht="17" thickBot="1" x14ac:dyDescent="0.25">
      <c r="B49" s="307" t="s">
        <v>370</v>
      </c>
      <c r="E49" s="454">
        <v>0.06</v>
      </c>
      <c r="H49" s="379">
        <f>H$39*$E49</f>
        <v>18.599999999999998</v>
      </c>
      <c r="I49" s="380">
        <f t="shared" ref="I49:S49" si="34">I$39*$E49</f>
        <v>23.22</v>
      </c>
      <c r="J49" s="380">
        <f t="shared" si="34"/>
        <v>25.86</v>
      </c>
      <c r="K49" s="380">
        <f t="shared" si="34"/>
        <v>27.84</v>
      </c>
      <c r="L49" s="380">
        <f t="shared" si="34"/>
        <v>29.16</v>
      </c>
      <c r="M49" s="380">
        <f t="shared" si="34"/>
        <v>30.48</v>
      </c>
      <c r="N49" s="380">
        <f t="shared" si="34"/>
        <v>31.14</v>
      </c>
      <c r="O49" s="380">
        <f t="shared" si="34"/>
        <v>31.799999999999997</v>
      </c>
      <c r="P49" s="380">
        <f t="shared" si="34"/>
        <v>32.46</v>
      </c>
      <c r="Q49" s="380">
        <f t="shared" si="34"/>
        <v>32.46</v>
      </c>
      <c r="R49" s="380">
        <f t="shared" si="34"/>
        <v>32.46</v>
      </c>
      <c r="S49" s="380">
        <f t="shared" si="34"/>
        <v>32.46</v>
      </c>
      <c r="T49" s="417">
        <f t="shared" si="31"/>
        <v>347.94</v>
      </c>
    </row>
    <row r="50" spans="2:20" ht="17" thickTop="1" x14ac:dyDescent="0.2">
      <c r="B50" s="250" t="s">
        <v>366</v>
      </c>
      <c r="C50" s="237"/>
      <c r="D50" s="237"/>
      <c r="E50" s="237"/>
      <c r="F50" s="237"/>
      <c r="G50" s="237"/>
      <c r="H50" s="239">
        <f>SUM(H46:H49)</f>
        <v>722.1</v>
      </c>
      <c r="I50" s="240">
        <f t="shared" ref="I50:S50" si="35">SUM(I46:I49)</f>
        <v>739.31999999999994</v>
      </c>
      <c r="J50" s="240">
        <f t="shared" si="35"/>
        <v>754.86</v>
      </c>
      <c r="K50" s="240">
        <f t="shared" si="35"/>
        <v>773.34</v>
      </c>
      <c r="L50" s="240">
        <f t="shared" si="35"/>
        <v>788.31</v>
      </c>
      <c r="M50" s="240">
        <f t="shared" si="35"/>
        <v>802.53</v>
      </c>
      <c r="N50" s="240">
        <f t="shared" si="35"/>
        <v>819.39</v>
      </c>
      <c r="O50" s="240">
        <f t="shared" si="35"/>
        <v>832.94999999999993</v>
      </c>
      <c r="P50" s="240">
        <f t="shared" si="35"/>
        <v>847.26</v>
      </c>
      <c r="Q50" s="240">
        <f t="shared" si="35"/>
        <v>863.76</v>
      </c>
      <c r="R50" s="240">
        <f t="shared" si="35"/>
        <v>876.66000000000008</v>
      </c>
      <c r="S50" s="240">
        <f t="shared" si="35"/>
        <v>893.91000000000008</v>
      </c>
      <c r="T50" s="251">
        <f>SUM(H50:S50)</f>
        <v>9714.3900000000012</v>
      </c>
    </row>
    <row r="51" spans="2:20" x14ac:dyDescent="0.2">
      <c r="H51" s="367"/>
      <c r="I51" s="368"/>
      <c r="J51" s="368"/>
      <c r="K51" s="368"/>
      <c r="L51" s="368"/>
      <c r="M51" s="368"/>
      <c r="N51" s="368"/>
      <c r="O51" s="368"/>
      <c r="P51" s="368"/>
      <c r="Q51" s="368"/>
      <c r="R51" s="368"/>
      <c r="S51" s="368"/>
      <c r="T51" s="381"/>
    </row>
    <row r="52" spans="2:20" ht="20" x14ac:dyDescent="0.2">
      <c r="B52" s="116" t="s">
        <v>11</v>
      </c>
      <c r="C52" s="327"/>
      <c r="D52" s="327"/>
      <c r="E52" s="327" t="str">
        <f>$E$3</f>
        <v>Year 1 (2020)</v>
      </c>
      <c r="F52" s="327"/>
      <c r="G52" s="327"/>
      <c r="H52" s="360" t="s">
        <v>127</v>
      </c>
      <c r="I52" s="361" t="s">
        <v>128</v>
      </c>
      <c r="J52" s="361" t="s">
        <v>129</v>
      </c>
      <c r="K52" s="361" t="s">
        <v>130</v>
      </c>
      <c r="L52" s="361" t="s">
        <v>131</v>
      </c>
      <c r="M52" s="361" t="s">
        <v>132</v>
      </c>
      <c r="N52" s="361" t="s">
        <v>133</v>
      </c>
      <c r="O52" s="361" t="s">
        <v>134</v>
      </c>
      <c r="P52" s="361" t="s">
        <v>135</v>
      </c>
      <c r="Q52" s="361" t="s">
        <v>136</v>
      </c>
      <c r="R52" s="361" t="s">
        <v>137</v>
      </c>
      <c r="S52" s="361" t="s">
        <v>138</v>
      </c>
      <c r="T52" s="362" t="s">
        <v>179</v>
      </c>
    </row>
    <row r="53" spans="2:20" x14ac:dyDescent="0.2">
      <c r="B53" s="401"/>
      <c r="C53" s="402"/>
      <c r="D53" s="402"/>
      <c r="E53" s="402"/>
      <c r="F53" s="402"/>
      <c r="G53" s="403" t="s">
        <v>57</v>
      </c>
      <c r="H53" s="363">
        <f>H$4</f>
        <v>1</v>
      </c>
      <c r="I53" s="364">
        <f t="shared" ref="I53:S53" si="36">I$4</f>
        <v>2</v>
      </c>
      <c r="J53" s="364">
        <f t="shared" si="36"/>
        <v>3</v>
      </c>
      <c r="K53" s="364">
        <f t="shared" si="36"/>
        <v>4</v>
      </c>
      <c r="L53" s="364">
        <f t="shared" si="36"/>
        <v>5</v>
      </c>
      <c r="M53" s="364">
        <f t="shared" si="36"/>
        <v>6</v>
      </c>
      <c r="N53" s="364">
        <f t="shared" si="36"/>
        <v>7</v>
      </c>
      <c r="O53" s="364">
        <f t="shared" si="36"/>
        <v>8</v>
      </c>
      <c r="P53" s="364">
        <f t="shared" si="36"/>
        <v>9</v>
      </c>
      <c r="Q53" s="364">
        <f t="shared" si="36"/>
        <v>10</v>
      </c>
      <c r="R53" s="364">
        <f t="shared" si="36"/>
        <v>11</v>
      </c>
      <c r="S53" s="364">
        <f t="shared" si="36"/>
        <v>12</v>
      </c>
      <c r="T53" s="405" t="str">
        <f>"Total for " &amp; $E$3</f>
        <v>Total for Year 1 (2020)</v>
      </c>
    </row>
    <row r="54" spans="2:20" x14ac:dyDescent="0.2">
      <c r="B54" s="308"/>
      <c r="H54" s="367"/>
      <c r="I54" s="368"/>
      <c r="J54" s="368"/>
      <c r="K54" s="368"/>
      <c r="L54" s="368"/>
      <c r="M54" s="368"/>
      <c r="N54" s="368"/>
      <c r="O54" s="368"/>
      <c r="P54" s="368"/>
      <c r="Q54" s="368"/>
      <c r="R54" s="368"/>
      <c r="S54" s="368"/>
      <c r="T54" s="407"/>
    </row>
    <row r="55" spans="2:20" x14ac:dyDescent="0.2">
      <c r="B55" s="307" t="s">
        <v>267</v>
      </c>
      <c r="C55" s="10"/>
      <c r="D55" s="11"/>
      <c r="E55" s="12" t="s">
        <v>312</v>
      </c>
      <c r="H55" s="367"/>
      <c r="I55" s="368"/>
      <c r="J55" s="368"/>
      <c r="K55" s="368"/>
      <c r="L55" s="368"/>
      <c r="M55" s="368"/>
      <c r="N55" s="368"/>
      <c r="O55" s="368"/>
      <c r="P55" s="368"/>
      <c r="Q55" s="368"/>
      <c r="R55" s="368"/>
      <c r="S55" s="368"/>
      <c r="T55" s="407"/>
    </row>
    <row r="56" spans="2:20" x14ac:dyDescent="0.2">
      <c r="B56" s="307"/>
      <c r="C56" t="str">
        <f>"Commission on "&amp;$B6</f>
        <v>Commission on Product Revenue</v>
      </c>
      <c r="D56" s="11"/>
      <c r="E56" s="454">
        <v>0.03</v>
      </c>
      <c r="H56" s="379">
        <f>H$12*$E56</f>
        <v>360</v>
      </c>
      <c r="I56" s="380">
        <f t="shared" ref="I56:S56" si="37">I$12*$E56</f>
        <v>363.59999999999997</v>
      </c>
      <c r="J56" s="380">
        <f t="shared" si="37"/>
        <v>367.2</v>
      </c>
      <c r="K56" s="380">
        <f t="shared" si="37"/>
        <v>374.4</v>
      </c>
      <c r="L56" s="380">
        <f t="shared" si="37"/>
        <v>378</v>
      </c>
      <c r="M56" s="380">
        <f t="shared" si="37"/>
        <v>381.59999999999997</v>
      </c>
      <c r="N56" s="380">
        <f t="shared" si="37"/>
        <v>388.8</v>
      </c>
      <c r="O56" s="380">
        <f t="shared" si="37"/>
        <v>392.4</v>
      </c>
      <c r="P56" s="380">
        <f t="shared" si="37"/>
        <v>396</v>
      </c>
      <c r="Q56" s="380">
        <f t="shared" si="37"/>
        <v>403.2</v>
      </c>
      <c r="R56" s="380">
        <f t="shared" si="37"/>
        <v>406.8</v>
      </c>
      <c r="S56" s="380">
        <f t="shared" si="37"/>
        <v>414</v>
      </c>
      <c r="T56" s="417">
        <f t="shared" ref="T56" si="38">SUM(H56:S56)</f>
        <v>4626</v>
      </c>
    </row>
    <row r="57" spans="2:20" x14ac:dyDescent="0.2">
      <c r="B57" s="307"/>
      <c r="C57" t="str">
        <f>"Commission on "&amp;$B14</f>
        <v>Commission on Service Revenue</v>
      </c>
      <c r="D57" s="11"/>
      <c r="E57" s="454">
        <v>0.02</v>
      </c>
      <c r="H57" s="379">
        <f>H$20*$E57</f>
        <v>4</v>
      </c>
      <c r="I57" s="380">
        <f t="shared" ref="I57:S57" si="39">I$20*$E57</f>
        <v>4</v>
      </c>
      <c r="J57" s="380">
        <f t="shared" si="39"/>
        <v>4.2</v>
      </c>
      <c r="K57" s="380">
        <f t="shared" si="39"/>
        <v>4.4000000000000004</v>
      </c>
      <c r="L57" s="380">
        <f t="shared" si="39"/>
        <v>4.6000000000000005</v>
      </c>
      <c r="M57" s="380">
        <f t="shared" si="39"/>
        <v>4.8</v>
      </c>
      <c r="N57" s="380">
        <f t="shared" si="39"/>
        <v>4.8</v>
      </c>
      <c r="O57" s="380">
        <f t="shared" si="39"/>
        <v>5</v>
      </c>
      <c r="P57" s="380">
        <f t="shared" si="39"/>
        <v>5.2</v>
      </c>
      <c r="Q57" s="380">
        <f t="shared" si="39"/>
        <v>5.4</v>
      </c>
      <c r="R57" s="380">
        <f t="shared" si="39"/>
        <v>5.6000000000000005</v>
      </c>
      <c r="S57" s="380">
        <f t="shared" si="39"/>
        <v>5.8</v>
      </c>
      <c r="T57" s="417">
        <f t="shared" ref="T57:T60" si="40">SUM(H57:S57)</f>
        <v>57.800000000000004</v>
      </c>
    </row>
    <row r="58" spans="2:20" x14ac:dyDescent="0.2">
      <c r="B58" s="307"/>
      <c r="C58" t="str">
        <f>"Commission on "&amp;$B22</f>
        <v>Commission on Billable Hours Revenue</v>
      </c>
      <c r="D58" s="11"/>
      <c r="E58" s="454">
        <v>0.01</v>
      </c>
      <c r="H58" s="379">
        <f>H$28*$E58</f>
        <v>67.5</v>
      </c>
      <c r="I58" s="380">
        <f t="shared" ref="I58:S58" si="41">I$28*$E58</f>
        <v>69.3</v>
      </c>
      <c r="J58" s="380">
        <f t="shared" si="41"/>
        <v>71.100000000000009</v>
      </c>
      <c r="K58" s="380">
        <f t="shared" si="41"/>
        <v>72.900000000000006</v>
      </c>
      <c r="L58" s="380">
        <f t="shared" si="41"/>
        <v>74.850000000000009</v>
      </c>
      <c r="M58" s="380">
        <f t="shared" si="41"/>
        <v>76.650000000000006</v>
      </c>
      <c r="N58" s="380">
        <f t="shared" si="41"/>
        <v>78.45</v>
      </c>
      <c r="O58" s="380">
        <f t="shared" si="41"/>
        <v>80.25</v>
      </c>
      <c r="P58" s="380">
        <f t="shared" si="41"/>
        <v>82.2</v>
      </c>
      <c r="Q58" s="380">
        <f t="shared" si="41"/>
        <v>84</v>
      </c>
      <c r="R58" s="380">
        <f t="shared" si="41"/>
        <v>85.8</v>
      </c>
      <c r="S58" s="380">
        <f t="shared" si="41"/>
        <v>87.75</v>
      </c>
      <c r="T58" s="417">
        <f t="shared" si="40"/>
        <v>930.75</v>
      </c>
    </row>
    <row r="59" spans="2:20" ht="17" thickBot="1" x14ac:dyDescent="0.25">
      <c r="B59" s="308"/>
      <c r="C59" t="str">
        <f>"Commission on "&amp;$B30</f>
        <v>Commission on Subscription Revenue</v>
      </c>
      <c r="D59" s="11"/>
      <c r="E59" s="454">
        <v>0.04</v>
      </c>
      <c r="H59" s="379">
        <f>H$39*$E59</f>
        <v>12.4</v>
      </c>
      <c r="I59" s="380">
        <f t="shared" ref="I59:S59" si="42">I$39*$E59</f>
        <v>15.48</v>
      </c>
      <c r="J59" s="380">
        <f t="shared" si="42"/>
        <v>17.240000000000002</v>
      </c>
      <c r="K59" s="380">
        <f t="shared" si="42"/>
        <v>18.559999999999999</v>
      </c>
      <c r="L59" s="380">
        <f t="shared" si="42"/>
        <v>19.440000000000001</v>
      </c>
      <c r="M59" s="380">
        <f t="shared" si="42"/>
        <v>20.32</v>
      </c>
      <c r="N59" s="380">
        <f t="shared" si="42"/>
        <v>20.76</v>
      </c>
      <c r="O59" s="380">
        <f t="shared" si="42"/>
        <v>21.2</v>
      </c>
      <c r="P59" s="380">
        <f t="shared" si="42"/>
        <v>21.64</v>
      </c>
      <c r="Q59" s="380">
        <f t="shared" si="42"/>
        <v>21.64</v>
      </c>
      <c r="R59" s="380">
        <f t="shared" si="42"/>
        <v>21.64</v>
      </c>
      <c r="S59" s="380">
        <f t="shared" si="42"/>
        <v>21.64</v>
      </c>
      <c r="T59" s="417">
        <f t="shared" si="40"/>
        <v>231.95999999999998</v>
      </c>
    </row>
    <row r="60" spans="2:20" ht="17" thickTop="1" x14ac:dyDescent="0.2">
      <c r="B60" s="418" t="s">
        <v>274</v>
      </c>
      <c r="C60" s="419"/>
      <c r="D60" s="419"/>
      <c r="E60" s="419"/>
      <c r="F60" s="419"/>
      <c r="G60" s="420"/>
      <c r="H60" s="421">
        <f>SUM(H56:H59)</f>
        <v>443.9</v>
      </c>
      <c r="I60" s="422">
        <f t="shared" ref="I60:S60" si="43">SUM(I56:I59)</f>
        <v>452.38</v>
      </c>
      <c r="J60" s="422">
        <f t="shared" si="43"/>
        <v>459.74</v>
      </c>
      <c r="K60" s="422">
        <f t="shared" si="43"/>
        <v>470.25999999999993</v>
      </c>
      <c r="L60" s="422">
        <f t="shared" si="43"/>
        <v>476.89000000000004</v>
      </c>
      <c r="M60" s="422">
        <f t="shared" si="43"/>
        <v>483.36999999999995</v>
      </c>
      <c r="N60" s="422">
        <f t="shared" si="43"/>
        <v>492.81</v>
      </c>
      <c r="O60" s="422">
        <f t="shared" si="43"/>
        <v>498.84999999999997</v>
      </c>
      <c r="P60" s="422">
        <f t="shared" si="43"/>
        <v>505.03999999999996</v>
      </c>
      <c r="Q60" s="422">
        <f t="shared" si="43"/>
        <v>514.24</v>
      </c>
      <c r="R60" s="422">
        <f t="shared" si="43"/>
        <v>519.84</v>
      </c>
      <c r="S60" s="422">
        <f t="shared" si="43"/>
        <v>529.19000000000005</v>
      </c>
      <c r="T60" s="423">
        <f t="shared" si="40"/>
        <v>5846.51</v>
      </c>
    </row>
    <row r="61" spans="2:20" x14ac:dyDescent="0.2">
      <c r="B61" s="424"/>
      <c r="C61" s="10"/>
      <c r="D61" s="11"/>
      <c r="E61" s="16"/>
      <c r="F61" s="57"/>
      <c r="G61" s="57"/>
      <c r="H61" s="382"/>
      <c r="I61" s="383"/>
      <c r="J61" s="383"/>
      <c r="K61" s="383"/>
      <c r="L61" s="383"/>
      <c r="M61" s="383"/>
      <c r="N61" s="383"/>
      <c r="O61" s="383"/>
      <c r="P61" s="383"/>
      <c r="Q61" s="383"/>
      <c r="R61" s="383"/>
      <c r="S61" s="383"/>
      <c r="T61" s="407"/>
    </row>
    <row r="62" spans="2:20" x14ac:dyDescent="0.2">
      <c r="B62" s="307" t="s">
        <v>209</v>
      </c>
      <c r="C62" s="10"/>
      <c r="D62" s="11"/>
      <c r="E62" s="12" t="s">
        <v>312</v>
      </c>
      <c r="F62" s="57"/>
      <c r="G62" s="57"/>
      <c r="H62" s="367"/>
      <c r="I62" s="368"/>
      <c r="J62" s="368"/>
      <c r="K62" s="368"/>
      <c r="L62" s="368" t="s">
        <v>14</v>
      </c>
      <c r="M62" s="368"/>
      <c r="N62" s="368"/>
      <c r="O62" s="368"/>
      <c r="P62" s="368"/>
      <c r="Q62" s="368"/>
      <c r="R62" s="368"/>
      <c r="S62" s="368"/>
      <c r="T62" s="407"/>
    </row>
    <row r="63" spans="2:20" x14ac:dyDescent="0.2">
      <c r="B63" s="307"/>
      <c r="C63" t="str">
        <f>"Customer Acquisition Costs for "&amp;$B6</f>
        <v>Customer Acquisition Costs for Product Revenue</v>
      </c>
      <c r="D63" s="11"/>
      <c r="E63" s="454">
        <v>0.02</v>
      </c>
      <c r="F63" s="37"/>
      <c r="H63" s="382">
        <f>$E63*H$12</f>
        <v>240</v>
      </c>
      <c r="I63" s="383">
        <f t="shared" ref="I63:S63" si="44">$E63*I$12</f>
        <v>242.4</v>
      </c>
      <c r="J63" s="383">
        <f t="shared" si="44"/>
        <v>244.8</v>
      </c>
      <c r="K63" s="383">
        <f t="shared" si="44"/>
        <v>249.6</v>
      </c>
      <c r="L63" s="383">
        <f t="shared" si="44"/>
        <v>252</v>
      </c>
      <c r="M63" s="383">
        <f t="shared" si="44"/>
        <v>254.4</v>
      </c>
      <c r="N63" s="383">
        <f t="shared" si="44"/>
        <v>259.2</v>
      </c>
      <c r="O63" s="383">
        <f t="shared" si="44"/>
        <v>261.60000000000002</v>
      </c>
      <c r="P63" s="383">
        <f t="shared" si="44"/>
        <v>264</v>
      </c>
      <c r="Q63" s="383">
        <f t="shared" si="44"/>
        <v>268.8</v>
      </c>
      <c r="R63" s="383">
        <f t="shared" si="44"/>
        <v>271.2</v>
      </c>
      <c r="S63" s="383">
        <f t="shared" si="44"/>
        <v>276</v>
      </c>
      <c r="T63" s="417">
        <f t="shared" ref="T63:T67" si="45">SUM(H63:S63)</f>
        <v>3084.0000000000005</v>
      </c>
    </row>
    <row r="64" spans="2:20" x14ac:dyDescent="0.2">
      <c r="B64" s="307"/>
      <c r="C64" t="str">
        <f>"Customer Acquisition Costs for "&amp;$B14</f>
        <v>Customer Acquisition Costs for Service Revenue</v>
      </c>
      <c r="D64" s="11"/>
      <c r="E64" s="454">
        <v>0</v>
      </c>
      <c r="F64" s="37"/>
      <c r="H64" s="382">
        <f>$E64*H$20</f>
        <v>0</v>
      </c>
      <c r="I64" s="383">
        <f t="shared" ref="I64:S64" si="46">$E64*I$20</f>
        <v>0</v>
      </c>
      <c r="J64" s="383">
        <f t="shared" si="46"/>
        <v>0</v>
      </c>
      <c r="K64" s="383">
        <f t="shared" si="46"/>
        <v>0</v>
      </c>
      <c r="L64" s="383">
        <f t="shared" si="46"/>
        <v>0</v>
      </c>
      <c r="M64" s="383">
        <f t="shared" si="46"/>
        <v>0</v>
      </c>
      <c r="N64" s="383">
        <f t="shared" si="46"/>
        <v>0</v>
      </c>
      <c r="O64" s="383">
        <f t="shared" si="46"/>
        <v>0</v>
      </c>
      <c r="P64" s="383">
        <f t="shared" si="46"/>
        <v>0</v>
      </c>
      <c r="Q64" s="383">
        <f t="shared" si="46"/>
        <v>0</v>
      </c>
      <c r="R64" s="383">
        <f t="shared" si="46"/>
        <v>0</v>
      </c>
      <c r="S64" s="383">
        <f t="shared" si="46"/>
        <v>0</v>
      </c>
      <c r="T64" s="417">
        <f t="shared" si="45"/>
        <v>0</v>
      </c>
    </row>
    <row r="65" spans="2:20" x14ac:dyDescent="0.2">
      <c r="B65" s="307"/>
      <c r="C65" t="str">
        <f>"Customer Acquisition Costs for "&amp;$B22</f>
        <v>Customer Acquisition Costs for Billable Hours Revenue</v>
      </c>
      <c r="D65" s="11"/>
      <c r="E65" s="454">
        <v>0.3</v>
      </c>
      <c r="F65" s="37"/>
      <c r="H65" s="382">
        <f>$E65*H$28</f>
        <v>2025</v>
      </c>
      <c r="I65" s="383">
        <f t="shared" ref="I65:S65" si="47">$E65*I$28</f>
        <v>2079</v>
      </c>
      <c r="J65" s="383">
        <f t="shared" si="47"/>
        <v>2133</v>
      </c>
      <c r="K65" s="383">
        <f t="shared" si="47"/>
        <v>2187</v>
      </c>
      <c r="L65" s="383">
        <f t="shared" si="47"/>
        <v>2245.5</v>
      </c>
      <c r="M65" s="383">
        <f t="shared" si="47"/>
        <v>2299.5</v>
      </c>
      <c r="N65" s="383">
        <f t="shared" si="47"/>
        <v>2353.5</v>
      </c>
      <c r="O65" s="383">
        <f t="shared" si="47"/>
        <v>2407.5</v>
      </c>
      <c r="P65" s="383">
        <f t="shared" si="47"/>
        <v>2466</v>
      </c>
      <c r="Q65" s="383">
        <f t="shared" si="47"/>
        <v>2520</v>
      </c>
      <c r="R65" s="383">
        <f t="shared" si="47"/>
        <v>2574</v>
      </c>
      <c r="S65" s="383">
        <f t="shared" si="47"/>
        <v>2632.5</v>
      </c>
      <c r="T65" s="417">
        <f t="shared" si="45"/>
        <v>27922.5</v>
      </c>
    </row>
    <row r="66" spans="2:20" ht="17" thickBot="1" x14ac:dyDescent="0.25">
      <c r="B66" s="307"/>
      <c r="C66" t="str">
        <f>"Customer Acquisition Costs for "&amp;$B30</f>
        <v>Customer Acquisition Costs for Subscription Revenue</v>
      </c>
      <c r="D66" s="11"/>
      <c r="E66" s="454">
        <v>0.12</v>
      </c>
      <c r="F66" s="37"/>
      <c r="H66" s="382">
        <f>IF(H$37="",$E66*H$36*($E$31+$E$32),$E66*$E$34*($E$31+$E$32))</f>
        <v>37.199999999999996</v>
      </c>
      <c r="I66" s="383">
        <f t="shared" ref="I66:S66" si="48">IF(I$37="",$E66*I$36*($E$31+$E$32),$E66*$E$34*($E$31+$E$32))</f>
        <v>37.199999999999996</v>
      </c>
      <c r="J66" s="383">
        <f t="shared" si="48"/>
        <v>37.199999999999996</v>
      </c>
      <c r="K66" s="383">
        <f t="shared" si="48"/>
        <v>37.199999999999996</v>
      </c>
      <c r="L66" s="383">
        <f t="shared" si="48"/>
        <v>37.199999999999996</v>
      </c>
      <c r="M66" s="383">
        <f t="shared" si="48"/>
        <v>37.199999999999996</v>
      </c>
      <c r="N66" s="383">
        <f t="shared" si="48"/>
        <v>37.199999999999996</v>
      </c>
      <c r="O66" s="383">
        <f t="shared" si="48"/>
        <v>37.199999999999996</v>
      </c>
      <c r="P66" s="383">
        <f t="shared" si="48"/>
        <v>37.199999999999996</v>
      </c>
      <c r="Q66" s="383">
        <f t="shared" si="48"/>
        <v>37.199999999999996</v>
      </c>
      <c r="R66" s="383">
        <f t="shared" si="48"/>
        <v>37.199999999999996</v>
      </c>
      <c r="S66" s="383">
        <f t="shared" si="48"/>
        <v>37.199999999999996</v>
      </c>
      <c r="T66" s="417">
        <f t="shared" si="45"/>
        <v>446.39999999999992</v>
      </c>
    </row>
    <row r="67" spans="2:20" ht="17" thickTop="1" x14ac:dyDescent="0.2">
      <c r="B67" s="418" t="s">
        <v>275</v>
      </c>
      <c r="C67" s="419"/>
      <c r="D67" s="419"/>
      <c r="E67" s="419"/>
      <c r="F67" s="419"/>
      <c r="G67" s="420"/>
      <c r="H67" s="421">
        <f t="shared" ref="H67:S67" si="49">SUM(H63:H66)</f>
        <v>2302.1999999999998</v>
      </c>
      <c r="I67" s="422">
        <f t="shared" si="49"/>
        <v>2358.6</v>
      </c>
      <c r="J67" s="422">
        <f t="shared" si="49"/>
        <v>2415</v>
      </c>
      <c r="K67" s="422">
        <f t="shared" si="49"/>
        <v>2473.7999999999997</v>
      </c>
      <c r="L67" s="422">
        <f t="shared" si="49"/>
        <v>2534.6999999999998</v>
      </c>
      <c r="M67" s="422">
        <f t="shared" si="49"/>
        <v>2591.1</v>
      </c>
      <c r="N67" s="422">
        <f t="shared" si="49"/>
        <v>2649.8999999999996</v>
      </c>
      <c r="O67" s="422">
        <f t="shared" si="49"/>
        <v>2706.2999999999997</v>
      </c>
      <c r="P67" s="422">
        <f t="shared" si="49"/>
        <v>2767.2</v>
      </c>
      <c r="Q67" s="422">
        <f t="shared" si="49"/>
        <v>2826</v>
      </c>
      <c r="R67" s="422">
        <f t="shared" si="49"/>
        <v>2882.3999999999996</v>
      </c>
      <c r="S67" s="422">
        <f t="shared" si="49"/>
        <v>2945.7</v>
      </c>
      <c r="T67" s="423">
        <f t="shared" si="45"/>
        <v>31452.899999999998</v>
      </c>
    </row>
    <row r="68" spans="2:20" x14ac:dyDescent="0.2">
      <c r="B68" s="307"/>
      <c r="C68" s="10"/>
      <c r="D68" s="11"/>
      <c r="E68" s="16"/>
      <c r="H68" s="382"/>
      <c r="I68" s="384"/>
      <c r="J68" s="384"/>
      <c r="K68" s="384"/>
      <c r="L68" s="384"/>
      <c r="M68" s="384"/>
      <c r="N68" s="384"/>
      <c r="O68" s="384"/>
      <c r="P68" s="384"/>
      <c r="Q68" s="384"/>
      <c r="R68" s="384"/>
      <c r="S68" s="383"/>
      <c r="T68" s="407"/>
    </row>
    <row r="69" spans="2:20" x14ac:dyDescent="0.2">
      <c r="B69" s="307" t="s">
        <v>277</v>
      </c>
      <c r="C69" s="10"/>
      <c r="D69" s="11"/>
      <c r="E69" s="16" t="s">
        <v>180</v>
      </c>
      <c r="F69" s="16" t="s">
        <v>283</v>
      </c>
      <c r="G69" s="17" t="s">
        <v>16</v>
      </c>
      <c r="H69" s="367"/>
      <c r="I69" s="368"/>
      <c r="J69" s="368"/>
      <c r="K69" s="368"/>
      <c r="L69" s="368"/>
      <c r="M69" s="368"/>
      <c r="N69" s="368"/>
      <c r="O69" s="368"/>
      <c r="P69" s="368"/>
      <c r="Q69" s="368"/>
      <c r="R69" s="368"/>
      <c r="S69" s="368"/>
      <c r="T69" s="407"/>
    </row>
    <row r="70" spans="2:20" x14ac:dyDescent="0.2">
      <c r="B70" s="308"/>
      <c r="C70" t="str">
        <f>"S&amp;M Expenses for "&amp;$B6 &amp;" Line"</f>
        <v>S&amp;M Expenses for Product Revenue Line</v>
      </c>
      <c r="E70" s="453">
        <v>6</v>
      </c>
      <c r="F70" s="453">
        <v>12</v>
      </c>
      <c r="G70" s="452">
        <v>300</v>
      </c>
      <c r="H70" s="382">
        <f>IF(AND($E70&lt;=H$53,$F70&gt;=H$53),$G70,0)</f>
        <v>0</v>
      </c>
      <c r="I70" s="383">
        <f t="shared" ref="I70:S70" si="50">IF(AND($E70&lt;=I$53,$F70&gt;=I$53),$G70,0)</f>
        <v>0</v>
      </c>
      <c r="J70" s="383">
        <f t="shared" si="50"/>
        <v>0</v>
      </c>
      <c r="K70" s="383">
        <f t="shared" si="50"/>
        <v>0</v>
      </c>
      <c r="L70" s="383">
        <f t="shared" si="50"/>
        <v>0</v>
      </c>
      <c r="M70" s="383">
        <f t="shared" si="50"/>
        <v>300</v>
      </c>
      <c r="N70" s="383">
        <f t="shared" si="50"/>
        <v>300</v>
      </c>
      <c r="O70" s="383">
        <f t="shared" si="50"/>
        <v>300</v>
      </c>
      <c r="P70" s="383">
        <f t="shared" si="50"/>
        <v>300</v>
      </c>
      <c r="Q70" s="383">
        <f t="shared" si="50"/>
        <v>300</v>
      </c>
      <c r="R70" s="383">
        <f t="shared" si="50"/>
        <v>300</v>
      </c>
      <c r="S70" s="383">
        <f t="shared" si="50"/>
        <v>300</v>
      </c>
      <c r="T70" s="417">
        <f t="shared" ref="T70:T73" si="51">SUM(H70:S70)</f>
        <v>2100</v>
      </c>
    </row>
    <row r="71" spans="2:20" x14ac:dyDescent="0.2">
      <c r="B71" s="308"/>
      <c r="C71" t="str">
        <f>"S&amp;M Expenses for "&amp;$B14 &amp;" Line"</f>
        <v>S&amp;M Expenses for Service Revenue Line</v>
      </c>
      <c r="E71" s="453">
        <v>3</v>
      </c>
      <c r="F71" s="453">
        <v>5</v>
      </c>
      <c r="G71" s="452">
        <v>150</v>
      </c>
      <c r="H71" s="382">
        <f t="shared" ref="H71:S73" si="52">IF(AND($E71&lt;=H$53,$F71&gt;=H$53),$G71,0)</f>
        <v>0</v>
      </c>
      <c r="I71" s="383">
        <f t="shared" si="52"/>
        <v>0</v>
      </c>
      <c r="J71" s="383">
        <f t="shared" si="52"/>
        <v>150</v>
      </c>
      <c r="K71" s="383">
        <f t="shared" si="52"/>
        <v>150</v>
      </c>
      <c r="L71" s="383">
        <f t="shared" si="52"/>
        <v>150</v>
      </c>
      <c r="M71" s="383">
        <f t="shared" si="52"/>
        <v>0</v>
      </c>
      <c r="N71" s="383">
        <f t="shared" si="52"/>
        <v>0</v>
      </c>
      <c r="O71" s="383">
        <f t="shared" si="52"/>
        <v>0</v>
      </c>
      <c r="P71" s="383">
        <f t="shared" si="52"/>
        <v>0</v>
      </c>
      <c r="Q71" s="383">
        <f t="shared" si="52"/>
        <v>0</v>
      </c>
      <c r="R71" s="383">
        <f t="shared" si="52"/>
        <v>0</v>
      </c>
      <c r="S71" s="383">
        <f t="shared" si="52"/>
        <v>0</v>
      </c>
      <c r="T71" s="417">
        <f t="shared" si="51"/>
        <v>450</v>
      </c>
    </row>
    <row r="72" spans="2:20" x14ac:dyDescent="0.2">
      <c r="B72" s="308"/>
      <c r="C72" t="str">
        <f>"S&amp;M Expenses for "&amp;$B22 &amp;" Line"</f>
        <v>S&amp;M Expenses for Billable Hours Revenue Line</v>
      </c>
      <c r="E72" s="453">
        <v>4</v>
      </c>
      <c r="F72" s="453">
        <v>45</v>
      </c>
      <c r="G72" s="452">
        <v>20</v>
      </c>
      <c r="H72" s="382">
        <f t="shared" si="52"/>
        <v>0</v>
      </c>
      <c r="I72" s="383">
        <f t="shared" si="52"/>
        <v>0</v>
      </c>
      <c r="J72" s="383">
        <f t="shared" si="52"/>
        <v>0</v>
      </c>
      <c r="K72" s="383">
        <f t="shared" si="52"/>
        <v>20</v>
      </c>
      <c r="L72" s="383">
        <f t="shared" si="52"/>
        <v>20</v>
      </c>
      <c r="M72" s="383">
        <f t="shared" si="52"/>
        <v>20</v>
      </c>
      <c r="N72" s="383">
        <f t="shared" si="52"/>
        <v>20</v>
      </c>
      <c r="O72" s="383">
        <f t="shared" si="52"/>
        <v>20</v>
      </c>
      <c r="P72" s="383">
        <f t="shared" si="52"/>
        <v>20</v>
      </c>
      <c r="Q72" s="383">
        <f t="shared" si="52"/>
        <v>20</v>
      </c>
      <c r="R72" s="383">
        <f t="shared" si="52"/>
        <v>20</v>
      </c>
      <c r="S72" s="383">
        <f t="shared" si="52"/>
        <v>20</v>
      </c>
      <c r="T72" s="417">
        <f t="shared" si="51"/>
        <v>180</v>
      </c>
    </row>
    <row r="73" spans="2:20" ht="17" thickBot="1" x14ac:dyDescent="0.25">
      <c r="B73" s="308"/>
      <c r="C73" t="str">
        <f>"S&amp;M Expenses for "&amp;$B30 &amp;" Line"</f>
        <v>S&amp;M Expenses for Subscription Revenue Line</v>
      </c>
      <c r="E73" s="453">
        <v>3</v>
      </c>
      <c r="F73" s="453">
        <v>27</v>
      </c>
      <c r="G73" s="452">
        <v>400</v>
      </c>
      <c r="H73" s="382">
        <f t="shared" si="52"/>
        <v>0</v>
      </c>
      <c r="I73" s="383">
        <f t="shared" si="52"/>
        <v>0</v>
      </c>
      <c r="J73" s="383">
        <f t="shared" si="52"/>
        <v>400</v>
      </c>
      <c r="K73" s="383">
        <f t="shared" si="52"/>
        <v>400</v>
      </c>
      <c r="L73" s="383">
        <f t="shared" si="52"/>
        <v>400</v>
      </c>
      <c r="M73" s="383">
        <f t="shared" si="52"/>
        <v>400</v>
      </c>
      <c r="N73" s="383">
        <f t="shared" si="52"/>
        <v>400</v>
      </c>
      <c r="O73" s="383">
        <f t="shared" si="52"/>
        <v>400</v>
      </c>
      <c r="P73" s="383">
        <f t="shared" si="52"/>
        <v>400</v>
      </c>
      <c r="Q73" s="383">
        <f t="shared" si="52"/>
        <v>400</v>
      </c>
      <c r="R73" s="383">
        <f t="shared" si="52"/>
        <v>400</v>
      </c>
      <c r="S73" s="383">
        <f t="shared" si="52"/>
        <v>400</v>
      </c>
      <c r="T73" s="417">
        <f t="shared" si="51"/>
        <v>4000</v>
      </c>
    </row>
    <row r="74" spans="2:20" ht="17" thickTop="1" x14ac:dyDescent="0.2">
      <c r="B74" s="418" t="s">
        <v>282</v>
      </c>
      <c r="C74" s="419"/>
      <c r="D74" s="419"/>
      <c r="E74" s="419"/>
      <c r="F74" s="419"/>
      <c r="G74" s="420"/>
      <c r="H74" s="421">
        <f>SUM(H70:H73)</f>
        <v>0</v>
      </c>
      <c r="I74" s="422">
        <f t="shared" ref="I74:S74" si="53">SUM(I70:I73)</f>
        <v>0</v>
      </c>
      <c r="J74" s="422">
        <f t="shared" si="53"/>
        <v>550</v>
      </c>
      <c r="K74" s="422">
        <f t="shared" si="53"/>
        <v>570</v>
      </c>
      <c r="L74" s="422">
        <f t="shared" si="53"/>
        <v>570</v>
      </c>
      <c r="M74" s="422">
        <f t="shared" si="53"/>
        <v>720</v>
      </c>
      <c r="N74" s="422">
        <f t="shared" si="53"/>
        <v>720</v>
      </c>
      <c r="O74" s="422">
        <f t="shared" si="53"/>
        <v>720</v>
      </c>
      <c r="P74" s="422">
        <f t="shared" si="53"/>
        <v>720</v>
      </c>
      <c r="Q74" s="422">
        <f t="shared" si="53"/>
        <v>720</v>
      </c>
      <c r="R74" s="422">
        <f t="shared" si="53"/>
        <v>720</v>
      </c>
      <c r="S74" s="422">
        <f t="shared" si="53"/>
        <v>720</v>
      </c>
      <c r="T74" s="423">
        <f>SUM(H74:S74)</f>
        <v>6730</v>
      </c>
    </row>
    <row r="75" spans="2:20" x14ac:dyDescent="0.2">
      <c r="B75" s="308"/>
      <c r="H75" s="367"/>
      <c r="I75" s="383"/>
      <c r="J75" s="383"/>
      <c r="K75" s="383"/>
      <c r="L75" s="383"/>
      <c r="M75" s="383"/>
      <c r="N75" s="383"/>
      <c r="O75" s="383"/>
      <c r="P75" s="383"/>
      <c r="Q75" s="383"/>
      <c r="R75" s="383"/>
      <c r="S75" s="383"/>
      <c r="T75" s="407"/>
    </row>
    <row r="76" spans="2:20" x14ac:dyDescent="0.2">
      <c r="B76" s="307" t="s">
        <v>25</v>
      </c>
      <c r="C76" s="10"/>
      <c r="D76" s="11"/>
      <c r="E76" s="17" t="s">
        <v>313</v>
      </c>
      <c r="G76" s="32"/>
      <c r="H76" s="367"/>
      <c r="I76" s="368"/>
      <c r="J76" s="368"/>
      <c r="K76" s="368"/>
      <c r="L76" s="368"/>
      <c r="M76" s="368"/>
      <c r="N76" s="368"/>
      <c r="O76" s="368"/>
      <c r="P76" s="368"/>
      <c r="Q76" s="368"/>
      <c r="R76" s="368"/>
      <c r="S76" s="368"/>
      <c r="T76" s="407"/>
    </row>
    <row r="77" spans="2:20" x14ac:dyDescent="0.2">
      <c r="B77" s="308"/>
      <c r="C77" t="s">
        <v>26</v>
      </c>
      <c r="D77" s="11"/>
      <c r="E77" s="454">
        <v>3.4000000000000002E-2</v>
      </c>
      <c r="H77" s="379">
        <f t="shared" ref="H77:S77" si="54">H$41*$E77</f>
        <v>654.84</v>
      </c>
      <c r="I77" s="380">
        <f t="shared" si="54"/>
        <v>667.65800000000002</v>
      </c>
      <c r="J77" s="380">
        <f t="shared" si="54"/>
        <v>679.69400000000007</v>
      </c>
      <c r="K77" s="380">
        <f t="shared" si="54"/>
        <v>695.43600000000004</v>
      </c>
      <c r="L77" s="380">
        <f t="shared" si="54"/>
        <v>707.23400000000004</v>
      </c>
      <c r="M77" s="380">
        <f t="shared" si="54"/>
        <v>718.52200000000005</v>
      </c>
      <c r="N77" s="380">
        <f t="shared" si="54"/>
        <v>733.17600000000004</v>
      </c>
      <c r="O77" s="380">
        <f t="shared" si="54"/>
        <v>744.09</v>
      </c>
      <c r="P77" s="380">
        <f t="shared" si="54"/>
        <v>755.51400000000001</v>
      </c>
      <c r="Q77" s="380">
        <f t="shared" si="54"/>
        <v>770.13400000000001</v>
      </c>
      <c r="R77" s="380">
        <f t="shared" si="54"/>
        <v>780.67400000000009</v>
      </c>
      <c r="S77" s="380">
        <f t="shared" si="54"/>
        <v>795.80400000000009</v>
      </c>
      <c r="T77" s="417">
        <f>SUM(H77:S77)</f>
        <v>8702.7760000000017</v>
      </c>
    </row>
    <row r="78" spans="2:20" ht="17" thickBot="1" x14ac:dyDescent="0.25">
      <c r="B78" s="404"/>
      <c r="C78" s="2" t="s">
        <v>27</v>
      </c>
      <c r="D78" s="4"/>
      <c r="E78" s="454">
        <v>0.05</v>
      </c>
      <c r="F78" s="2"/>
      <c r="G78" s="2"/>
      <c r="H78" s="379">
        <f t="shared" ref="H78:S78" si="55">H$41*$E78</f>
        <v>963</v>
      </c>
      <c r="I78" s="380">
        <f t="shared" si="55"/>
        <v>981.85</v>
      </c>
      <c r="J78" s="380">
        <f t="shared" si="55"/>
        <v>999.55000000000007</v>
      </c>
      <c r="K78" s="380">
        <f t="shared" si="55"/>
        <v>1022.7</v>
      </c>
      <c r="L78" s="380">
        <f t="shared" si="55"/>
        <v>1040.05</v>
      </c>
      <c r="M78" s="380">
        <f t="shared" si="55"/>
        <v>1056.6500000000001</v>
      </c>
      <c r="N78" s="380">
        <f t="shared" si="55"/>
        <v>1078.2</v>
      </c>
      <c r="O78" s="380">
        <f t="shared" si="55"/>
        <v>1094.25</v>
      </c>
      <c r="P78" s="380">
        <f t="shared" si="55"/>
        <v>1111.05</v>
      </c>
      <c r="Q78" s="380">
        <f t="shared" si="55"/>
        <v>1132.55</v>
      </c>
      <c r="R78" s="380">
        <f t="shared" si="55"/>
        <v>1148.05</v>
      </c>
      <c r="S78" s="380">
        <f t="shared" si="55"/>
        <v>1170.3</v>
      </c>
      <c r="T78" s="417">
        <f>SUM(H78:S78)</f>
        <v>12798.199999999997</v>
      </c>
    </row>
    <row r="79" spans="2:20" ht="17" thickTop="1" x14ac:dyDescent="0.2">
      <c r="B79" s="418" t="s">
        <v>13</v>
      </c>
      <c r="C79" s="419"/>
      <c r="D79" s="419"/>
      <c r="E79" s="419"/>
      <c r="F79" s="419"/>
      <c r="G79" s="420"/>
      <c r="H79" s="421">
        <f t="shared" ref="H79:S79" si="56">SUM(H77:H78)</f>
        <v>1617.8400000000001</v>
      </c>
      <c r="I79" s="422">
        <f t="shared" si="56"/>
        <v>1649.508</v>
      </c>
      <c r="J79" s="422">
        <f t="shared" si="56"/>
        <v>1679.2440000000001</v>
      </c>
      <c r="K79" s="422">
        <f t="shared" si="56"/>
        <v>1718.136</v>
      </c>
      <c r="L79" s="422">
        <f t="shared" si="56"/>
        <v>1747.2840000000001</v>
      </c>
      <c r="M79" s="422">
        <f t="shared" si="56"/>
        <v>1775.172</v>
      </c>
      <c r="N79" s="422">
        <f t="shared" si="56"/>
        <v>1811.3760000000002</v>
      </c>
      <c r="O79" s="422">
        <f t="shared" si="56"/>
        <v>1838.3400000000001</v>
      </c>
      <c r="P79" s="422">
        <f t="shared" si="56"/>
        <v>1866.5639999999999</v>
      </c>
      <c r="Q79" s="422">
        <f t="shared" si="56"/>
        <v>1902.684</v>
      </c>
      <c r="R79" s="422">
        <f t="shared" si="56"/>
        <v>1928.7240000000002</v>
      </c>
      <c r="S79" s="422">
        <f t="shared" si="56"/>
        <v>1966.104</v>
      </c>
      <c r="T79" s="423">
        <f>SUM(H79:S79)</f>
        <v>21500.976000000002</v>
      </c>
    </row>
    <row r="80" spans="2:20" ht="17" thickBot="1" x14ac:dyDescent="0.25">
      <c r="B80" s="308"/>
      <c r="C80" s="10"/>
      <c r="D80" s="11"/>
      <c r="E80" s="16"/>
      <c r="H80" s="385"/>
      <c r="I80" s="386"/>
      <c r="J80" s="386"/>
      <c r="K80" s="386"/>
      <c r="L80" s="386"/>
      <c r="M80" s="386"/>
      <c r="N80" s="386"/>
      <c r="O80" s="386"/>
      <c r="P80" s="386"/>
      <c r="Q80" s="386"/>
      <c r="R80" s="386"/>
      <c r="S80" s="386"/>
      <c r="T80" s="425"/>
    </row>
    <row r="81" spans="2:20" ht="17" thickTop="1" x14ac:dyDescent="0.2">
      <c r="B81" s="250" t="s">
        <v>28</v>
      </c>
      <c r="C81" s="237"/>
      <c r="D81" s="237"/>
      <c r="E81" s="237"/>
      <c r="F81" s="237"/>
      <c r="G81" s="237"/>
      <c r="H81" s="239">
        <f>SUM(H60,H67,H74,H79)</f>
        <v>4363.9400000000005</v>
      </c>
      <c r="I81" s="240">
        <f t="shared" ref="I81:S81" si="57">SUM(I60,I67,I74,I79)</f>
        <v>4460.4880000000003</v>
      </c>
      <c r="J81" s="240">
        <f t="shared" si="57"/>
        <v>5103.9840000000004</v>
      </c>
      <c r="K81" s="240">
        <f t="shared" si="57"/>
        <v>5232.1959999999999</v>
      </c>
      <c r="L81" s="240">
        <f t="shared" si="57"/>
        <v>5328.8739999999998</v>
      </c>
      <c r="M81" s="240">
        <f t="shared" si="57"/>
        <v>5569.6419999999998</v>
      </c>
      <c r="N81" s="240">
        <f t="shared" si="57"/>
        <v>5674.0859999999993</v>
      </c>
      <c r="O81" s="240">
        <f t="shared" si="57"/>
        <v>5763.49</v>
      </c>
      <c r="P81" s="240">
        <f t="shared" si="57"/>
        <v>5858.8040000000001</v>
      </c>
      <c r="Q81" s="240">
        <f t="shared" si="57"/>
        <v>5962.924</v>
      </c>
      <c r="R81" s="240">
        <f t="shared" si="57"/>
        <v>6050.9639999999999</v>
      </c>
      <c r="S81" s="240">
        <f t="shared" si="57"/>
        <v>6160.9939999999997</v>
      </c>
      <c r="T81" s="251">
        <f>SUM(H81:S81)</f>
        <v>65530.385999999999</v>
      </c>
    </row>
    <row r="82" spans="2:20" x14ac:dyDescent="0.2">
      <c r="H82" s="367"/>
      <c r="I82" s="368"/>
      <c r="J82" s="368"/>
      <c r="K82" s="368"/>
      <c r="L82" s="368"/>
      <c r="M82" s="368"/>
      <c r="N82" s="368"/>
      <c r="O82" s="368"/>
      <c r="P82" s="368"/>
      <c r="Q82" s="368"/>
      <c r="R82" s="368"/>
      <c r="S82" s="368"/>
      <c r="T82" s="381"/>
    </row>
    <row r="83" spans="2:20" ht="20" x14ac:dyDescent="0.2">
      <c r="B83" s="116" t="s">
        <v>237</v>
      </c>
      <c r="C83" s="327"/>
      <c r="D83" s="327"/>
      <c r="E83" s="327" t="str">
        <f>$E$3</f>
        <v>Year 1 (2020)</v>
      </c>
      <c r="F83" s="327"/>
      <c r="G83" s="327"/>
      <c r="H83" s="360" t="s">
        <v>127</v>
      </c>
      <c r="I83" s="361" t="s">
        <v>128</v>
      </c>
      <c r="J83" s="361" t="s">
        <v>129</v>
      </c>
      <c r="K83" s="361" t="s">
        <v>130</v>
      </c>
      <c r="L83" s="361" t="s">
        <v>131</v>
      </c>
      <c r="M83" s="361" t="s">
        <v>132</v>
      </c>
      <c r="N83" s="361" t="s">
        <v>133</v>
      </c>
      <c r="O83" s="361" t="s">
        <v>134</v>
      </c>
      <c r="P83" s="361" t="s">
        <v>135</v>
      </c>
      <c r="Q83" s="361" t="s">
        <v>136</v>
      </c>
      <c r="R83" s="361" t="s">
        <v>137</v>
      </c>
      <c r="S83" s="361" t="s">
        <v>138</v>
      </c>
      <c r="T83" s="362" t="s">
        <v>179</v>
      </c>
    </row>
    <row r="84" spans="2:20" x14ac:dyDescent="0.2">
      <c r="B84" s="401"/>
      <c r="C84" s="402"/>
      <c r="D84" s="402"/>
      <c r="E84" s="402"/>
      <c r="F84" s="402"/>
      <c r="G84" s="403" t="s">
        <v>57</v>
      </c>
      <c r="H84" s="363">
        <f>H$4</f>
        <v>1</v>
      </c>
      <c r="I84" s="364">
        <f t="shared" ref="I84:S84" si="58">I$4</f>
        <v>2</v>
      </c>
      <c r="J84" s="364">
        <f t="shared" si="58"/>
        <v>3</v>
      </c>
      <c r="K84" s="364">
        <f t="shared" si="58"/>
        <v>4</v>
      </c>
      <c r="L84" s="364">
        <f t="shared" si="58"/>
        <v>5</v>
      </c>
      <c r="M84" s="364">
        <f t="shared" si="58"/>
        <v>6</v>
      </c>
      <c r="N84" s="364">
        <f t="shared" si="58"/>
        <v>7</v>
      </c>
      <c r="O84" s="364">
        <f t="shared" si="58"/>
        <v>8</v>
      </c>
      <c r="P84" s="364">
        <f t="shared" si="58"/>
        <v>9</v>
      </c>
      <c r="Q84" s="364">
        <f t="shared" si="58"/>
        <v>10</v>
      </c>
      <c r="R84" s="364">
        <f t="shared" si="58"/>
        <v>11</v>
      </c>
      <c r="S84" s="364">
        <f t="shared" si="58"/>
        <v>12</v>
      </c>
      <c r="T84" s="405" t="str">
        <f>"Total for " &amp; $E$3</f>
        <v>Total for Year 1 (2020)</v>
      </c>
    </row>
    <row r="85" spans="2:20" x14ac:dyDescent="0.2">
      <c r="B85" s="308"/>
      <c r="E85" s="499" t="s">
        <v>291</v>
      </c>
      <c r="G85" s="496" t="s">
        <v>292</v>
      </c>
      <c r="H85" s="367"/>
      <c r="I85" s="368"/>
      <c r="J85" s="368"/>
      <c r="K85" s="368"/>
      <c r="L85" s="368"/>
      <c r="M85" s="368"/>
      <c r="N85" s="368"/>
      <c r="O85" s="368"/>
      <c r="P85" s="368"/>
      <c r="Q85" s="368"/>
      <c r="R85" s="368"/>
      <c r="S85" s="368"/>
      <c r="T85" s="407"/>
    </row>
    <row r="86" spans="2:20" x14ac:dyDescent="0.2">
      <c r="B86" s="307" t="s">
        <v>224</v>
      </c>
      <c r="C86" s="10"/>
      <c r="D86" s="11"/>
      <c r="E86" s="499"/>
      <c r="F86" s="18" t="s">
        <v>276</v>
      </c>
      <c r="G86" s="496"/>
      <c r="H86" s="367"/>
      <c r="I86" s="368"/>
      <c r="J86" s="368"/>
      <c r="K86" s="368"/>
      <c r="L86" s="368"/>
      <c r="M86" s="368"/>
      <c r="N86" s="368"/>
      <c r="O86" s="368"/>
      <c r="P86" s="368"/>
      <c r="Q86" s="368"/>
      <c r="R86" s="368"/>
      <c r="S86" s="368"/>
      <c r="T86" s="407"/>
    </row>
    <row r="87" spans="2:20" x14ac:dyDescent="0.2">
      <c r="B87" s="308"/>
      <c r="C87" t="s">
        <v>210</v>
      </c>
      <c r="D87" s="11"/>
      <c r="E87" s="452">
        <v>6400</v>
      </c>
      <c r="F87" s="453">
        <v>2</v>
      </c>
      <c r="G87" s="454">
        <v>0.05</v>
      </c>
      <c r="H87" s="379">
        <f t="shared" ref="H87:S95" si="59">$E87*$F87</f>
        <v>12800</v>
      </c>
      <c r="I87" s="380">
        <f t="shared" si="59"/>
        <v>12800</v>
      </c>
      <c r="J87" s="380">
        <f t="shared" si="59"/>
        <v>12800</v>
      </c>
      <c r="K87" s="380">
        <f t="shared" si="59"/>
        <v>12800</v>
      </c>
      <c r="L87" s="380">
        <f t="shared" si="59"/>
        <v>12800</v>
      </c>
      <c r="M87" s="380">
        <f t="shared" si="59"/>
        <v>12800</v>
      </c>
      <c r="N87" s="380">
        <f t="shared" si="59"/>
        <v>12800</v>
      </c>
      <c r="O87" s="380">
        <f t="shared" si="59"/>
        <v>12800</v>
      </c>
      <c r="P87" s="380">
        <f t="shared" si="59"/>
        <v>12800</v>
      </c>
      <c r="Q87" s="380">
        <f t="shared" si="59"/>
        <v>12800</v>
      </c>
      <c r="R87" s="380">
        <f t="shared" si="59"/>
        <v>12800</v>
      </c>
      <c r="S87" s="380">
        <f t="shared" si="59"/>
        <v>12800</v>
      </c>
      <c r="T87" s="417">
        <f t="shared" ref="T87:T100" si="60">SUM(H87:S87)</f>
        <v>153600</v>
      </c>
    </row>
    <row r="88" spans="2:20" x14ac:dyDescent="0.2">
      <c r="B88" s="308"/>
      <c r="C88" t="s">
        <v>211</v>
      </c>
      <c r="D88" s="11"/>
      <c r="E88" s="452">
        <v>0</v>
      </c>
      <c r="F88" s="453">
        <v>0</v>
      </c>
      <c r="G88" s="454">
        <v>0.02</v>
      </c>
      <c r="H88" s="379">
        <f t="shared" si="59"/>
        <v>0</v>
      </c>
      <c r="I88" s="380">
        <f t="shared" si="59"/>
        <v>0</v>
      </c>
      <c r="J88" s="380">
        <f t="shared" si="59"/>
        <v>0</v>
      </c>
      <c r="K88" s="380">
        <f t="shared" si="59"/>
        <v>0</v>
      </c>
      <c r="L88" s="380">
        <f t="shared" si="59"/>
        <v>0</v>
      </c>
      <c r="M88" s="380">
        <f t="shared" si="59"/>
        <v>0</v>
      </c>
      <c r="N88" s="380">
        <f t="shared" si="59"/>
        <v>0</v>
      </c>
      <c r="O88" s="380">
        <f t="shared" si="59"/>
        <v>0</v>
      </c>
      <c r="P88" s="380">
        <f t="shared" si="59"/>
        <v>0</v>
      </c>
      <c r="Q88" s="380">
        <f t="shared" si="59"/>
        <v>0</v>
      </c>
      <c r="R88" s="380">
        <f t="shared" si="59"/>
        <v>0</v>
      </c>
      <c r="S88" s="380">
        <f t="shared" si="59"/>
        <v>0</v>
      </c>
      <c r="T88" s="417">
        <f t="shared" si="60"/>
        <v>0</v>
      </c>
    </row>
    <row r="89" spans="2:20" x14ac:dyDescent="0.2">
      <c r="B89" s="308"/>
      <c r="C89" t="s">
        <v>212</v>
      </c>
      <c r="D89" s="11"/>
      <c r="E89" s="452">
        <v>0</v>
      </c>
      <c r="F89" s="453">
        <v>0</v>
      </c>
      <c r="G89" s="454">
        <v>0.02</v>
      </c>
      <c r="H89" s="379">
        <f t="shared" si="59"/>
        <v>0</v>
      </c>
      <c r="I89" s="380">
        <f t="shared" si="59"/>
        <v>0</v>
      </c>
      <c r="J89" s="380">
        <f t="shared" si="59"/>
        <v>0</v>
      </c>
      <c r="K89" s="380">
        <f t="shared" si="59"/>
        <v>0</v>
      </c>
      <c r="L89" s="380">
        <f t="shared" si="59"/>
        <v>0</v>
      </c>
      <c r="M89" s="380">
        <f t="shared" si="59"/>
        <v>0</v>
      </c>
      <c r="N89" s="380">
        <f t="shared" si="59"/>
        <v>0</v>
      </c>
      <c r="O89" s="380">
        <f t="shared" si="59"/>
        <v>0</v>
      </c>
      <c r="P89" s="380">
        <f t="shared" si="59"/>
        <v>0</v>
      </c>
      <c r="Q89" s="380">
        <f t="shared" si="59"/>
        <v>0</v>
      </c>
      <c r="R89" s="380">
        <f t="shared" si="59"/>
        <v>0</v>
      </c>
      <c r="S89" s="380">
        <f t="shared" si="59"/>
        <v>0</v>
      </c>
      <c r="T89" s="417">
        <f t="shared" si="60"/>
        <v>0</v>
      </c>
    </row>
    <row r="90" spans="2:20" x14ac:dyDescent="0.2">
      <c r="B90" s="308"/>
      <c r="C90" t="s">
        <v>213</v>
      </c>
      <c r="D90" s="11"/>
      <c r="E90" s="452">
        <v>3200</v>
      </c>
      <c r="F90" s="453">
        <v>1</v>
      </c>
      <c r="G90" s="454">
        <v>0.02</v>
      </c>
      <c r="H90" s="379">
        <f t="shared" si="59"/>
        <v>3200</v>
      </c>
      <c r="I90" s="380">
        <f t="shared" si="59"/>
        <v>3200</v>
      </c>
      <c r="J90" s="380">
        <f t="shared" si="59"/>
        <v>3200</v>
      </c>
      <c r="K90" s="380">
        <f t="shared" si="59"/>
        <v>3200</v>
      </c>
      <c r="L90" s="380">
        <f t="shared" si="59"/>
        <v>3200</v>
      </c>
      <c r="M90" s="380">
        <f t="shared" si="59"/>
        <v>3200</v>
      </c>
      <c r="N90" s="380">
        <f t="shared" si="59"/>
        <v>3200</v>
      </c>
      <c r="O90" s="380">
        <f t="shared" si="59"/>
        <v>3200</v>
      </c>
      <c r="P90" s="380">
        <f t="shared" si="59"/>
        <v>3200</v>
      </c>
      <c r="Q90" s="380">
        <f t="shared" si="59"/>
        <v>3200</v>
      </c>
      <c r="R90" s="380">
        <f t="shared" si="59"/>
        <v>3200</v>
      </c>
      <c r="S90" s="380">
        <f t="shared" si="59"/>
        <v>3200</v>
      </c>
      <c r="T90" s="417">
        <f t="shared" si="60"/>
        <v>38400</v>
      </c>
    </row>
    <row r="91" spans="2:20" x14ac:dyDescent="0.2">
      <c r="B91" s="308"/>
      <c r="C91" t="s">
        <v>236</v>
      </c>
      <c r="D91" s="11"/>
      <c r="E91" s="452">
        <v>0</v>
      </c>
      <c r="F91" s="453">
        <v>0</v>
      </c>
      <c r="G91" s="454">
        <v>0.02</v>
      </c>
      <c r="H91" s="379">
        <f t="shared" si="59"/>
        <v>0</v>
      </c>
      <c r="I91" s="380">
        <f t="shared" si="59"/>
        <v>0</v>
      </c>
      <c r="J91" s="380">
        <f t="shared" si="59"/>
        <v>0</v>
      </c>
      <c r="K91" s="380">
        <f t="shared" si="59"/>
        <v>0</v>
      </c>
      <c r="L91" s="380">
        <f t="shared" si="59"/>
        <v>0</v>
      </c>
      <c r="M91" s="380">
        <f t="shared" si="59"/>
        <v>0</v>
      </c>
      <c r="N91" s="380">
        <f t="shared" si="59"/>
        <v>0</v>
      </c>
      <c r="O91" s="380">
        <f t="shared" si="59"/>
        <v>0</v>
      </c>
      <c r="P91" s="380">
        <f t="shared" si="59"/>
        <v>0</v>
      </c>
      <c r="Q91" s="380">
        <f t="shared" si="59"/>
        <v>0</v>
      </c>
      <c r="R91" s="380">
        <f t="shared" si="59"/>
        <v>0</v>
      </c>
      <c r="S91" s="380">
        <f t="shared" si="59"/>
        <v>0</v>
      </c>
      <c r="T91" s="417">
        <f t="shared" si="60"/>
        <v>0</v>
      </c>
    </row>
    <row r="92" spans="2:20" x14ac:dyDescent="0.2">
      <c r="B92" s="308"/>
      <c r="C92" t="s">
        <v>217</v>
      </c>
      <c r="D92" s="11"/>
      <c r="E92" s="452">
        <v>1800</v>
      </c>
      <c r="F92" s="453">
        <v>1</v>
      </c>
      <c r="G92" s="454"/>
      <c r="H92" s="379">
        <f t="shared" si="59"/>
        <v>1800</v>
      </c>
      <c r="I92" s="380">
        <f t="shared" si="59"/>
        <v>1800</v>
      </c>
      <c r="J92" s="380">
        <f t="shared" si="59"/>
        <v>1800</v>
      </c>
      <c r="K92" s="380">
        <f t="shared" si="59"/>
        <v>1800</v>
      </c>
      <c r="L92" s="380">
        <f t="shared" si="59"/>
        <v>1800</v>
      </c>
      <c r="M92" s="380">
        <f t="shared" si="59"/>
        <v>1800</v>
      </c>
      <c r="N92" s="380">
        <f t="shared" si="59"/>
        <v>1800</v>
      </c>
      <c r="O92" s="380">
        <f t="shared" si="59"/>
        <v>1800</v>
      </c>
      <c r="P92" s="380">
        <f t="shared" si="59"/>
        <v>1800</v>
      </c>
      <c r="Q92" s="380">
        <f t="shared" si="59"/>
        <v>1800</v>
      </c>
      <c r="R92" s="380">
        <f t="shared" si="59"/>
        <v>1800</v>
      </c>
      <c r="S92" s="380">
        <f t="shared" si="59"/>
        <v>1800</v>
      </c>
      <c r="T92" s="417">
        <f t="shared" si="60"/>
        <v>21600</v>
      </c>
    </row>
    <row r="93" spans="2:20" x14ac:dyDescent="0.2">
      <c r="B93" s="308"/>
      <c r="C93" t="s">
        <v>218</v>
      </c>
      <c r="D93" s="11"/>
      <c r="E93" s="452">
        <v>0</v>
      </c>
      <c r="F93" s="453">
        <v>0</v>
      </c>
      <c r="G93" s="454"/>
      <c r="H93" s="379">
        <f t="shared" si="59"/>
        <v>0</v>
      </c>
      <c r="I93" s="380">
        <f t="shared" si="59"/>
        <v>0</v>
      </c>
      <c r="J93" s="380">
        <f t="shared" si="59"/>
        <v>0</v>
      </c>
      <c r="K93" s="380">
        <f t="shared" si="59"/>
        <v>0</v>
      </c>
      <c r="L93" s="380">
        <f t="shared" si="59"/>
        <v>0</v>
      </c>
      <c r="M93" s="380">
        <f t="shared" si="59"/>
        <v>0</v>
      </c>
      <c r="N93" s="380">
        <f t="shared" si="59"/>
        <v>0</v>
      </c>
      <c r="O93" s="380">
        <f t="shared" si="59"/>
        <v>0</v>
      </c>
      <c r="P93" s="380">
        <f t="shared" si="59"/>
        <v>0</v>
      </c>
      <c r="Q93" s="380">
        <f t="shared" si="59"/>
        <v>0</v>
      </c>
      <c r="R93" s="380">
        <f t="shared" si="59"/>
        <v>0</v>
      </c>
      <c r="S93" s="380">
        <f t="shared" si="59"/>
        <v>0</v>
      </c>
      <c r="T93" s="417">
        <f t="shared" si="60"/>
        <v>0</v>
      </c>
    </row>
    <row r="94" spans="2:20" x14ac:dyDescent="0.2">
      <c r="B94" s="308"/>
      <c r="C94" t="s">
        <v>219</v>
      </c>
      <c r="D94" s="11"/>
      <c r="E94" s="452">
        <v>0</v>
      </c>
      <c r="F94" s="453">
        <v>0</v>
      </c>
      <c r="G94" s="454"/>
      <c r="H94" s="379">
        <f t="shared" si="59"/>
        <v>0</v>
      </c>
      <c r="I94" s="380">
        <f t="shared" si="59"/>
        <v>0</v>
      </c>
      <c r="J94" s="380">
        <f t="shared" si="59"/>
        <v>0</v>
      </c>
      <c r="K94" s="380">
        <f t="shared" si="59"/>
        <v>0</v>
      </c>
      <c r="L94" s="380">
        <f t="shared" si="59"/>
        <v>0</v>
      </c>
      <c r="M94" s="380">
        <f t="shared" si="59"/>
        <v>0</v>
      </c>
      <c r="N94" s="380">
        <f t="shared" si="59"/>
        <v>0</v>
      </c>
      <c r="O94" s="380">
        <f t="shared" si="59"/>
        <v>0</v>
      </c>
      <c r="P94" s="380">
        <f t="shared" si="59"/>
        <v>0</v>
      </c>
      <c r="Q94" s="380">
        <f t="shared" si="59"/>
        <v>0</v>
      </c>
      <c r="R94" s="380">
        <f t="shared" si="59"/>
        <v>0</v>
      </c>
      <c r="S94" s="380">
        <f t="shared" si="59"/>
        <v>0</v>
      </c>
      <c r="T94" s="417">
        <f t="shared" si="60"/>
        <v>0</v>
      </c>
    </row>
    <row r="95" spans="2:20" x14ac:dyDescent="0.2">
      <c r="B95" s="308"/>
      <c r="C95" t="s">
        <v>220</v>
      </c>
      <c r="D95" s="11"/>
      <c r="E95" s="452">
        <v>0</v>
      </c>
      <c r="F95" s="453">
        <v>0</v>
      </c>
      <c r="G95" s="454"/>
      <c r="H95" s="379">
        <f t="shared" si="59"/>
        <v>0</v>
      </c>
      <c r="I95" s="380">
        <f t="shared" si="59"/>
        <v>0</v>
      </c>
      <c r="J95" s="380">
        <f t="shared" si="59"/>
        <v>0</v>
      </c>
      <c r="K95" s="380">
        <f t="shared" si="59"/>
        <v>0</v>
      </c>
      <c r="L95" s="380">
        <f t="shared" si="59"/>
        <v>0</v>
      </c>
      <c r="M95" s="380">
        <f t="shared" si="59"/>
        <v>0</v>
      </c>
      <c r="N95" s="380">
        <f t="shared" si="59"/>
        <v>0</v>
      </c>
      <c r="O95" s="380">
        <f t="shared" si="59"/>
        <v>0</v>
      </c>
      <c r="P95" s="380">
        <f t="shared" si="59"/>
        <v>0</v>
      </c>
      <c r="Q95" s="380">
        <f t="shared" si="59"/>
        <v>0</v>
      </c>
      <c r="R95" s="380">
        <f t="shared" si="59"/>
        <v>0</v>
      </c>
      <c r="S95" s="380">
        <f t="shared" si="59"/>
        <v>0</v>
      </c>
      <c r="T95" s="417">
        <f t="shared" si="60"/>
        <v>0</v>
      </c>
    </row>
    <row r="96" spans="2:20" x14ac:dyDescent="0.2">
      <c r="B96" s="308"/>
      <c r="D96" s="11"/>
      <c r="E96" s="37"/>
      <c r="F96" s="21">
        <f>SUM(F87:F95)</f>
        <v>4</v>
      </c>
      <c r="G96" s="19"/>
      <c r="H96" s="379"/>
      <c r="I96" s="380"/>
      <c r="J96" s="380"/>
      <c r="K96" s="380"/>
      <c r="L96" s="380"/>
      <c r="M96" s="380"/>
      <c r="N96" s="380"/>
      <c r="O96" s="380"/>
      <c r="P96" s="380"/>
      <c r="Q96" s="380"/>
      <c r="R96" s="380"/>
      <c r="S96" s="380"/>
      <c r="T96" s="417"/>
    </row>
    <row r="97" spans="2:20" x14ac:dyDescent="0.2">
      <c r="B97" s="308"/>
      <c r="D97" s="11" t="s">
        <v>222</v>
      </c>
      <c r="E97" s="18" t="s">
        <v>221</v>
      </c>
      <c r="F97" s="50" t="s">
        <v>216</v>
      </c>
      <c r="G97" s="19"/>
      <c r="H97" s="379"/>
      <c r="I97" s="380"/>
      <c r="J97" s="380"/>
      <c r="K97" s="380"/>
      <c r="L97" s="380"/>
      <c r="M97" s="380"/>
      <c r="N97" s="380"/>
      <c r="O97" s="380"/>
      <c r="P97" s="380"/>
      <c r="Q97" s="380"/>
      <c r="R97" s="380"/>
      <c r="S97" s="380"/>
      <c r="T97" s="417"/>
    </row>
    <row r="98" spans="2:20" x14ac:dyDescent="0.2">
      <c r="B98" s="308"/>
      <c r="C98" t="s">
        <v>214</v>
      </c>
      <c r="D98" s="453">
        <v>3</v>
      </c>
      <c r="E98" s="452">
        <v>10</v>
      </c>
      <c r="F98" s="453">
        <v>40</v>
      </c>
      <c r="G98" s="19"/>
      <c r="H98" s="379">
        <f>(($E98*$F98*52)/12)*$D98</f>
        <v>5200</v>
      </c>
      <c r="I98" s="380">
        <f t="shared" ref="I98:S98" si="61">(($E98*$F98*52)/12)*$D98</f>
        <v>5200</v>
      </c>
      <c r="J98" s="380">
        <f t="shared" si="61"/>
        <v>5200</v>
      </c>
      <c r="K98" s="380">
        <f t="shared" si="61"/>
        <v>5200</v>
      </c>
      <c r="L98" s="380">
        <f t="shared" si="61"/>
        <v>5200</v>
      </c>
      <c r="M98" s="380">
        <f t="shared" si="61"/>
        <v>5200</v>
      </c>
      <c r="N98" s="380">
        <f t="shared" si="61"/>
        <v>5200</v>
      </c>
      <c r="O98" s="380">
        <f t="shared" si="61"/>
        <v>5200</v>
      </c>
      <c r="P98" s="380">
        <f t="shared" si="61"/>
        <v>5200</v>
      </c>
      <c r="Q98" s="380">
        <f t="shared" si="61"/>
        <v>5200</v>
      </c>
      <c r="R98" s="380">
        <f t="shared" si="61"/>
        <v>5200</v>
      </c>
      <c r="S98" s="380">
        <f t="shared" si="61"/>
        <v>5200</v>
      </c>
      <c r="T98" s="417">
        <f t="shared" si="60"/>
        <v>62400</v>
      </c>
    </row>
    <row r="99" spans="2:20" x14ac:dyDescent="0.2">
      <c r="B99" s="308"/>
      <c r="C99" t="s">
        <v>215</v>
      </c>
      <c r="D99" s="453">
        <v>2</v>
      </c>
      <c r="E99" s="452">
        <v>9</v>
      </c>
      <c r="F99" s="453">
        <v>20</v>
      </c>
      <c r="G99" s="19"/>
      <c r="H99" s="379">
        <f t="shared" ref="H99:S100" si="62">(($E99*$F99*52)/12)*$D99</f>
        <v>1560</v>
      </c>
      <c r="I99" s="380">
        <f t="shared" si="62"/>
        <v>1560</v>
      </c>
      <c r="J99" s="380">
        <f t="shared" si="62"/>
        <v>1560</v>
      </c>
      <c r="K99" s="380">
        <f t="shared" si="62"/>
        <v>1560</v>
      </c>
      <c r="L99" s="380">
        <f t="shared" si="62"/>
        <v>1560</v>
      </c>
      <c r="M99" s="380">
        <f t="shared" si="62"/>
        <v>1560</v>
      </c>
      <c r="N99" s="380">
        <f t="shared" si="62"/>
        <v>1560</v>
      </c>
      <c r="O99" s="380">
        <f t="shared" si="62"/>
        <v>1560</v>
      </c>
      <c r="P99" s="380">
        <f t="shared" si="62"/>
        <v>1560</v>
      </c>
      <c r="Q99" s="380">
        <f t="shared" si="62"/>
        <v>1560</v>
      </c>
      <c r="R99" s="380">
        <f t="shared" si="62"/>
        <v>1560</v>
      </c>
      <c r="S99" s="380">
        <f t="shared" si="62"/>
        <v>1560</v>
      </c>
      <c r="T99" s="417">
        <f t="shared" si="60"/>
        <v>18720</v>
      </c>
    </row>
    <row r="100" spans="2:20" x14ac:dyDescent="0.2">
      <c r="B100" s="308"/>
      <c r="C100" t="s">
        <v>24</v>
      </c>
      <c r="D100" s="453">
        <v>0</v>
      </c>
      <c r="E100" s="452">
        <v>0</v>
      </c>
      <c r="F100" s="453">
        <v>0</v>
      </c>
      <c r="G100" s="19"/>
      <c r="H100" s="379">
        <f t="shared" si="62"/>
        <v>0</v>
      </c>
      <c r="I100" s="380">
        <f t="shared" si="62"/>
        <v>0</v>
      </c>
      <c r="J100" s="380">
        <f t="shared" si="62"/>
        <v>0</v>
      </c>
      <c r="K100" s="380">
        <f t="shared" si="62"/>
        <v>0</v>
      </c>
      <c r="L100" s="380">
        <f t="shared" si="62"/>
        <v>0</v>
      </c>
      <c r="M100" s="380">
        <f t="shared" si="62"/>
        <v>0</v>
      </c>
      <c r="N100" s="380">
        <f t="shared" si="62"/>
        <v>0</v>
      </c>
      <c r="O100" s="380">
        <f t="shared" si="62"/>
        <v>0</v>
      </c>
      <c r="P100" s="380">
        <f t="shared" si="62"/>
        <v>0</v>
      </c>
      <c r="Q100" s="380">
        <f t="shared" si="62"/>
        <v>0</v>
      </c>
      <c r="R100" s="380">
        <f t="shared" si="62"/>
        <v>0</v>
      </c>
      <c r="S100" s="380">
        <f t="shared" si="62"/>
        <v>0</v>
      </c>
      <c r="T100" s="417">
        <f t="shared" si="60"/>
        <v>0</v>
      </c>
    </row>
    <row r="101" spans="2:20" ht="17" thickBot="1" x14ac:dyDescent="0.25">
      <c r="B101" s="308"/>
      <c r="D101" s="21">
        <f>SUM(D98:D100)</f>
        <v>5</v>
      </c>
      <c r="E101" s="37"/>
      <c r="F101" s="51"/>
      <c r="G101" s="19"/>
      <c r="H101" s="379"/>
      <c r="I101" s="380"/>
      <c r="J101" s="380"/>
      <c r="K101" s="380"/>
      <c r="L101" s="380"/>
      <c r="M101" s="380"/>
      <c r="N101" s="380"/>
      <c r="O101" s="380"/>
      <c r="P101" s="380"/>
      <c r="Q101" s="380"/>
      <c r="R101" s="380"/>
      <c r="S101" s="380"/>
      <c r="T101" s="417"/>
    </row>
    <row r="102" spans="2:20" ht="17" thickTop="1" x14ac:dyDescent="0.2">
      <c r="B102" s="418" t="s">
        <v>223</v>
      </c>
      <c r="C102" s="419"/>
      <c r="D102" s="419"/>
      <c r="E102" s="419"/>
      <c r="F102" s="419"/>
      <c r="G102" s="420"/>
      <c r="H102" s="421">
        <f>SUM(H87:H100)</f>
        <v>24560</v>
      </c>
      <c r="I102" s="422">
        <f t="shared" ref="I102:S102" si="63">SUM(I87:I100)</f>
        <v>24560</v>
      </c>
      <c r="J102" s="422">
        <f t="shared" si="63"/>
        <v>24560</v>
      </c>
      <c r="K102" s="422">
        <f t="shared" si="63"/>
        <v>24560</v>
      </c>
      <c r="L102" s="422">
        <f t="shared" si="63"/>
        <v>24560</v>
      </c>
      <c r="M102" s="422">
        <f t="shared" si="63"/>
        <v>24560</v>
      </c>
      <c r="N102" s="422">
        <f t="shared" si="63"/>
        <v>24560</v>
      </c>
      <c r="O102" s="422">
        <f t="shared" si="63"/>
        <v>24560</v>
      </c>
      <c r="P102" s="422">
        <f t="shared" si="63"/>
        <v>24560</v>
      </c>
      <c r="Q102" s="422">
        <f t="shared" si="63"/>
        <v>24560</v>
      </c>
      <c r="R102" s="422">
        <f t="shared" si="63"/>
        <v>24560</v>
      </c>
      <c r="S102" s="422">
        <f t="shared" si="63"/>
        <v>24560</v>
      </c>
      <c r="T102" s="423">
        <f>SUM(H102:S102)</f>
        <v>294720</v>
      </c>
    </row>
    <row r="103" spans="2:20" ht="16" customHeight="1" x14ac:dyDescent="0.2">
      <c r="B103" s="308"/>
      <c r="D103" s="51"/>
      <c r="E103" s="498" t="s">
        <v>317</v>
      </c>
      <c r="F103" s="498" t="s">
        <v>316</v>
      </c>
      <c r="G103" s="498"/>
      <c r="H103" s="379"/>
      <c r="I103" s="380"/>
      <c r="J103" s="380"/>
      <c r="K103" s="380"/>
      <c r="L103" s="380"/>
      <c r="M103" s="380"/>
      <c r="N103" s="380"/>
      <c r="O103" s="380"/>
      <c r="P103" s="380"/>
      <c r="Q103" s="380"/>
      <c r="R103" s="380"/>
      <c r="S103" s="380"/>
      <c r="T103" s="417"/>
    </row>
    <row r="104" spans="2:20" x14ac:dyDescent="0.2">
      <c r="B104" s="307" t="s">
        <v>225</v>
      </c>
      <c r="C104" s="49"/>
      <c r="D104" s="49"/>
      <c r="E104" s="498"/>
      <c r="F104" s="498"/>
      <c r="G104" s="498"/>
      <c r="H104" s="379"/>
      <c r="I104" s="380"/>
      <c r="J104" s="380"/>
      <c r="K104" s="380"/>
      <c r="L104" s="380"/>
      <c r="M104" s="380"/>
      <c r="N104" s="380"/>
      <c r="O104" s="380"/>
      <c r="P104" s="380"/>
      <c r="Q104" s="380"/>
      <c r="R104" s="380"/>
      <c r="S104" s="380"/>
      <c r="T104" s="417"/>
    </row>
    <row r="105" spans="2:20" x14ac:dyDescent="0.2">
      <c r="B105" s="426"/>
      <c r="C105" t="s">
        <v>226</v>
      </c>
      <c r="D105" s="49"/>
      <c r="E105" s="454">
        <v>6.2E-2</v>
      </c>
      <c r="F105" s="452">
        <v>102000</v>
      </c>
      <c r="H105" s="379">
        <f>IF($F105="",$E105*H$102,$E105*$F105)</f>
        <v>6324</v>
      </c>
      <c r="I105" s="380">
        <f t="shared" ref="I105:S105" si="64">IF($F105="",$E105*I$102,$E105*$F105)</f>
        <v>6324</v>
      </c>
      <c r="J105" s="380">
        <f t="shared" si="64"/>
        <v>6324</v>
      </c>
      <c r="K105" s="380">
        <f t="shared" si="64"/>
        <v>6324</v>
      </c>
      <c r="L105" s="380">
        <f t="shared" si="64"/>
        <v>6324</v>
      </c>
      <c r="M105" s="380">
        <f t="shared" si="64"/>
        <v>6324</v>
      </c>
      <c r="N105" s="380">
        <f t="shared" si="64"/>
        <v>6324</v>
      </c>
      <c r="O105" s="380">
        <f t="shared" si="64"/>
        <v>6324</v>
      </c>
      <c r="P105" s="380">
        <f t="shared" si="64"/>
        <v>6324</v>
      </c>
      <c r="Q105" s="380">
        <f t="shared" si="64"/>
        <v>6324</v>
      </c>
      <c r="R105" s="380">
        <f t="shared" si="64"/>
        <v>6324</v>
      </c>
      <c r="S105" s="380">
        <f t="shared" si="64"/>
        <v>6324</v>
      </c>
      <c r="T105" s="417">
        <f t="shared" ref="T105:T112" si="65">SUM(H105:S105)</f>
        <v>75888</v>
      </c>
    </row>
    <row r="106" spans="2:20" x14ac:dyDescent="0.2">
      <c r="B106" s="426"/>
      <c r="C106" t="s">
        <v>227</v>
      </c>
      <c r="D106" s="49"/>
      <c r="E106" s="454">
        <v>1.4500000000000001E-2</v>
      </c>
      <c r="F106" s="452"/>
      <c r="H106" s="379">
        <f t="shared" ref="H106:S112" si="66">IF($F106="",$E106*H$102,$E106*$F106)</f>
        <v>356.12</v>
      </c>
      <c r="I106" s="380">
        <f t="shared" si="66"/>
        <v>356.12</v>
      </c>
      <c r="J106" s="380">
        <f t="shared" si="66"/>
        <v>356.12</v>
      </c>
      <c r="K106" s="380">
        <f t="shared" si="66"/>
        <v>356.12</v>
      </c>
      <c r="L106" s="380">
        <f t="shared" si="66"/>
        <v>356.12</v>
      </c>
      <c r="M106" s="380">
        <f t="shared" si="66"/>
        <v>356.12</v>
      </c>
      <c r="N106" s="380">
        <f t="shared" si="66"/>
        <v>356.12</v>
      </c>
      <c r="O106" s="380">
        <f t="shared" si="66"/>
        <v>356.12</v>
      </c>
      <c r="P106" s="380">
        <f t="shared" si="66"/>
        <v>356.12</v>
      </c>
      <c r="Q106" s="380">
        <f t="shared" si="66"/>
        <v>356.12</v>
      </c>
      <c r="R106" s="380">
        <f t="shared" si="66"/>
        <v>356.12</v>
      </c>
      <c r="S106" s="380">
        <f t="shared" si="66"/>
        <v>356.12</v>
      </c>
      <c r="T106" s="417">
        <f t="shared" si="65"/>
        <v>4273.4399999999996</v>
      </c>
    </row>
    <row r="107" spans="2:20" x14ac:dyDescent="0.2">
      <c r="B107" s="426"/>
      <c r="C107" t="s">
        <v>233</v>
      </c>
      <c r="D107" s="49"/>
      <c r="E107" s="454">
        <v>8.0000000000000002E-3</v>
      </c>
      <c r="F107" s="452">
        <v>7000</v>
      </c>
      <c r="H107" s="379">
        <f t="shared" si="66"/>
        <v>56</v>
      </c>
      <c r="I107" s="380">
        <f t="shared" si="66"/>
        <v>56</v>
      </c>
      <c r="J107" s="380">
        <f t="shared" si="66"/>
        <v>56</v>
      </c>
      <c r="K107" s="380">
        <f t="shared" si="66"/>
        <v>56</v>
      </c>
      <c r="L107" s="380">
        <f t="shared" si="66"/>
        <v>56</v>
      </c>
      <c r="M107" s="380">
        <f t="shared" si="66"/>
        <v>56</v>
      </c>
      <c r="N107" s="380">
        <f t="shared" si="66"/>
        <v>56</v>
      </c>
      <c r="O107" s="380">
        <f t="shared" si="66"/>
        <v>56</v>
      </c>
      <c r="P107" s="380">
        <f t="shared" si="66"/>
        <v>56</v>
      </c>
      <c r="Q107" s="380">
        <f t="shared" si="66"/>
        <v>56</v>
      </c>
      <c r="R107" s="380">
        <f t="shared" si="66"/>
        <v>56</v>
      </c>
      <c r="S107" s="380">
        <f t="shared" si="66"/>
        <v>56</v>
      </c>
      <c r="T107" s="417">
        <f t="shared" si="65"/>
        <v>672</v>
      </c>
    </row>
    <row r="108" spans="2:20" x14ac:dyDescent="0.2">
      <c r="B108" s="426"/>
      <c r="C108" t="s">
        <v>234</v>
      </c>
      <c r="D108" s="49"/>
      <c r="E108" s="454">
        <v>2.7E-2</v>
      </c>
      <c r="F108" s="452">
        <v>7000</v>
      </c>
      <c r="H108" s="379">
        <f t="shared" si="66"/>
        <v>189</v>
      </c>
      <c r="I108" s="380">
        <f t="shared" si="66"/>
        <v>189</v>
      </c>
      <c r="J108" s="380">
        <f t="shared" si="66"/>
        <v>189</v>
      </c>
      <c r="K108" s="380">
        <f t="shared" si="66"/>
        <v>189</v>
      </c>
      <c r="L108" s="380">
        <f t="shared" si="66"/>
        <v>189</v>
      </c>
      <c r="M108" s="380">
        <f t="shared" si="66"/>
        <v>189</v>
      </c>
      <c r="N108" s="380">
        <f t="shared" si="66"/>
        <v>189</v>
      </c>
      <c r="O108" s="380">
        <f t="shared" si="66"/>
        <v>189</v>
      </c>
      <c r="P108" s="380">
        <f t="shared" si="66"/>
        <v>189</v>
      </c>
      <c r="Q108" s="380">
        <f t="shared" si="66"/>
        <v>189</v>
      </c>
      <c r="R108" s="380">
        <f t="shared" si="66"/>
        <v>189</v>
      </c>
      <c r="S108" s="380">
        <f t="shared" si="66"/>
        <v>189</v>
      </c>
      <c r="T108" s="417">
        <f t="shared" si="65"/>
        <v>2268</v>
      </c>
    </row>
    <row r="109" spans="2:20" x14ac:dyDescent="0.2">
      <c r="B109" s="426"/>
      <c r="C109" t="s">
        <v>228</v>
      </c>
      <c r="D109" s="49"/>
      <c r="E109" s="454">
        <v>1.4999999999999999E-2</v>
      </c>
      <c r="F109" s="452"/>
      <c r="H109" s="379">
        <f t="shared" si="66"/>
        <v>368.4</v>
      </c>
      <c r="I109" s="380">
        <f t="shared" si="66"/>
        <v>368.4</v>
      </c>
      <c r="J109" s="380">
        <f t="shared" si="66"/>
        <v>368.4</v>
      </c>
      <c r="K109" s="380">
        <f t="shared" si="66"/>
        <v>368.4</v>
      </c>
      <c r="L109" s="380">
        <f t="shared" si="66"/>
        <v>368.4</v>
      </c>
      <c r="M109" s="380">
        <f t="shared" si="66"/>
        <v>368.4</v>
      </c>
      <c r="N109" s="380">
        <f t="shared" si="66"/>
        <v>368.4</v>
      </c>
      <c r="O109" s="380">
        <f t="shared" si="66"/>
        <v>368.4</v>
      </c>
      <c r="P109" s="380">
        <f t="shared" si="66"/>
        <v>368.4</v>
      </c>
      <c r="Q109" s="380">
        <f t="shared" si="66"/>
        <v>368.4</v>
      </c>
      <c r="R109" s="380">
        <f t="shared" si="66"/>
        <v>368.4</v>
      </c>
      <c r="S109" s="380">
        <f t="shared" si="66"/>
        <v>368.4</v>
      </c>
      <c r="T109" s="417">
        <f t="shared" si="65"/>
        <v>4420.8</v>
      </c>
    </row>
    <row r="110" spans="2:20" x14ac:dyDescent="0.2">
      <c r="B110" s="426"/>
      <c r="C110" t="s">
        <v>229</v>
      </c>
      <c r="D110" s="49"/>
      <c r="E110" s="454">
        <v>0</v>
      </c>
      <c r="F110" s="452"/>
      <c r="H110" s="379">
        <f t="shared" si="66"/>
        <v>0</v>
      </c>
      <c r="I110" s="380">
        <f t="shared" si="66"/>
        <v>0</v>
      </c>
      <c r="J110" s="380">
        <f t="shared" si="66"/>
        <v>0</v>
      </c>
      <c r="K110" s="380">
        <f t="shared" si="66"/>
        <v>0</v>
      </c>
      <c r="L110" s="380">
        <f t="shared" si="66"/>
        <v>0</v>
      </c>
      <c r="M110" s="380">
        <f t="shared" si="66"/>
        <v>0</v>
      </c>
      <c r="N110" s="380">
        <f t="shared" si="66"/>
        <v>0</v>
      </c>
      <c r="O110" s="380">
        <f t="shared" si="66"/>
        <v>0</v>
      </c>
      <c r="P110" s="380">
        <f t="shared" si="66"/>
        <v>0</v>
      </c>
      <c r="Q110" s="380">
        <f t="shared" si="66"/>
        <v>0</v>
      </c>
      <c r="R110" s="380">
        <f t="shared" si="66"/>
        <v>0</v>
      </c>
      <c r="S110" s="380">
        <f t="shared" si="66"/>
        <v>0</v>
      </c>
      <c r="T110" s="417">
        <f t="shared" si="65"/>
        <v>0</v>
      </c>
    </row>
    <row r="111" spans="2:20" x14ac:dyDescent="0.2">
      <c r="B111" s="426"/>
      <c r="C111" t="s">
        <v>230</v>
      </c>
      <c r="D111" s="49"/>
      <c r="E111" s="454">
        <v>0</v>
      </c>
      <c r="F111" s="452"/>
      <c r="H111" s="379">
        <f t="shared" si="66"/>
        <v>0</v>
      </c>
      <c r="I111" s="380">
        <f t="shared" si="66"/>
        <v>0</v>
      </c>
      <c r="J111" s="380">
        <f t="shared" si="66"/>
        <v>0</v>
      </c>
      <c r="K111" s="380">
        <f t="shared" si="66"/>
        <v>0</v>
      </c>
      <c r="L111" s="380">
        <f t="shared" si="66"/>
        <v>0</v>
      </c>
      <c r="M111" s="380">
        <f t="shared" si="66"/>
        <v>0</v>
      </c>
      <c r="N111" s="380">
        <f t="shared" si="66"/>
        <v>0</v>
      </c>
      <c r="O111" s="380">
        <f t="shared" si="66"/>
        <v>0</v>
      </c>
      <c r="P111" s="380">
        <f t="shared" si="66"/>
        <v>0</v>
      </c>
      <c r="Q111" s="380">
        <f t="shared" si="66"/>
        <v>0</v>
      </c>
      <c r="R111" s="380">
        <f t="shared" si="66"/>
        <v>0</v>
      </c>
      <c r="S111" s="380">
        <f t="shared" si="66"/>
        <v>0</v>
      </c>
      <c r="T111" s="417">
        <f t="shared" si="65"/>
        <v>0</v>
      </c>
    </row>
    <row r="112" spans="2:20" ht="17" thickBot="1" x14ac:dyDescent="0.25">
      <c r="B112" s="426"/>
      <c r="C112" t="s">
        <v>231</v>
      </c>
      <c r="D112" s="49"/>
      <c r="E112" s="454">
        <v>0.04</v>
      </c>
      <c r="F112" s="452"/>
      <c r="H112" s="379">
        <f t="shared" si="66"/>
        <v>982.4</v>
      </c>
      <c r="I112" s="380">
        <f t="shared" si="66"/>
        <v>982.4</v>
      </c>
      <c r="J112" s="380">
        <f t="shared" si="66"/>
        <v>982.4</v>
      </c>
      <c r="K112" s="380">
        <f t="shared" si="66"/>
        <v>982.4</v>
      </c>
      <c r="L112" s="380">
        <f t="shared" si="66"/>
        <v>982.4</v>
      </c>
      <c r="M112" s="380">
        <f t="shared" si="66"/>
        <v>982.4</v>
      </c>
      <c r="N112" s="380">
        <f t="shared" si="66"/>
        <v>982.4</v>
      </c>
      <c r="O112" s="380">
        <f t="shared" si="66"/>
        <v>982.4</v>
      </c>
      <c r="P112" s="380">
        <f t="shared" si="66"/>
        <v>982.4</v>
      </c>
      <c r="Q112" s="380">
        <f t="shared" si="66"/>
        <v>982.4</v>
      </c>
      <c r="R112" s="380">
        <f t="shared" si="66"/>
        <v>982.4</v>
      </c>
      <c r="S112" s="380">
        <f t="shared" si="66"/>
        <v>982.4</v>
      </c>
      <c r="T112" s="417">
        <f t="shared" si="65"/>
        <v>11788.799999999997</v>
      </c>
    </row>
    <row r="113" spans="2:20" ht="17" thickTop="1" x14ac:dyDescent="0.2">
      <c r="B113" s="418" t="s">
        <v>232</v>
      </c>
      <c r="C113" s="419"/>
      <c r="D113" s="419"/>
      <c r="E113" s="419"/>
      <c r="F113" s="419"/>
      <c r="G113" s="420"/>
      <c r="H113" s="421">
        <f>SUM(H105:H112)</f>
        <v>8275.92</v>
      </c>
      <c r="I113" s="422">
        <f t="shared" ref="I113:S113" si="67">SUM(I105:I112)</f>
        <v>8275.92</v>
      </c>
      <c r="J113" s="422">
        <f t="shared" si="67"/>
        <v>8275.92</v>
      </c>
      <c r="K113" s="422">
        <f t="shared" si="67"/>
        <v>8275.92</v>
      </c>
      <c r="L113" s="422">
        <f t="shared" si="67"/>
        <v>8275.92</v>
      </c>
      <c r="M113" s="422">
        <f t="shared" si="67"/>
        <v>8275.92</v>
      </c>
      <c r="N113" s="422">
        <f t="shared" si="67"/>
        <v>8275.92</v>
      </c>
      <c r="O113" s="422">
        <f t="shared" si="67"/>
        <v>8275.92</v>
      </c>
      <c r="P113" s="422">
        <f t="shared" si="67"/>
        <v>8275.92</v>
      </c>
      <c r="Q113" s="422">
        <f t="shared" si="67"/>
        <v>8275.92</v>
      </c>
      <c r="R113" s="422">
        <f t="shared" si="67"/>
        <v>8275.92</v>
      </c>
      <c r="S113" s="422">
        <f t="shared" si="67"/>
        <v>8275.92</v>
      </c>
      <c r="T113" s="423">
        <f>SUM(H113:S113)</f>
        <v>99311.039999999994</v>
      </c>
    </row>
    <row r="114" spans="2:20" ht="17" thickBot="1" x14ac:dyDescent="0.25">
      <c r="B114" s="308"/>
      <c r="C114" s="10"/>
      <c r="E114" s="20"/>
      <c r="G114" s="19"/>
      <c r="H114" s="382"/>
      <c r="I114" s="383"/>
      <c r="J114" s="383"/>
      <c r="K114" s="383"/>
      <c r="L114" s="383"/>
      <c r="M114" s="383"/>
      <c r="N114" s="383"/>
      <c r="O114" s="383"/>
      <c r="P114" s="383"/>
      <c r="Q114" s="383"/>
      <c r="R114" s="383"/>
      <c r="S114" s="383"/>
      <c r="T114" s="425"/>
    </row>
    <row r="115" spans="2:20" ht="17" thickTop="1" x14ac:dyDescent="0.2">
      <c r="B115" s="250" t="s">
        <v>235</v>
      </c>
      <c r="C115" s="237"/>
      <c r="D115" s="237"/>
      <c r="E115" s="237"/>
      <c r="F115" s="237"/>
      <c r="G115" s="237"/>
      <c r="H115" s="239">
        <f t="shared" ref="H115:S115" si="68">H102+H113</f>
        <v>32835.919999999998</v>
      </c>
      <c r="I115" s="240">
        <f t="shared" si="68"/>
        <v>32835.919999999998</v>
      </c>
      <c r="J115" s="240">
        <f t="shared" si="68"/>
        <v>32835.919999999998</v>
      </c>
      <c r="K115" s="240">
        <f t="shared" si="68"/>
        <v>32835.919999999998</v>
      </c>
      <c r="L115" s="240">
        <f t="shared" si="68"/>
        <v>32835.919999999998</v>
      </c>
      <c r="M115" s="240">
        <f t="shared" si="68"/>
        <v>32835.919999999998</v>
      </c>
      <c r="N115" s="240">
        <f t="shared" si="68"/>
        <v>32835.919999999998</v>
      </c>
      <c r="O115" s="240">
        <f t="shared" si="68"/>
        <v>32835.919999999998</v>
      </c>
      <c r="P115" s="240">
        <f t="shared" si="68"/>
        <v>32835.919999999998</v>
      </c>
      <c r="Q115" s="240">
        <f t="shared" si="68"/>
        <v>32835.919999999998</v>
      </c>
      <c r="R115" s="240">
        <f t="shared" si="68"/>
        <v>32835.919999999998</v>
      </c>
      <c r="S115" s="240">
        <f t="shared" si="68"/>
        <v>32835.919999999998</v>
      </c>
      <c r="T115" s="251">
        <f>SUM(H115:S115)</f>
        <v>394031.03999999986</v>
      </c>
    </row>
    <row r="116" spans="2:20" x14ac:dyDescent="0.2">
      <c r="C116" s="10"/>
      <c r="D116" s="11"/>
      <c r="E116" s="20"/>
      <c r="F116" s="8"/>
      <c r="H116" s="387"/>
      <c r="I116" s="388"/>
      <c r="J116" s="388"/>
      <c r="K116" s="388"/>
      <c r="L116" s="388"/>
      <c r="M116" s="388"/>
      <c r="N116" s="388"/>
      <c r="O116" s="388"/>
      <c r="P116" s="388"/>
      <c r="Q116" s="388"/>
      <c r="R116" s="388"/>
      <c r="S116" s="388"/>
      <c r="T116" s="381"/>
    </row>
    <row r="117" spans="2:20" ht="20" x14ac:dyDescent="0.2">
      <c r="B117" s="116" t="s">
        <v>17</v>
      </c>
      <c r="C117" s="327"/>
      <c r="D117" s="327"/>
      <c r="E117" s="327" t="str">
        <f>$E$3</f>
        <v>Year 1 (2020)</v>
      </c>
      <c r="F117" s="327"/>
      <c r="G117" s="327"/>
      <c r="H117" s="360" t="s">
        <v>127</v>
      </c>
      <c r="I117" s="361" t="s">
        <v>128</v>
      </c>
      <c r="J117" s="361" t="s">
        <v>129</v>
      </c>
      <c r="K117" s="361" t="s">
        <v>130</v>
      </c>
      <c r="L117" s="361" t="s">
        <v>131</v>
      </c>
      <c r="M117" s="361" t="s">
        <v>132</v>
      </c>
      <c r="N117" s="361" t="s">
        <v>133</v>
      </c>
      <c r="O117" s="361" t="s">
        <v>134</v>
      </c>
      <c r="P117" s="361" t="s">
        <v>135</v>
      </c>
      <c r="Q117" s="361" t="s">
        <v>136</v>
      </c>
      <c r="R117" s="361" t="s">
        <v>137</v>
      </c>
      <c r="S117" s="361" t="s">
        <v>138</v>
      </c>
      <c r="T117" s="362" t="s">
        <v>179</v>
      </c>
    </row>
    <row r="118" spans="2:20" x14ac:dyDescent="0.2">
      <c r="B118" s="401"/>
      <c r="C118" s="402"/>
      <c r="D118" s="402"/>
      <c r="E118" s="402"/>
      <c r="F118" s="402"/>
      <c r="G118" s="403" t="s">
        <v>57</v>
      </c>
      <c r="H118" s="363">
        <f>H$4</f>
        <v>1</v>
      </c>
      <c r="I118" s="364">
        <f t="shared" ref="I118:S118" si="69">I$4</f>
        <v>2</v>
      </c>
      <c r="J118" s="364">
        <f t="shared" si="69"/>
        <v>3</v>
      </c>
      <c r="K118" s="364">
        <f t="shared" si="69"/>
        <v>4</v>
      </c>
      <c r="L118" s="364">
        <f t="shared" si="69"/>
        <v>5</v>
      </c>
      <c r="M118" s="364">
        <f t="shared" si="69"/>
        <v>6</v>
      </c>
      <c r="N118" s="364">
        <f t="shared" si="69"/>
        <v>7</v>
      </c>
      <c r="O118" s="364">
        <f t="shared" si="69"/>
        <v>8</v>
      </c>
      <c r="P118" s="364">
        <f t="shared" si="69"/>
        <v>9</v>
      </c>
      <c r="Q118" s="364">
        <f t="shared" si="69"/>
        <v>10</v>
      </c>
      <c r="R118" s="364">
        <f t="shared" si="69"/>
        <v>11</v>
      </c>
      <c r="S118" s="364">
        <f t="shared" si="69"/>
        <v>12</v>
      </c>
      <c r="T118" s="405" t="str">
        <f>"Total for " &amp; $E$3</f>
        <v>Total for Year 1 (2020)</v>
      </c>
    </row>
    <row r="119" spans="2:20" x14ac:dyDescent="0.2">
      <c r="B119" s="308"/>
      <c r="C119" s="10"/>
      <c r="D119" s="11"/>
      <c r="E119" s="20"/>
      <c r="F119" s="8"/>
      <c r="H119" s="367"/>
      <c r="I119" s="368"/>
      <c r="J119" s="368"/>
      <c r="K119" s="368"/>
      <c r="L119" s="368"/>
      <c r="M119" s="368"/>
      <c r="N119" s="368"/>
      <c r="O119" s="368"/>
      <c r="P119" s="368"/>
      <c r="Q119" s="368"/>
      <c r="R119" s="368"/>
      <c r="S119" s="368"/>
      <c r="T119" s="407"/>
    </row>
    <row r="120" spans="2:20" x14ac:dyDescent="0.2">
      <c r="B120" s="307" t="s">
        <v>31</v>
      </c>
      <c r="C120" s="10"/>
      <c r="D120" s="11"/>
      <c r="E120" s="22" t="s">
        <v>29</v>
      </c>
      <c r="F120" s="8" t="s">
        <v>30</v>
      </c>
      <c r="H120" s="367"/>
      <c r="I120" s="368"/>
      <c r="J120" s="368"/>
      <c r="K120" s="368"/>
      <c r="L120" s="368"/>
      <c r="M120" s="368"/>
      <c r="N120" s="368"/>
      <c r="O120" s="368"/>
      <c r="P120" s="368"/>
      <c r="Q120" s="368"/>
      <c r="R120" s="368"/>
      <c r="S120" s="368"/>
      <c r="T120" s="407"/>
    </row>
    <row r="121" spans="2:20" x14ac:dyDescent="0.2">
      <c r="B121" s="308"/>
      <c r="C121" t="s">
        <v>207</v>
      </c>
      <c r="D121" s="49"/>
      <c r="E121" s="452">
        <v>500</v>
      </c>
      <c r="F121" s="453">
        <v>1</v>
      </c>
      <c r="H121" s="379">
        <f>$E121*$F121</f>
        <v>500</v>
      </c>
      <c r="I121" s="380">
        <f t="shared" ref="I121:S136" si="70">$E121*$F121</f>
        <v>500</v>
      </c>
      <c r="J121" s="380">
        <f t="shared" si="70"/>
        <v>500</v>
      </c>
      <c r="K121" s="380">
        <f t="shared" si="70"/>
        <v>500</v>
      </c>
      <c r="L121" s="380">
        <f t="shared" si="70"/>
        <v>500</v>
      </c>
      <c r="M121" s="380">
        <f t="shared" si="70"/>
        <v>500</v>
      </c>
      <c r="N121" s="380">
        <f t="shared" si="70"/>
        <v>500</v>
      </c>
      <c r="O121" s="380">
        <f t="shared" si="70"/>
        <v>500</v>
      </c>
      <c r="P121" s="380">
        <f t="shared" si="70"/>
        <v>500</v>
      </c>
      <c r="Q121" s="380">
        <f t="shared" si="70"/>
        <v>500</v>
      </c>
      <c r="R121" s="380">
        <f t="shared" si="70"/>
        <v>500</v>
      </c>
      <c r="S121" s="380">
        <f t="shared" si="70"/>
        <v>500</v>
      </c>
      <c r="T121" s="417">
        <f>SUM(H121:S121)</f>
        <v>6000</v>
      </c>
    </row>
    <row r="122" spans="2:20" x14ac:dyDescent="0.2">
      <c r="B122" s="308"/>
      <c r="C122" t="s">
        <v>190</v>
      </c>
      <c r="D122" s="49"/>
      <c r="E122" s="452">
        <v>300</v>
      </c>
      <c r="F122" s="453">
        <v>2</v>
      </c>
      <c r="H122" s="379">
        <f t="shared" ref="H122:S139" si="71">$E122*$F122</f>
        <v>600</v>
      </c>
      <c r="I122" s="380">
        <f t="shared" si="70"/>
        <v>600</v>
      </c>
      <c r="J122" s="380">
        <f t="shared" si="70"/>
        <v>600</v>
      </c>
      <c r="K122" s="380">
        <f t="shared" si="70"/>
        <v>600</v>
      </c>
      <c r="L122" s="380">
        <f t="shared" si="70"/>
        <v>600</v>
      </c>
      <c r="M122" s="380">
        <f t="shared" si="70"/>
        <v>600</v>
      </c>
      <c r="N122" s="380">
        <f t="shared" si="70"/>
        <v>600</v>
      </c>
      <c r="O122" s="380">
        <f t="shared" si="70"/>
        <v>600</v>
      </c>
      <c r="P122" s="380">
        <f t="shared" si="70"/>
        <v>600</v>
      </c>
      <c r="Q122" s="380">
        <f t="shared" si="70"/>
        <v>600</v>
      </c>
      <c r="R122" s="380">
        <f t="shared" si="70"/>
        <v>600</v>
      </c>
      <c r="S122" s="380">
        <f t="shared" si="70"/>
        <v>600</v>
      </c>
      <c r="T122" s="417">
        <f t="shared" ref="T122:T139" si="72">SUM(H122:S122)</f>
        <v>7200</v>
      </c>
    </row>
    <row r="123" spans="2:20" x14ac:dyDescent="0.2">
      <c r="B123" s="308"/>
      <c r="C123" t="s">
        <v>191</v>
      </c>
      <c r="D123" s="49"/>
      <c r="E123" s="452">
        <v>0</v>
      </c>
      <c r="F123" s="453">
        <v>3</v>
      </c>
      <c r="H123" s="379">
        <f t="shared" si="71"/>
        <v>0</v>
      </c>
      <c r="I123" s="380">
        <f t="shared" si="70"/>
        <v>0</v>
      </c>
      <c r="J123" s="380">
        <f t="shared" si="70"/>
        <v>0</v>
      </c>
      <c r="K123" s="380">
        <f t="shared" si="70"/>
        <v>0</v>
      </c>
      <c r="L123" s="380">
        <f t="shared" si="70"/>
        <v>0</v>
      </c>
      <c r="M123" s="380">
        <f t="shared" si="70"/>
        <v>0</v>
      </c>
      <c r="N123" s="380">
        <f t="shared" si="70"/>
        <v>0</v>
      </c>
      <c r="O123" s="380">
        <f t="shared" si="70"/>
        <v>0</v>
      </c>
      <c r="P123" s="380">
        <f t="shared" si="70"/>
        <v>0</v>
      </c>
      <c r="Q123" s="380">
        <f t="shared" si="70"/>
        <v>0</v>
      </c>
      <c r="R123" s="380">
        <f t="shared" si="70"/>
        <v>0</v>
      </c>
      <c r="S123" s="380">
        <f t="shared" si="70"/>
        <v>0</v>
      </c>
      <c r="T123" s="417">
        <f t="shared" si="72"/>
        <v>0</v>
      </c>
    </row>
    <row r="124" spans="2:20" x14ac:dyDescent="0.2">
      <c r="B124" s="308"/>
      <c r="C124" t="s">
        <v>192</v>
      </c>
      <c r="D124" s="49"/>
      <c r="E124" s="452">
        <v>0</v>
      </c>
      <c r="F124" s="453">
        <v>1</v>
      </c>
      <c r="H124" s="379">
        <f t="shared" si="71"/>
        <v>0</v>
      </c>
      <c r="I124" s="380">
        <f t="shared" si="70"/>
        <v>0</v>
      </c>
      <c r="J124" s="380">
        <f t="shared" si="70"/>
        <v>0</v>
      </c>
      <c r="K124" s="380">
        <f t="shared" si="70"/>
        <v>0</v>
      </c>
      <c r="L124" s="380">
        <f t="shared" si="70"/>
        <v>0</v>
      </c>
      <c r="M124" s="380">
        <f t="shared" si="70"/>
        <v>0</v>
      </c>
      <c r="N124" s="380">
        <f t="shared" si="70"/>
        <v>0</v>
      </c>
      <c r="O124" s="380">
        <f t="shared" si="70"/>
        <v>0</v>
      </c>
      <c r="P124" s="380">
        <f t="shared" si="70"/>
        <v>0</v>
      </c>
      <c r="Q124" s="380">
        <f t="shared" si="70"/>
        <v>0</v>
      </c>
      <c r="R124" s="380">
        <f t="shared" si="70"/>
        <v>0</v>
      </c>
      <c r="S124" s="380">
        <f t="shared" si="70"/>
        <v>0</v>
      </c>
      <c r="T124" s="417">
        <f t="shared" si="72"/>
        <v>0</v>
      </c>
    </row>
    <row r="125" spans="2:20" x14ac:dyDescent="0.2">
      <c r="B125" s="308"/>
      <c r="C125" t="s">
        <v>193</v>
      </c>
      <c r="D125" s="49"/>
      <c r="E125" s="452">
        <v>200</v>
      </c>
      <c r="F125" s="453">
        <v>1</v>
      </c>
      <c r="H125" s="379">
        <f t="shared" si="71"/>
        <v>200</v>
      </c>
      <c r="I125" s="380">
        <f t="shared" si="70"/>
        <v>200</v>
      </c>
      <c r="J125" s="380">
        <f t="shared" si="70"/>
        <v>200</v>
      </c>
      <c r="K125" s="380">
        <f t="shared" si="70"/>
        <v>200</v>
      </c>
      <c r="L125" s="380">
        <f t="shared" si="70"/>
        <v>200</v>
      </c>
      <c r="M125" s="380">
        <f t="shared" si="70"/>
        <v>200</v>
      </c>
      <c r="N125" s="380">
        <f t="shared" si="70"/>
        <v>200</v>
      </c>
      <c r="O125" s="380">
        <f t="shared" si="70"/>
        <v>200</v>
      </c>
      <c r="P125" s="380">
        <f t="shared" si="70"/>
        <v>200</v>
      </c>
      <c r="Q125" s="380">
        <f t="shared" si="70"/>
        <v>200</v>
      </c>
      <c r="R125" s="380">
        <f t="shared" si="70"/>
        <v>200</v>
      </c>
      <c r="S125" s="380">
        <f t="shared" si="70"/>
        <v>200</v>
      </c>
      <c r="T125" s="417">
        <f t="shared" si="72"/>
        <v>2400</v>
      </c>
    </row>
    <row r="126" spans="2:20" x14ac:dyDescent="0.2">
      <c r="B126" s="308"/>
      <c r="C126" t="s">
        <v>194</v>
      </c>
      <c r="D126" s="49"/>
      <c r="E126" s="452">
        <v>0</v>
      </c>
      <c r="F126" s="453">
        <v>2</v>
      </c>
      <c r="H126" s="379">
        <f t="shared" si="71"/>
        <v>0</v>
      </c>
      <c r="I126" s="380">
        <f t="shared" si="70"/>
        <v>0</v>
      </c>
      <c r="J126" s="380">
        <f t="shared" si="70"/>
        <v>0</v>
      </c>
      <c r="K126" s="380">
        <f t="shared" si="70"/>
        <v>0</v>
      </c>
      <c r="L126" s="380">
        <f t="shared" si="70"/>
        <v>0</v>
      </c>
      <c r="M126" s="380">
        <f t="shared" si="70"/>
        <v>0</v>
      </c>
      <c r="N126" s="380">
        <f t="shared" si="70"/>
        <v>0</v>
      </c>
      <c r="O126" s="380">
        <f t="shared" si="70"/>
        <v>0</v>
      </c>
      <c r="P126" s="380">
        <f t="shared" si="70"/>
        <v>0</v>
      </c>
      <c r="Q126" s="380">
        <f t="shared" si="70"/>
        <v>0</v>
      </c>
      <c r="R126" s="380">
        <f t="shared" si="70"/>
        <v>0</v>
      </c>
      <c r="S126" s="380">
        <f t="shared" si="70"/>
        <v>0</v>
      </c>
      <c r="T126" s="417">
        <f t="shared" si="72"/>
        <v>0</v>
      </c>
    </row>
    <row r="127" spans="2:20" x14ac:dyDescent="0.2">
      <c r="B127" s="308"/>
      <c r="C127" t="s">
        <v>195</v>
      </c>
      <c r="D127" s="49"/>
      <c r="E127" s="452">
        <v>0</v>
      </c>
      <c r="F127" s="453">
        <v>1</v>
      </c>
      <c r="H127" s="379">
        <f t="shared" si="71"/>
        <v>0</v>
      </c>
      <c r="I127" s="380">
        <f t="shared" si="70"/>
        <v>0</v>
      </c>
      <c r="J127" s="380">
        <f t="shared" si="70"/>
        <v>0</v>
      </c>
      <c r="K127" s="380">
        <f t="shared" si="70"/>
        <v>0</v>
      </c>
      <c r="L127" s="380">
        <f t="shared" si="70"/>
        <v>0</v>
      </c>
      <c r="M127" s="380">
        <f t="shared" si="70"/>
        <v>0</v>
      </c>
      <c r="N127" s="380">
        <f t="shared" si="70"/>
        <v>0</v>
      </c>
      <c r="O127" s="380">
        <f t="shared" si="70"/>
        <v>0</v>
      </c>
      <c r="P127" s="380">
        <f t="shared" si="70"/>
        <v>0</v>
      </c>
      <c r="Q127" s="380">
        <f t="shared" si="70"/>
        <v>0</v>
      </c>
      <c r="R127" s="380">
        <f t="shared" si="70"/>
        <v>0</v>
      </c>
      <c r="S127" s="380">
        <f t="shared" si="70"/>
        <v>0</v>
      </c>
      <c r="T127" s="417">
        <f t="shared" si="72"/>
        <v>0</v>
      </c>
    </row>
    <row r="128" spans="2:20" x14ac:dyDescent="0.2">
      <c r="B128" s="308"/>
      <c r="C128" t="s">
        <v>196</v>
      </c>
      <c r="D128" s="49"/>
      <c r="E128" s="452">
        <v>0</v>
      </c>
      <c r="F128" s="453">
        <v>1</v>
      </c>
      <c r="H128" s="379">
        <f t="shared" si="71"/>
        <v>0</v>
      </c>
      <c r="I128" s="380">
        <f t="shared" si="70"/>
        <v>0</v>
      </c>
      <c r="J128" s="380">
        <f t="shared" si="70"/>
        <v>0</v>
      </c>
      <c r="K128" s="380">
        <f t="shared" si="70"/>
        <v>0</v>
      </c>
      <c r="L128" s="380">
        <f t="shared" si="70"/>
        <v>0</v>
      </c>
      <c r="M128" s="380">
        <f t="shared" si="70"/>
        <v>0</v>
      </c>
      <c r="N128" s="380">
        <f t="shared" si="70"/>
        <v>0</v>
      </c>
      <c r="O128" s="380">
        <f t="shared" si="70"/>
        <v>0</v>
      </c>
      <c r="P128" s="380">
        <f t="shared" si="70"/>
        <v>0</v>
      </c>
      <c r="Q128" s="380">
        <f t="shared" si="70"/>
        <v>0</v>
      </c>
      <c r="R128" s="380">
        <f t="shared" si="70"/>
        <v>0</v>
      </c>
      <c r="S128" s="380">
        <f t="shared" si="70"/>
        <v>0</v>
      </c>
      <c r="T128" s="417">
        <f t="shared" si="72"/>
        <v>0</v>
      </c>
    </row>
    <row r="129" spans="2:20" x14ac:dyDescent="0.2">
      <c r="B129" s="308"/>
      <c r="C129" t="s">
        <v>197</v>
      </c>
      <c r="D129" s="49"/>
      <c r="E129" s="452">
        <v>0</v>
      </c>
      <c r="F129" s="453">
        <v>1</v>
      </c>
      <c r="H129" s="379">
        <f t="shared" si="71"/>
        <v>0</v>
      </c>
      <c r="I129" s="380">
        <f t="shared" si="70"/>
        <v>0</v>
      </c>
      <c r="J129" s="380">
        <f t="shared" si="70"/>
        <v>0</v>
      </c>
      <c r="K129" s="380">
        <f t="shared" si="70"/>
        <v>0</v>
      </c>
      <c r="L129" s="380">
        <f t="shared" si="70"/>
        <v>0</v>
      </c>
      <c r="M129" s="380">
        <f t="shared" si="70"/>
        <v>0</v>
      </c>
      <c r="N129" s="380">
        <f t="shared" si="70"/>
        <v>0</v>
      </c>
      <c r="O129" s="380">
        <f t="shared" si="70"/>
        <v>0</v>
      </c>
      <c r="P129" s="380">
        <f t="shared" si="70"/>
        <v>0</v>
      </c>
      <c r="Q129" s="380">
        <f t="shared" si="70"/>
        <v>0</v>
      </c>
      <c r="R129" s="380">
        <f t="shared" si="70"/>
        <v>0</v>
      </c>
      <c r="S129" s="380">
        <f t="shared" si="70"/>
        <v>0</v>
      </c>
      <c r="T129" s="417">
        <f t="shared" si="72"/>
        <v>0</v>
      </c>
    </row>
    <row r="130" spans="2:20" x14ac:dyDescent="0.2">
      <c r="B130" s="308"/>
      <c r="C130" t="s">
        <v>198</v>
      </c>
      <c r="D130" s="49"/>
      <c r="E130" s="452">
        <v>0</v>
      </c>
      <c r="F130" s="453">
        <v>1</v>
      </c>
      <c r="H130" s="379">
        <f t="shared" si="71"/>
        <v>0</v>
      </c>
      <c r="I130" s="380">
        <f t="shared" si="70"/>
        <v>0</v>
      </c>
      <c r="J130" s="380">
        <f t="shared" si="70"/>
        <v>0</v>
      </c>
      <c r="K130" s="380">
        <f t="shared" si="70"/>
        <v>0</v>
      </c>
      <c r="L130" s="380">
        <f t="shared" si="70"/>
        <v>0</v>
      </c>
      <c r="M130" s="380">
        <f t="shared" si="70"/>
        <v>0</v>
      </c>
      <c r="N130" s="380">
        <f t="shared" si="70"/>
        <v>0</v>
      </c>
      <c r="O130" s="380">
        <f t="shared" si="70"/>
        <v>0</v>
      </c>
      <c r="P130" s="380">
        <f t="shared" si="70"/>
        <v>0</v>
      </c>
      <c r="Q130" s="380">
        <f t="shared" si="70"/>
        <v>0</v>
      </c>
      <c r="R130" s="380">
        <f t="shared" si="70"/>
        <v>0</v>
      </c>
      <c r="S130" s="380">
        <f t="shared" si="70"/>
        <v>0</v>
      </c>
      <c r="T130" s="417">
        <f t="shared" si="72"/>
        <v>0</v>
      </c>
    </row>
    <row r="131" spans="2:20" x14ac:dyDescent="0.2">
      <c r="B131" s="308"/>
      <c r="C131" t="s">
        <v>32</v>
      </c>
      <c r="D131" s="49"/>
      <c r="E131" s="452">
        <v>200</v>
      </c>
      <c r="F131" s="453">
        <v>1</v>
      </c>
      <c r="H131" s="379">
        <f t="shared" si="71"/>
        <v>200</v>
      </c>
      <c r="I131" s="380">
        <f t="shared" si="70"/>
        <v>200</v>
      </c>
      <c r="J131" s="380">
        <f t="shared" si="70"/>
        <v>200</v>
      </c>
      <c r="K131" s="380">
        <f t="shared" si="70"/>
        <v>200</v>
      </c>
      <c r="L131" s="380">
        <f t="shared" si="70"/>
        <v>200</v>
      </c>
      <c r="M131" s="380">
        <f t="shared" si="70"/>
        <v>200</v>
      </c>
      <c r="N131" s="380">
        <f t="shared" si="70"/>
        <v>200</v>
      </c>
      <c r="O131" s="380">
        <f t="shared" si="70"/>
        <v>200</v>
      </c>
      <c r="P131" s="380">
        <f t="shared" si="70"/>
        <v>200</v>
      </c>
      <c r="Q131" s="380">
        <f t="shared" si="70"/>
        <v>200</v>
      </c>
      <c r="R131" s="380">
        <f t="shared" si="70"/>
        <v>200</v>
      </c>
      <c r="S131" s="380">
        <f t="shared" si="70"/>
        <v>200</v>
      </c>
      <c r="T131" s="417">
        <f t="shared" si="72"/>
        <v>2400</v>
      </c>
    </row>
    <row r="132" spans="2:20" x14ac:dyDescent="0.2">
      <c r="B132" s="308"/>
      <c r="C132" t="s">
        <v>199</v>
      </c>
      <c r="D132" s="49"/>
      <c r="E132" s="452">
        <v>3000</v>
      </c>
      <c r="F132" s="453">
        <v>1</v>
      </c>
      <c r="H132" s="379">
        <f t="shared" si="71"/>
        <v>3000</v>
      </c>
      <c r="I132" s="380">
        <f t="shared" si="70"/>
        <v>3000</v>
      </c>
      <c r="J132" s="380">
        <f t="shared" si="70"/>
        <v>3000</v>
      </c>
      <c r="K132" s="380">
        <f t="shared" si="70"/>
        <v>3000</v>
      </c>
      <c r="L132" s="380">
        <f t="shared" si="70"/>
        <v>3000</v>
      </c>
      <c r="M132" s="380">
        <f t="shared" si="70"/>
        <v>3000</v>
      </c>
      <c r="N132" s="380">
        <f t="shared" si="70"/>
        <v>3000</v>
      </c>
      <c r="O132" s="380">
        <f t="shared" si="70"/>
        <v>3000</v>
      </c>
      <c r="P132" s="380">
        <f t="shared" si="70"/>
        <v>3000</v>
      </c>
      <c r="Q132" s="380">
        <f t="shared" si="70"/>
        <v>3000</v>
      </c>
      <c r="R132" s="380">
        <f t="shared" si="70"/>
        <v>3000</v>
      </c>
      <c r="S132" s="380">
        <f t="shared" si="70"/>
        <v>3000</v>
      </c>
      <c r="T132" s="417">
        <f t="shared" si="72"/>
        <v>36000</v>
      </c>
    </row>
    <row r="133" spans="2:20" x14ac:dyDescent="0.2">
      <c r="B133" s="308"/>
      <c r="C133" t="s">
        <v>200</v>
      </c>
      <c r="D133" s="49"/>
      <c r="E133" s="452">
        <v>740</v>
      </c>
      <c r="F133" s="453">
        <v>1</v>
      </c>
      <c r="H133" s="379">
        <f t="shared" si="71"/>
        <v>740</v>
      </c>
      <c r="I133" s="380">
        <f t="shared" si="70"/>
        <v>740</v>
      </c>
      <c r="J133" s="380">
        <f t="shared" si="70"/>
        <v>740</v>
      </c>
      <c r="K133" s="380">
        <f t="shared" si="70"/>
        <v>740</v>
      </c>
      <c r="L133" s="380">
        <f t="shared" si="70"/>
        <v>740</v>
      </c>
      <c r="M133" s="380">
        <f t="shared" si="70"/>
        <v>740</v>
      </c>
      <c r="N133" s="380">
        <f t="shared" si="70"/>
        <v>740</v>
      </c>
      <c r="O133" s="380">
        <f t="shared" si="70"/>
        <v>740</v>
      </c>
      <c r="P133" s="380">
        <f t="shared" si="70"/>
        <v>740</v>
      </c>
      <c r="Q133" s="380">
        <f t="shared" si="70"/>
        <v>740</v>
      </c>
      <c r="R133" s="380">
        <f t="shared" si="70"/>
        <v>740</v>
      </c>
      <c r="S133" s="380">
        <f t="shared" si="70"/>
        <v>740</v>
      </c>
      <c r="T133" s="417">
        <f t="shared" si="72"/>
        <v>8880</v>
      </c>
    </row>
    <row r="134" spans="2:20" x14ac:dyDescent="0.2">
      <c r="B134" s="308"/>
      <c r="C134" t="s">
        <v>201</v>
      </c>
      <c r="D134" s="49"/>
      <c r="E134" s="452">
        <v>0</v>
      </c>
      <c r="F134" s="453">
        <v>1</v>
      </c>
      <c r="H134" s="379">
        <f t="shared" si="71"/>
        <v>0</v>
      </c>
      <c r="I134" s="380">
        <f t="shared" si="70"/>
        <v>0</v>
      </c>
      <c r="J134" s="380">
        <f t="shared" si="70"/>
        <v>0</v>
      </c>
      <c r="K134" s="380">
        <f t="shared" si="70"/>
        <v>0</v>
      </c>
      <c r="L134" s="380">
        <f t="shared" si="70"/>
        <v>0</v>
      </c>
      <c r="M134" s="380">
        <f t="shared" si="70"/>
        <v>0</v>
      </c>
      <c r="N134" s="380">
        <f t="shared" si="70"/>
        <v>0</v>
      </c>
      <c r="O134" s="380">
        <f t="shared" si="70"/>
        <v>0</v>
      </c>
      <c r="P134" s="380">
        <f t="shared" si="70"/>
        <v>0</v>
      </c>
      <c r="Q134" s="380">
        <f t="shared" si="70"/>
        <v>0</v>
      </c>
      <c r="R134" s="380">
        <f t="shared" si="70"/>
        <v>0</v>
      </c>
      <c r="S134" s="380">
        <f t="shared" si="70"/>
        <v>0</v>
      </c>
      <c r="T134" s="417">
        <f t="shared" si="72"/>
        <v>0</v>
      </c>
    </row>
    <row r="135" spans="2:20" x14ac:dyDescent="0.2">
      <c r="B135" s="308"/>
      <c r="C135" t="s">
        <v>202</v>
      </c>
      <c r="D135" s="49"/>
      <c r="E135" s="452">
        <v>0</v>
      </c>
      <c r="F135" s="453">
        <v>1</v>
      </c>
      <c r="H135" s="379">
        <f t="shared" si="71"/>
        <v>0</v>
      </c>
      <c r="I135" s="380">
        <f t="shared" si="70"/>
        <v>0</v>
      </c>
      <c r="J135" s="380">
        <f t="shared" si="70"/>
        <v>0</v>
      </c>
      <c r="K135" s="380">
        <f t="shared" si="70"/>
        <v>0</v>
      </c>
      <c r="L135" s="380">
        <f t="shared" si="70"/>
        <v>0</v>
      </c>
      <c r="M135" s="380">
        <f t="shared" si="70"/>
        <v>0</v>
      </c>
      <c r="N135" s="380">
        <f t="shared" si="70"/>
        <v>0</v>
      </c>
      <c r="O135" s="380">
        <f t="shared" si="70"/>
        <v>0</v>
      </c>
      <c r="P135" s="380">
        <f t="shared" si="70"/>
        <v>0</v>
      </c>
      <c r="Q135" s="380">
        <f t="shared" si="70"/>
        <v>0</v>
      </c>
      <c r="R135" s="380">
        <f t="shared" si="70"/>
        <v>0</v>
      </c>
      <c r="S135" s="380">
        <f t="shared" si="70"/>
        <v>0</v>
      </c>
      <c r="T135" s="417">
        <f t="shared" si="72"/>
        <v>0</v>
      </c>
    </row>
    <row r="136" spans="2:20" x14ac:dyDescent="0.2">
      <c r="B136" s="308"/>
      <c r="C136" t="s">
        <v>203</v>
      </c>
      <c r="D136" s="49"/>
      <c r="E136" s="452">
        <v>0</v>
      </c>
      <c r="F136" s="453">
        <v>1</v>
      </c>
      <c r="H136" s="379">
        <f t="shared" si="71"/>
        <v>0</v>
      </c>
      <c r="I136" s="380">
        <f t="shared" si="70"/>
        <v>0</v>
      </c>
      <c r="J136" s="380">
        <f t="shared" si="70"/>
        <v>0</v>
      </c>
      <c r="K136" s="380">
        <f t="shared" si="70"/>
        <v>0</v>
      </c>
      <c r="L136" s="380">
        <f t="shared" si="70"/>
        <v>0</v>
      </c>
      <c r="M136" s="380">
        <f t="shared" si="70"/>
        <v>0</v>
      </c>
      <c r="N136" s="380">
        <f t="shared" si="70"/>
        <v>0</v>
      </c>
      <c r="O136" s="380">
        <f t="shared" si="70"/>
        <v>0</v>
      </c>
      <c r="P136" s="380">
        <f t="shared" si="70"/>
        <v>0</v>
      </c>
      <c r="Q136" s="380">
        <f t="shared" si="70"/>
        <v>0</v>
      </c>
      <c r="R136" s="380">
        <f t="shared" si="70"/>
        <v>0</v>
      </c>
      <c r="S136" s="380">
        <f t="shared" si="70"/>
        <v>0</v>
      </c>
      <c r="T136" s="417">
        <f t="shared" si="72"/>
        <v>0</v>
      </c>
    </row>
    <row r="137" spans="2:20" x14ac:dyDescent="0.2">
      <c r="B137" s="308"/>
      <c r="C137" t="s">
        <v>204</v>
      </c>
      <c r="D137" s="49"/>
      <c r="E137" s="452">
        <v>0</v>
      </c>
      <c r="F137" s="453">
        <v>1</v>
      </c>
      <c r="H137" s="379">
        <f t="shared" si="71"/>
        <v>0</v>
      </c>
      <c r="I137" s="380">
        <f t="shared" si="71"/>
        <v>0</v>
      </c>
      <c r="J137" s="380">
        <f t="shared" si="71"/>
        <v>0</v>
      </c>
      <c r="K137" s="380">
        <f t="shared" si="71"/>
        <v>0</v>
      </c>
      <c r="L137" s="380">
        <f t="shared" si="71"/>
        <v>0</v>
      </c>
      <c r="M137" s="380">
        <f t="shared" si="71"/>
        <v>0</v>
      </c>
      <c r="N137" s="380">
        <f t="shared" si="71"/>
        <v>0</v>
      </c>
      <c r="O137" s="380">
        <f t="shared" si="71"/>
        <v>0</v>
      </c>
      <c r="P137" s="380">
        <f t="shared" si="71"/>
        <v>0</v>
      </c>
      <c r="Q137" s="380">
        <f t="shared" si="71"/>
        <v>0</v>
      </c>
      <c r="R137" s="380">
        <f t="shared" si="71"/>
        <v>0</v>
      </c>
      <c r="S137" s="380">
        <f t="shared" si="71"/>
        <v>0</v>
      </c>
      <c r="T137" s="417">
        <f t="shared" si="72"/>
        <v>0</v>
      </c>
    </row>
    <row r="138" spans="2:20" x14ac:dyDescent="0.2">
      <c r="B138" s="308"/>
      <c r="C138" t="s">
        <v>205</v>
      </c>
      <c r="D138" s="49"/>
      <c r="E138" s="452">
        <v>150</v>
      </c>
      <c r="F138" s="453">
        <v>1</v>
      </c>
      <c r="H138" s="379">
        <f t="shared" si="71"/>
        <v>150</v>
      </c>
      <c r="I138" s="380">
        <f t="shared" si="71"/>
        <v>150</v>
      </c>
      <c r="J138" s="380">
        <f t="shared" si="71"/>
        <v>150</v>
      </c>
      <c r="K138" s="380">
        <f t="shared" si="71"/>
        <v>150</v>
      </c>
      <c r="L138" s="380">
        <f t="shared" si="71"/>
        <v>150</v>
      </c>
      <c r="M138" s="380">
        <f t="shared" si="71"/>
        <v>150</v>
      </c>
      <c r="N138" s="380">
        <f t="shared" si="71"/>
        <v>150</v>
      </c>
      <c r="O138" s="380">
        <f t="shared" si="71"/>
        <v>150</v>
      </c>
      <c r="P138" s="380">
        <f t="shared" si="71"/>
        <v>150</v>
      </c>
      <c r="Q138" s="380">
        <f t="shared" si="71"/>
        <v>150</v>
      </c>
      <c r="R138" s="380">
        <f t="shared" si="71"/>
        <v>150</v>
      </c>
      <c r="S138" s="380">
        <f t="shared" si="71"/>
        <v>150</v>
      </c>
      <c r="T138" s="417">
        <f t="shared" si="72"/>
        <v>1800</v>
      </c>
    </row>
    <row r="139" spans="2:20" x14ac:dyDescent="0.2">
      <c r="B139" s="308"/>
      <c r="C139" t="s">
        <v>376</v>
      </c>
      <c r="D139" s="49"/>
      <c r="E139" s="452">
        <v>0</v>
      </c>
      <c r="F139" s="453">
        <v>1</v>
      </c>
      <c r="H139" s="379">
        <f t="shared" si="71"/>
        <v>0</v>
      </c>
      <c r="I139" s="380">
        <f t="shared" si="71"/>
        <v>0</v>
      </c>
      <c r="J139" s="380">
        <f t="shared" si="71"/>
        <v>0</v>
      </c>
      <c r="K139" s="380">
        <f t="shared" si="71"/>
        <v>0</v>
      </c>
      <c r="L139" s="380">
        <f t="shared" si="71"/>
        <v>0</v>
      </c>
      <c r="M139" s="380">
        <f t="shared" si="71"/>
        <v>0</v>
      </c>
      <c r="N139" s="380">
        <f t="shared" si="71"/>
        <v>0</v>
      </c>
      <c r="O139" s="380">
        <f t="shared" si="71"/>
        <v>0</v>
      </c>
      <c r="P139" s="380">
        <f t="shared" si="71"/>
        <v>0</v>
      </c>
      <c r="Q139" s="380">
        <f t="shared" si="71"/>
        <v>0</v>
      </c>
      <c r="R139" s="380">
        <f t="shared" si="71"/>
        <v>0</v>
      </c>
      <c r="S139" s="380">
        <f t="shared" si="71"/>
        <v>0</v>
      </c>
      <c r="T139" s="417">
        <f t="shared" si="72"/>
        <v>0</v>
      </c>
    </row>
    <row r="140" spans="2:20" ht="17" thickBot="1" x14ac:dyDescent="0.25">
      <c r="B140" s="308"/>
      <c r="E140" s="23"/>
      <c r="F140" s="8"/>
      <c r="H140" s="382"/>
      <c r="I140" s="383"/>
      <c r="J140" s="383"/>
      <c r="K140" s="383"/>
      <c r="L140" s="383"/>
      <c r="M140" s="383"/>
      <c r="N140" s="383"/>
      <c r="O140" s="383"/>
      <c r="P140" s="383"/>
      <c r="Q140" s="383"/>
      <c r="R140" s="383"/>
      <c r="S140" s="383"/>
      <c r="T140" s="425"/>
    </row>
    <row r="141" spans="2:20" ht="17" thickTop="1" x14ac:dyDescent="0.2">
      <c r="B141" s="250" t="s">
        <v>17</v>
      </c>
      <c r="C141" s="237"/>
      <c r="D141" s="237"/>
      <c r="E141" s="237"/>
      <c r="F141" s="237"/>
      <c r="G141" s="237"/>
      <c r="H141" s="239">
        <f t="shared" ref="H141:S141" si="73">SUM(H121:H139)</f>
        <v>5390</v>
      </c>
      <c r="I141" s="240">
        <f t="shared" si="73"/>
        <v>5390</v>
      </c>
      <c r="J141" s="240">
        <f t="shared" si="73"/>
        <v>5390</v>
      </c>
      <c r="K141" s="240">
        <f t="shared" si="73"/>
        <v>5390</v>
      </c>
      <c r="L141" s="240">
        <f t="shared" si="73"/>
        <v>5390</v>
      </c>
      <c r="M141" s="240">
        <f t="shared" si="73"/>
        <v>5390</v>
      </c>
      <c r="N141" s="240">
        <f t="shared" si="73"/>
        <v>5390</v>
      </c>
      <c r="O141" s="240">
        <f t="shared" si="73"/>
        <v>5390</v>
      </c>
      <c r="P141" s="240">
        <f t="shared" si="73"/>
        <v>5390</v>
      </c>
      <c r="Q141" s="240">
        <f t="shared" si="73"/>
        <v>5390</v>
      </c>
      <c r="R141" s="240">
        <f t="shared" si="73"/>
        <v>5390</v>
      </c>
      <c r="S141" s="240">
        <f t="shared" si="73"/>
        <v>5390</v>
      </c>
      <c r="T141" s="251">
        <f>SUM(H141:S141)</f>
        <v>64680</v>
      </c>
    </row>
    <row r="142" spans="2:20" x14ac:dyDescent="0.2">
      <c r="C142" s="10"/>
      <c r="D142" s="11"/>
      <c r="E142" s="20"/>
      <c r="F142" s="8"/>
      <c r="H142" s="387"/>
      <c r="I142" s="388"/>
      <c r="J142" s="388"/>
      <c r="K142" s="388"/>
      <c r="L142" s="388"/>
      <c r="M142" s="388"/>
      <c r="N142" s="388"/>
      <c r="O142" s="388"/>
      <c r="P142" s="388"/>
      <c r="Q142" s="388"/>
      <c r="R142" s="388"/>
      <c r="S142" s="388"/>
      <c r="T142" s="381"/>
    </row>
    <row r="143" spans="2:20" ht="20" x14ac:dyDescent="0.2">
      <c r="B143" s="116" t="s">
        <v>307</v>
      </c>
      <c r="C143" s="327"/>
      <c r="D143" s="327"/>
      <c r="E143" s="327" t="str">
        <f>$E$3</f>
        <v>Year 1 (2020)</v>
      </c>
      <c r="F143" s="327"/>
      <c r="G143" s="327"/>
      <c r="H143" s="360" t="s">
        <v>127</v>
      </c>
      <c r="I143" s="361" t="s">
        <v>128</v>
      </c>
      <c r="J143" s="361" t="s">
        <v>129</v>
      </c>
      <c r="K143" s="361" t="s">
        <v>130</v>
      </c>
      <c r="L143" s="361" t="s">
        <v>131</v>
      </c>
      <c r="M143" s="361" t="s">
        <v>132</v>
      </c>
      <c r="N143" s="361" t="s">
        <v>133</v>
      </c>
      <c r="O143" s="361" t="s">
        <v>134</v>
      </c>
      <c r="P143" s="361" t="s">
        <v>135</v>
      </c>
      <c r="Q143" s="361" t="s">
        <v>136</v>
      </c>
      <c r="R143" s="361" t="s">
        <v>137</v>
      </c>
      <c r="S143" s="361" t="s">
        <v>138</v>
      </c>
      <c r="T143" s="362" t="s">
        <v>179</v>
      </c>
    </row>
    <row r="144" spans="2:20" x14ac:dyDescent="0.2">
      <c r="B144" s="401"/>
      <c r="C144" s="402"/>
      <c r="D144" s="402"/>
      <c r="E144" s="402"/>
      <c r="F144" s="402"/>
      <c r="G144" s="403" t="s">
        <v>57</v>
      </c>
      <c r="H144" s="363">
        <f>H$4</f>
        <v>1</v>
      </c>
      <c r="I144" s="364">
        <f t="shared" ref="I144:S144" si="74">I$4</f>
        <v>2</v>
      </c>
      <c r="J144" s="364">
        <f t="shared" si="74"/>
        <v>3</v>
      </c>
      <c r="K144" s="364">
        <f t="shared" si="74"/>
        <v>4</v>
      </c>
      <c r="L144" s="364">
        <f t="shared" si="74"/>
        <v>5</v>
      </c>
      <c r="M144" s="364">
        <f t="shared" si="74"/>
        <v>6</v>
      </c>
      <c r="N144" s="364">
        <f t="shared" si="74"/>
        <v>7</v>
      </c>
      <c r="O144" s="364">
        <f t="shared" si="74"/>
        <v>8</v>
      </c>
      <c r="P144" s="364">
        <f t="shared" si="74"/>
        <v>9</v>
      </c>
      <c r="Q144" s="364">
        <f t="shared" si="74"/>
        <v>10</v>
      </c>
      <c r="R144" s="364">
        <f t="shared" si="74"/>
        <v>11</v>
      </c>
      <c r="S144" s="364">
        <f t="shared" si="74"/>
        <v>12</v>
      </c>
      <c r="T144" s="405" t="str">
        <f>"Total for " &amp; $E$3</f>
        <v>Total for Year 1 (2020)</v>
      </c>
    </row>
    <row r="145" spans="2:20" x14ac:dyDescent="0.2">
      <c r="B145" s="307"/>
      <c r="C145" s="5"/>
      <c r="E145" s="7"/>
      <c r="F145" s="7"/>
      <c r="G145" s="5"/>
      <c r="H145" s="389"/>
      <c r="I145" s="390"/>
      <c r="J145" s="390"/>
      <c r="K145" s="390"/>
      <c r="L145" s="390"/>
      <c r="M145" s="390"/>
      <c r="N145" s="390"/>
      <c r="O145" s="390"/>
      <c r="P145" s="390"/>
      <c r="Q145" s="390"/>
      <c r="R145" s="390"/>
      <c r="S145" s="390"/>
      <c r="T145" s="427"/>
    </row>
    <row r="146" spans="2:20" x14ac:dyDescent="0.2">
      <c r="B146" s="307" t="s">
        <v>18</v>
      </c>
      <c r="D146" s="7"/>
      <c r="E146" s="7"/>
      <c r="F146" s="7"/>
      <c r="G146" s="5"/>
      <c r="H146" s="379"/>
      <c r="I146" s="380"/>
      <c r="J146" s="380"/>
      <c r="K146" s="380"/>
      <c r="L146" s="380"/>
      <c r="M146" s="380"/>
      <c r="N146" s="380"/>
      <c r="O146" s="380"/>
      <c r="P146" s="380"/>
      <c r="Q146" s="380"/>
      <c r="R146" s="380"/>
      <c r="S146" s="380"/>
      <c r="T146" s="417"/>
    </row>
    <row r="147" spans="2:20" x14ac:dyDescent="0.2">
      <c r="B147" s="428"/>
      <c r="C147" t="s">
        <v>308</v>
      </c>
      <c r="D147" s="7"/>
      <c r="E147" s="7"/>
      <c r="F147" s="7"/>
      <c r="G147" s="5"/>
      <c r="H147" s="379">
        <f t="shared" ref="H147:S147" si="75">H41</f>
        <v>19260</v>
      </c>
      <c r="I147" s="380">
        <f t="shared" si="75"/>
        <v>19637</v>
      </c>
      <c r="J147" s="380">
        <f t="shared" si="75"/>
        <v>19991</v>
      </c>
      <c r="K147" s="380">
        <f t="shared" si="75"/>
        <v>20454</v>
      </c>
      <c r="L147" s="380">
        <f t="shared" si="75"/>
        <v>20801</v>
      </c>
      <c r="M147" s="380">
        <f t="shared" si="75"/>
        <v>21133</v>
      </c>
      <c r="N147" s="380">
        <f t="shared" si="75"/>
        <v>21564</v>
      </c>
      <c r="O147" s="380">
        <f t="shared" si="75"/>
        <v>21885</v>
      </c>
      <c r="P147" s="380">
        <f t="shared" si="75"/>
        <v>22221</v>
      </c>
      <c r="Q147" s="380">
        <f t="shared" si="75"/>
        <v>22651</v>
      </c>
      <c r="R147" s="380">
        <f t="shared" si="75"/>
        <v>22961</v>
      </c>
      <c r="S147" s="380">
        <f t="shared" si="75"/>
        <v>23406</v>
      </c>
      <c r="T147" s="417">
        <f>SUM(H147:S147)</f>
        <v>255964</v>
      </c>
    </row>
    <row r="148" spans="2:20" x14ac:dyDescent="0.2">
      <c r="B148" s="428"/>
      <c r="C148" t="s">
        <v>366</v>
      </c>
      <c r="D148" s="7"/>
      <c r="E148" s="7"/>
      <c r="F148" s="7"/>
      <c r="G148" s="5"/>
      <c r="H148" s="379">
        <f>H50</f>
        <v>722.1</v>
      </c>
      <c r="I148" s="380">
        <f t="shared" ref="I148:S148" si="76">I50</f>
        <v>739.31999999999994</v>
      </c>
      <c r="J148" s="380">
        <f t="shared" si="76"/>
        <v>754.86</v>
      </c>
      <c r="K148" s="380">
        <f t="shared" si="76"/>
        <v>773.34</v>
      </c>
      <c r="L148" s="380">
        <f t="shared" si="76"/>
        <v>788.31</v>
      </c>
      <c r="M148" s="380">
        <f t="shared" si="76"/>
        <v>802.53</v>
      </c>
      <c r="N148" s="380">
        <f t="shared" si="76"/>
        <v>819.39</v>
      </c>
      <c r="O148" s="380">
        <f t="shared" si="76"/>
        <v>832.94999999999993</v>
      </c>
      <c r="P148" s="380">
        <f t="shared" si="76"/>
        <v>847.26</v>
      </c>
      <c r="Q148" s="380">
        <f t="shared" si="76"/>
        <v>863.76</v>
      </c>
      <c r="R148" s="380">
        <f t="shared" si="76"/>
        <v>876.66000000000008</v>
      </c>
      <c r="S148" s="380">
        <f t="shared" si="76"/>
        <v>893.91000000000008</v>
      </c>
      <c r="T148" s="417">
        <f>SUM(H148:S148)</f>
        <v>9714.3900000000012</v>
      </c>
    </row>
    <row r="149" spans="2:20" x14ac:dyDescent="0.2">
      <c r="B149" s="428"/>
      <c r="C149" t="s">
        <v>28</v>
      </c>
      <c r="D149" s="7"/>
      <c r="E149" s="7"/>
      <c r="F149" s="7"/>
      <c r="G149" s="5"/>
      <c r="H149" s="379">
        <f>H81</f>
        <v>4363.9400000000005</v>
      </c>
      <c r="I149" s="380">
        <f t="shared" ref="I149:S149" si="77">I81</f>
        <v>4460.4880000000003</v>
      </c>
      <c r="J149" s="380">
        <f t="shared" si="77"/>
        <v>5103.9840000000004</v>
      </c>
      <c r="K149" s="380">
        <f t="shared" si="77"/>
        <v>5232.1959999999999</v>
      </c>
      <c r="L149" s="380">
        <f t="shared" si="77"/>
        <v>5328.8739999999998</v>
      </c>
      <c r="M149" s="380">
        <f t="shared" si="77"/>
        <v>5569.6419999999998</v>
      </c>
      <c r="N149" s="380">
        <f t="shared" si="77"/>
        <v>5674.0859999999993</v>
      </c>
      <c r="O149" s="380">
        <f t="shared" si="77"/>
        <v>5763.49</v>
      </c>
      <c r="P149" s="380">
        <f t="shared" si="77"/>
        <v>5858.8040000000001</v>
      </c>
      <c r="Q149" s="380">
        <f t="shared" si="77"/>
        <v>5962.924</v>
      </c>
      <c r="R149" s="380">
        <f t="shared" si="77"/>
        <v>6050.9639999999999</v>
      </c>
      <c r="S149" s="380">
        <f t="shared" si="77"/>
        <v>6160.9939999999997</v>
      </c>
      <c r="T149" s="417">
        <f t="shared" ref="T149:T151" si="78">SUM(H149:S149)</f>
        <v>65530.385999999999</v>
      </c>
    </row>
    <row r="150" spans="2:20" x14ac:dyDescent="0.2">
      <c r="B150" s="428"/>
      <c r="C150" t="s">
        <v>309</v>
      </c>
      <c r="D150" s="7"/>
      <c r="E150" s="7"/>
      <c r="F150" s="7"/>
      <c r="G150" s="5"/>
      <c r="H150" s="379">
        <f>H115</f>
        <v>32835.919999999998</v>
      </c>
      <c r="I150" s="380">
        <f t="shared" ref="I150:S150" si="79">I115</f>
        <v>32835.919999999998</v>
      </c>
      <c r="J150" s="380">
        <f t="shared" si="79"/>
        <v>32835.919999999998</v>
      </c>
      <c r="K150" s="380">
        <f t="shared" si="79"/>
        <v>32835.919999999998</v>
      </c>
      <c r="L150" s="380">
        <f t="shared" si="79"/>
        <v>32835.919999999998</v>
      </c>
      <c r="M150" s="380">
        <f t="shared" si="79"/>
        <v>32835.919999999998</v>
      </c>
      <c r="N150" s="380">
        <f t="shared" si="79"/>
        <v>32835.919999999998</v>
      </c>
      <c r="O150" s="380">
        <f t="shared" si="79"/>
        <v>32835.919999999998</v>
      </c>
      <c r="P150" s="380">
        <f t="shared" si="79"/>
        <v>32835.919999999998</v>
      </c>
      <c r="Q150" s="380">
        <f t="shared" si="79"/>
        <v>32835.919999999998</v>
      </c>
      <c r="R150" s="380">
        <f t="shared" si="79"/>
        <v>32835.919999999998</v>
      </c>
      <c r="S150" s="380">
        <f t="shared" si="79"/>
        <v>32835.919999999998</v>
      </c>
      <c r="T150" s="417">
        <f t="shared" si="78"/>
        <v>394031.03999999986</v>
      </c>
    </row>
    <row r="151" spans="2:20" ht="17" thickBot="1" x14ac:dyDescent="0.25">
      <c r="B151" s="428"/>
      <c r="C151" t="s">
        <v>310</v>
      </c>
      <c r="D151" s="7"/>
      <c r="E151" s="7"/>
      <c r="F151" s="7"/>
      <c r="G151" s="5"/>
      <c r="H151" s="379">
        <f>H141</f>
        <v>5390</v>
      </c>
      <c r="I151" s="380">
        <f t="shared" ref="I151:S151" si="80">I141</f>
        <v>5390</v>
      </c>
      <c r="J151" s="380">
        <f t="shared" si="80"/>
        <v>5390</v>
      </c>
      <c r="K151" s="380">
        <f t="shared" si="80"/>
        <v>5390</v>
      </c>
      <c r="L151" s="380">
        <f t="shared" si="80"/>
        <v>5390</v>
      </c>
      <c r="M151" s="380">
        <f t="shared" si="80"/>
        <v>5390</v>
      </c>
      <c r="N151" s="380">
        <f t="shared" si="80"/>
        <v>5390</v>
      </c>
      <c r="O151" s="380">
        <f t="shared" si="80"/>
        <v>5390</v>
      </c>
      <c r="P151" s="380">
        <f t="shared" si="80"/>
        <v>5390</v>
      </c>
      <c r="Q151" s="380">
        <f t="shared" si="80"/>
        <v>5390</v>
      </c>
      <c r="R151" s="380">
        <f t="shared" si="80"/>
        <v>5390</v>
      </c>
      <c r="S151" s="380">
        <f t="shared" si="80"/>
        <v>5390</v>
      </c>
      <c r="T151" s="417">
        <f t="shared" si="78"/>
        <v>64680</v>
      </c>
    </row>
    <row r="152" spans="2:20" ht="17" thickTop="1" x14ac:dyDescent="0.2">
      <c r="B152" s="418" t="s">
        <v>18</v>
      </c>
      <c r="C152" s="419"/>
      <c r="D152" s="419"/>
      <c r="E152" s="419"/>
      <c r="F152" s="419"/>
      <c r="G152" s="420"/>
      <c r="H152" s="421">
        <f>H147-SUM(H148:H151)</f>
        <v>-24051.96</v>
      </c>
      <c r="I152" s="422">
        <f t="shared" ref="I152:S152" si="81">I147-SUM(I148:I151)</f>
        <v>-23788.727999999996</v>
      </c>
      <c r="J152" s="422">
        <f t="shared" si="81"/>
        <v>-24093.763999999996</v>
      </c>
      <c r="K152" s="422">
        <f t="shared" si="81"/>
        <v>-23777.455999999998</v>
      </c>
      <c r="L152" s="422">
        <f t="shared" si="81"/>
        <v>-23542.103999999999</v>
      </c>
      <c r="M152" s="422">
        <f t="shared" si="81"/>
        <v>-23465.091999999997</v>
      </c>
      <c r="N152" s="422">
        <f t="shared" si="81"/>
        <v>-23155.396000000001</v>
      </c>
      <c r="O152" s="422">
        <f t="shared" si="81"/>
        <v>-22937.360000000001</v>
      </c>
      <c r="P152" s="422">
        <f t="shared" si="81"/>
        <v>-22710.983999999997</v>
      </c>
      <c r="Q152" s="422">
        <f t="shared" si="81"/>
        <v>-22401.603999999999</v>
      </c>
      <c r="R152" s="422">
        <f t="shared" si="81"/>
        <v>-22192.543999999994</v>
      </c>
      <c r="S152" s="422">
        <f t="shared" si="81"/>
        <v>-21874.824000000001</v>
      </c>
      <c r="T152" s="423">
        <f>SUM(H152:S152)</f>
        <v>-277991.81599999999</v>
      </c>
    </row>
    <row r="153" spans="2:20" x14ac:dyDescent="0.2">
      <c r="B153" s="428"/>
      <c r="C153" s="5"/>
      <c r="D153" s="5"/>
      <c r="E153" s="6"/>
      <c r="F153" s="7"/>
      <c r="G153" s="5"/>
      <c r="H153" s="389"/>
      <c r="I153" s="390"/>
      <c r="J153" s="390"/>
      <c r="K153" s="390"/>
      <c r="L153" s="390"/>
      <c r="M153" s="390"/>
      <c r="N153" s="390"/>
      <c r="O153" s="390"/>
      <c r="P153" s="390"/>
      <c r="Q153" s="390"/>
      <c r="R153" s="390"/>
      <c r="S153" s="390"/>
      <c r="T153" s="429"/>
    </row>
    <row r="154" spans="2:20" x14ac:dyDescent="0.2">
      <c r="B154" s="307" t="s">
        <v>22</v>
      </c>
      <c r="E154" s="23" t="s">
        <v>284</v>
      </c>
      <c r="F154" s="8"/>
      <c r="H154" s="382"/>
      <c r="I154" s="383"/>
      <c r="J154" s="383"/>
      <c r="K154" s="383"/>
      <c r="L154" s="383"/>
      <c r="M154" s="383"/>
      <c r="N154" s="383"/>
      <c r="O154" s="383"/>
      <c r="P154" s="383"/>
      <c r="Q154" s="383"/>
      <c r="R154" s="383"/>
      <c r="S154" s="383"/>
      <c r="T154" s="425"/>
    </row>
    <row r="155" spans="2:20" x14ac:dyDescent="0.2">
      <c r="B155" s="308"/>
      <c r="C155" s="39" t="s">
        <v>40</v>
      </c>
      <c r="E155" s="454">
        <v>0.01</v>
      </c>
      <c r="F155" s="8"/>
      <c r="H155" s="379">
        <f>H200*$E$155/12</f>
        <v>309.25</v>
      </c>
      <c r="I155" s="380">
        <f t="shared" ref="I155:S155" si="82">I200*$E$155/12+H155</f>
        <v>311.75</v>
      </c>
      <c r="J155" s="380">
        <f t="shared" si="82"/>
        <v>312.58333333333331</v>
      </c>
      <c r="K155" s="380">
        <f t="shared" si="82"/>
        <v>312.58333333333331</v>
      </c>
      <c r="L155" s="380">
        <f t="shared" si="82"/>
        <v>312.58333333333331</v>
      </c>
      <c r="M155" s="380">
        <f t="shared" si="82"/>
        <v>331.75</v>
      </c>
      <c r="N155" s="380">
        <f t="shared" si="82"/>
        <v>334.25</v>
      </c>
      <c r="O155" s="380">
        <f t="shared" si="82"/>
        <v>336.08333333333331</v>
      </c>
      <c r="P155" s="380">
        <f t="shared" si="82"/>
        <v>336.08333333333331</v>
      </c>
      <c r="Q155" s="380">
        <f t="shared" si="82"/>
        <v>336.08333333333331</v>
      </c>
      <c r="R155" s="380">
        <f t="shared" si="82"/>
        <v>336.08333333333331</v>
      </c>
      <c r="S155" s="380">
        <f t="shared" si="82"/>
        <v>336.08333333333331</v>
      </c>
      <c r="T155" s="417">
        <f>SUM(H155:S155)</f>
        <v>3905.1666666666674</v>
      </c>
    </row>
    <row r="156" spans="2:20" ht="17" thickBot="1" x14ac:dyDescent="0.25">
      <c r="B156" s="308"/>
      <c r="E156" s="23"/>
      <c r="F156" s="8"/>
      <c r="H156" s="382"/>
      <c r="I156" s="383"/>
      <c r="J156" s="383"/>
      <c r="K156" s="383"/>
      <c r="L156" s="383"/>
      <c r="M156" s="383"/>
      <c r="N156" s="383"/>
      <c r="O156" s="383"/>
      <c r="P156" s="383"/>
      <c r="Q156" s="383"/>
      <c r="R156" s="383"/>
      <c r="S156" s="383"/>
      <c r="T156" s="425"/>
    </row>
    <row r="157" spans="2:20" ht="17" thickTop="1" x14ac:dyDescent="0.2">
      <c r="B157" s="418" t="s">
        <v>110</v>
      </c>
      <c r="C157" s="419"/>
      <c r="D157" s="419"/>
      <c r="E157" s="419"/>
      <c r="F157" s="419"/>
      <c r="G157" s="420"/>
      <c r="H157" s="421">
        <f t="shared" ref="H157:S157" si="83">H152-SUM(H155:H155)</f>
        <v>-24361.21</v>
      </c>
      <c r="I157" s="422">
        <f t="shared" si="83"/>
        <v>-24100.477999999996</v>
      </c>
      <c r="J157" s="422">
        <f t="shared" si="83"/>
        <v>-24406.347333333328</v>
      </c>
      <c r="K157" s="422">
        <f t="shared" si="83"/>
        <v>-24090.03933333333</v>
      </c>
      <c r="L157" s="422">
        <f t="shared" si="83"/>
        <v>-23854.687333333331</v>
      </c>
      <c r="M157" s="422">
        <f t="shared" si="83"/>
        <v>-23796.841999999997</v>
      </c>
      <c r="N157" s="422">
        <f t="shared" si="83"/>
        <v>-23489.646000000001</v>
      </c>
      <c r="O157" s="422">
        <f t="shared" si="83"/>
        <v>-23273.443333333333</v>
      </c>
      <c r="P157" s="422">
        <f t="shared" si="83"/>
        <v>-23047.067333333329</v>
      </c>
      <c r="Q157" s="422">
        <f t="shared" si="83"/>
        <v>-22737.687333333331</v>
      </c>
      <c r="R157" s="422">
        <f t="shared" si="83"/>
        <v>-22528.627333333327</v>
      </c>
      <c r="S157" s="422">
        <f t="shared" si="83"/>
        <v>-22210.907333333333</v>
      </c>
      <c r="T157" s="423">
        <f>SUM(H157:S157)</f>
        <v>-281896.98266666668</v>
      </c>
    </row>
    <row r="158" spans="2:20" x14ac:dyDescent="0.2">
      <c r="B158" s="428"/>
      <c r="C158" s="5"/>
      <c r="D158" s="5"/>
      <c r="E158" s="7"/>
      <c r="F158" s="7"/>
      <c r="G158" s="5"/>
      <c r="H158" s="393"/>
      <c r="I158" s="394"/>
      <c r="J158" s="394"/>
      <c r="K158" s="394"/>
      <c r="L158" s="394"/>
      <c r="M158" s="394"/>
      <c r="N158" s="394"/>
      <c r="O158" s="394"/>
      <c r="P158" s="394"/>
      <c r="Q158" s="394"/>
      <c r="R158" s="394"/>
      <c r="S158" s="394"/>
      <c r="T158" s="430"/>
    </row>
    <row r="159" spans="2:20" x14ac:dyDescent="0.2">
      <c r="B159" s="307" t="s">
        <v>119</v>
      </c>
      <c r="C159" s="5"/>
      <c r="E159" s="7"/>
      <c r="F159" s="7"/>
      <c r="G159" s="5"/>
      <c r="H159" s="389"/>
      <c r="I159" s="390"/>
      <c r="J159" s="390"/>
      <c r="K159" s="390"/>
      <c r="L159" s="390"/>
      <c r="M159" s="390"/>
      <c r="N159" s="390"/>
      <c r="O159" s="390"/>
      <c r="P159" s="390"/>
      <c r="Q159" s="390"/>
      <c r="R159" s="390"/>
      <c r="S159" s="390"/>
      <c r="T159" s="427"/>
    </row>
    <row r="160" spans="2:20" x14ac:dyDescent="0.2">
      <c r="B160" s="308"/>
      <c r="C160" s="457" t="s">
        <v>157</v>
      </c>
      <c r="D160" s="457"/>
      <c r="E160" s="457"/>
      <c r="F160" s="457"/>
      <c r="G160" s="457"/>
      <c r="H160" s="458">
        <v>0</v>
      </c>
      <c r="I160" s="459">
        <v>0</v>
      </c>
      <c r="J160" s="459">
        <v>0</v>
      </c>
      <c r="K160" s="459">
        <v>0</v>
      </c>
      <c r="L160" s="459">
        <v>0</v>
      </c>
      <c r="M160" s="459">
        <v>0</v>
      </c>
      <c r="N160" s="459">
        <v>0</v>
      </c>
      <c r="O160" s="459">
        <v>0</v>
      </c>
      <c r="P160" s="459">
        <v>0</v>
      </c>
      <c r="Q160" s="459">
        <v>0</v>
      </c>
      <c r="R160" s="459">
        <v>0</v>
      </c>
      <c r="S160" s="459">
        <v>0</v>
      </c>
      <c r="T160" s="417">
        <f>SUM(H160:S160)</f>
        <v>0</v>
      </c>
    </row>
    <row r="161" spans="2:20" x14ac:dyDescent="0.2">
      <c r="B161" s="428"/>
      <c r="C161" t="s">
        <v>163</v>
      </c>
      <c r="D161" s="7"/>
      <c r="E161" s="7"/>
      <c r="F161" s="7"/>
      <c r="G161" s="5"/>
      <c r="H161" s="379">
        <f>IFERROR(IF(AND(H$118&gt;'Financing Schedule'!$G13,H$118&lt;='Financing Schedule'!$G13+'Financing Schedule'!$L13),('Financing Schedule'!$K13/12)*('Financing Schedule'!$J13-('Financing Schedule'!$I13*(H$118-'Financing Schedule'!$G13-1))),0),0)</f>
        <v>375</v>
      </c>
      <c r="I161" s="380">
        <f>IFERROR(IF(AND(I$118&gt;'Financing Schedule'!$G13,I$118&lt;='Financing Schedule'!$G13+'Financing Schedule'!$L13),('Financing Schedule'!$K13/12)*('Financing Schedule'!$J13-('Financing Schedule'!$I13*(I$118-'Financing Schedule'!$G13-1))),0),0)</f>
        <v>361.11111111111114</v>
      </c>
      <c r="J161" s="380">
        <f>IFERROR(IF(AND(J$118&gt;'Financing Schedule'!$G13,J$118&lt;='Financing Schedule'!$G13+'Financing Schedule'!$L13),('Financing Schedule'!$K13/12)*('Financing Schedule'!$J13-('Financing Schedule'!$I13*(J$118-'Financing Schedule'!$G13-1))),0),0)</f>
        <v>347.22222222222223</v>
      </c>
      <c r="K161" s="380">
        <f>IFERROR(IF(AND(K$118&gt;'Financing Schedule'!$G13,K$118&lt;='Financing Schedule'!$G13+'Financing Schedule'!$L13),('Financing Schedule'!$K13/12)*('Financing Schedule'!$J13-('Financing Schedule'!$I13*(K$118-'Financing Schedule'!$G13-1))),0),0)</f>
        <v>333.33333333333337</v>
      </c>
      <c r="L161" s="380">
        <f>IFERROR(IF(AND(L$118&gt;'Financing Schedule'!$G13,L$118&lt;='Financing Schedule'!$G13+'Financing Schedule'!$L13),('Financing Schedule'!$K13/12)*('Financing Schedule'!$J13-('Financing Schedule'!$I13*(L$118-'Financing Schedule'!$G13-1))),0),0)</f>
        <v>319.44444444444446</v>
      </c>
      <c r="M161" s="380">
        <f>IFERROR(IF(AND(M$118&gt;'Financing Schedule'!$G13,M$118&lt;='Financing Schedule'!$G13+'Financing Schedule'!$L13),('Financing Schedule'!$K13/12)*('Financing Schedule'!$J13-('Financing Schedule'!$I13*(M$118-'Financing Schedule'!$G13-1))),0),0)</f>
        <v>305.55555555555554</v>
      </c>
      <c r="N161" s="380">
        <f>IFERROR(IF(AND(N$118&gt;'Financing Schedule'!$G13,N$118&lt;='Financing Schedule'!$G13+'Financing Schedule'!$L13),('Financing Schedule'!$K13/12)*('Financing Schedule'!$J13-('Financing Schedule'!$I13*(N$118-'Financing Schedule'!$G13-1))),0),0)</f>
        <v>291.66666666666663</v>
      </c>
      <c r="O161" s="380">
        <f>IFERROR(IF(AND(O$118&gt;'Financing Schedule'!$G13,O$118&lt;='Financing Schedule'!$G13+'Financing Schedule'!$L13),('Financing Schedule'!$K13/12)*('Financing Schedule'!$J13-('Financing Schedule'!$I13*(O$118-'Financing Schedule'!$G13-1))),0),0)</f>
        <v>277.77777777777777</v>
      </c>
      <c r="P161" s="380">
        <f>IFERROR(IF(AND(P$118&gt;'Financing Schedule'!$G13,P$118&lt;='Financing Schedule'!$G13+'Financing Schedule'!$L13),('Financing Schedule'!$K13/12)*('Financing Schedule'!$J13-('Financing Schedule'!$I13*(P$118-'Financing Schedule'!$G13-1))),0),0)</f>
        <v>263.88888888888886</v>
      </c>
      <c r="Q161" s="380">
        <f>IFERROR(IF(AND(Q$118&gt;'Financing Schedule'!$G13,Q$118&lt;='Financing Schedule'!$G13+'Financing Schedule'!$L13),('Financing Schedule'!$K13/12)*('Financing Schedule'!$J13-('Financing Schedule'!$I13*(Q$118-'Financing Schedule'!$G13-1))),0),0)</f>
        <v>249.99999999999997</v>
      </c>
      <c r="R161" s="380">
        <f>IFERROR(IF(AND(R$118&gt;'Financing Schedule'!$G13,R$118&lt;='Financing Schedule'!$G13+'Financing Schedule'!$L13),('Financing Schedule'!$K13/12)*('Financing Schedule'!$J13-('Financing Schedule'!$I13*(R$118-'Financing Schedule'!$G13-1))),0),0)</f>
        <v>236.11111111111111</v>
      </c>
      <c r="S161" s="380">
        <f>IFERROR(IF(AND(S$118&gt;'Financing Schedule'!$G13,S$118&lt;='Financing Schedule'!$G13+'Financing Schedule'!$L13),('Financing Schedule'!$K13/12)*('Financing Schedule'!$J13-('Financing Schedule'!$I13*(S$118-'Financing Schedule'!$G13-1))),0),0)</f>
        <v>222.2222222222222</v>
      </c>
      <c r="T161" s="417">
        <f>SUM(H161:S161)</f>
        <v>3583.333333333333</v>
      </c>
    </row>
    <row r="162" spans="2:20" x14ac:dyDescent="0.2">
      <c r="B162" s="428"/>
      <c r="C162" t="s">
        <v>164</v>
      </c>
      <c r="D162" s="7"/>
      <c r="E162" s="7"/>
      <c r="F162" s="7"/>
      <c r="G162" s="5"/>
      <c r="H162" s="379">
        <f>IFERROR(IF(AND(H$118&gt;'Financing Schedule'!$G14,H$118&lt;='Financing Schedule'!$G14+'Financing Schedule'!$L14),('Financing Schedule'!$K14/12)*('Financing Schedule'!$J14-('Financing Schedule'!$I14*(H$118-'Financing Schedule'!$G14-1))),0),0)</f>
        <v>0</v>
      </c>
      <c r="I162" s="380">
        <f>IFERROR(IF(AND(I$118&gt;'Financing Schedule'!$G14,I$118&lt;='Financing Schedule'!$G14+'Financing Schedule'!$L14),('Financing Schedule'!$K14/12)*('Financing Schedule'!$J14-('Financing Schedule'!$I14*(I$118-'Financing Schedule'!$G14-1))),0),0)</f>
        <v>0</v>
      </c>
      <c r="J162" s="380">
        <f>IFERROR(IF(AND(J$118&gt;'Financing Schedule'!$G14,J$118&lt;='Financing Schedule'!$G14+'Financing Schedule'!$L14),('Financing Schedule'!$K14/12)*('Financing Schedule'!$J14-('Financing Schedule'!$I14*(J$118-'Financing Schedule'!$G14-1))),0),0)</f>
        <v>0</v>
      </c>
      <c r="K162" s="380">
        <f>IFERROR(IF(AND(K$118&gt;'Financing Schedule'!$G14,K$118&lt;='Financing Schedule'!$G14+'Financing Schedule'!$L14),('Financing Schedule'!$K14/12)*('Financing Schedule'!$J14-('Financing Schedule'!$I14*(K$118-'Financing Schedule'!$G14-1))),0),0)</f>
        <v>0</v>
      </c>
      <c r="L162" s="380">
        <f>IFERROR(IF(AND(L$118&gt;'Financing Schedule'!$G14,L$118&lt;='Financing Schedule'!$G14+'Financing Schedule'!$L14),('Financing Schedule'!$K14/12)*('Financing Schedule'!$J14-('Financing Schedule'!$I14*(L$118-'Financing Schedule'!$G14-1))),0),0)</f>
        <v>0</v>
      </c>
      <c r="M162" s="380">
        <f>IFERROR(IF(AND(M$118&gt;'Financing Schedule'!$G14,M$118&lt;='Financing Schedule'!$G14+'Financing Schedule'!$L14),('Financing Schedule'!$K14/12)*('Financing Schedule'!$J14-('Financing Schedule'!$I14*(M$118-'Financing Schedule'!$G14-1))),0),0)</f>
        <v>0</v>
      </c>
      <c r="N162" s="380">
        <f>IFERROR(IF(AND(N$118&gt;'Financing Schedule'!$G14,N$118&lt;='Financing Schedule'!$G14+'Financing Schedule'!$L14),('Financing Schedule'!$K14/12)*('Financing Schedule'!$J14-('Financing Schedule'!$I14*(N$118-'Financing Schedule'!$G14-1))),0),0)</f>
        <v>0</v>
      </c>
      <c r="O162" s="380">
        <f>IFERROR(IF(AND(O$118&gt;'Financing Schedule'!$G14,O$118&lt;='Financing Schedule'!$G14+'Financing Schedule'!$L14),('Financing Schedule'!$K14/12)*('Financing Schedule'!$J14-('Financing Schedule'!$I14*(O$118-'Financing Schedule'!$G14-1))),0),0)</f>
        <v>0</v>
      </c>
      <c r="P162" s="380">
        <f>IFERROR(IF(AND(P$118&gt;'Financing Schedule'!$G14,P$118&lt;='Financing Schedule'!$G14+'Financing Schedule'!$L14),('Financing Schedule'!$K14/12)*('Financing Schedule'!$J14-('Financing Schedule'!$I14*(P$118-'Financing Schedule'!$G14-1))),0),0)</f>
        <v>0</v>
      </c>
      <c r="Q162" s="380">
        <f>IFERROR(IF(AND(Q$118&gt;'Financing Schedule'!$G14,Q$118&lt;='Financing Schedule'!$G14+'Financing Schedule'!$L14),('Financing Schedule'!$K14/12)*('Financing Schedule'!$J14-('Financing Schedule'!$I14*(Q$118-'Financing Schedule'!$G14-1))),0),0)</f>
        <v>0</v>
      </c>
      <c r="R162" s="380">
        <f>IFERROR(IF(AND(R$118&gt;'Financing Schedule'!$G14,R$118&lt;='Financing Schedule'!$G14+'Financing Schedule'!$L14),('Financing Schedule'!$K14/12)*('Financing Schedule'!$J14-('Financing Schedule'!$I14*(R$118-'Financing Schedule'!$G14-1))),0),0)</f>
        <v>0</v>
      </c>
      <c r="S162" s="380">
        <f>IFERROR(IF(AND(S$118&gt;'Financing Schedule'!$G14,S$118&lt;='Financing Schedule'!$G14+'Financing Schedule'!$L14),('Financing Schedule'!$K14/12)*('Financing Schedule'!$J14-('Financing Schedule'!$I14*(S$118-'Financing Schedule'!$G14-1))),0),0)</f>
        <v>0</v>
      </c>
      <c r="T162" s="417">
        <f t="shared" ref="T162:T166" si="84">SUM(H162:S162)</f>
        <v>0</v>
      </c>
    </row>
    <row r="163" spans="2:20" x14ac:dyDescent="0.2">
      <c r="B163" s="428"/>
      <c r="C163" t="s">
        <v>165</v>
      </c>
      <c r="D163" s="7"/>
      <c r="E163" s="7"/>
      <c r="F163" s="7"/>
      <c r="G163" s="5"/>
      <c r="H163" s="379">
        <f>IFERROR(IF(AND(H$118&gt;'Financing Schedule'!$G15,H$118&lt;='Financing Schedule'!$G15+'Financing Schedule'!$L15),('Financing Schedule'!$K15/12)*('Financing Schedule'!$J15-('Financing Schedule'!$I15*(H$118-'Financing Schedule'!$G15-1))),0),0)</f>
        <v>0</v>
      </c>
      <c r="I163" s="380">
        <f>IFERROR(IF(AND(I$118&gt;'Financing Schedule'!$G15,I$118&lt;='Financing Schedule'!$G15+'Financing Schedule'!$L15),('Financing Schedule'!$K15/12)*('Financing Schedule'!$J15-('Financing Schedule'!$I15*(I$118-'Financing Schedule'!$G15-1))),0),0)</f>
        <v>0</v>
      </c>
      <c r="J163" s="380">
        <f>IFERROR(IF(AND(J$118&gt;'Financing Schedule'!$G15,J$118&lt;='Financing Schedule'!$G15+'Financing Schedule'!$L15),('Financing Schedule'!$K15/12)*('Financing Schedule'!$J15-('Financing Schedule'!$I15*(J$118-'Financing Schedule'!$G15-1))),0),0)</f>
        <v>0</v>
      </c>
      <c r="K163" s="380">
        <f>IFERROR(IF(AND(K$118&gt;'Financing Schedule'!$G15,K$118&lt;='Financing Schedule'!$G15+'Financing Schedule'!$L15),('Financing Schedule'!$K15/12)*('Financing Schedule'!$J15-('Financing Schedule'!$I15*(K$118-'Financing Schedule'!$G15-1))),0),0)</f>
        <v>0</v>
      </c>
      <c r="L163" s="380">
        <f>IFERROR(IF(AND(L$118&gt;'Financing Schedule'!$G15,L$118&lt;='Financing Schedule'!$G15+'Financing Schedule'!$L15),('Financing Schedule'!$K15/12)*('Financing Schedule'!$J15-('Financing Schedule'!$I15*(L$118-'Financing Schedule'!$G15-1))),0),0)</f>
        <v>0</v>
      </c>
      <c r="M163" s="380">
        <f>IFERROR(IF(AND(M$118&gt;'Financing Schedule'!$G15,M$118&lt;='Financing Schedule'!$G15+'Financing Schedule'!$L15),('Financing Schedule'!$K15/12)*('Financing Schedule'!$J15-('Financing Schedule'!$I15*(M$118-'Financing Schedule'!$G15-1))),0),0)</f>
        <v>0</v>
      </c>
      <c r="N163" s="380">
        <f>IFERROR(IF(AND(N$118&gt;'Financing Schedule'!$G15,N$118&lt;='Financing Schedule'!$G15+'Financing Schedule'!$L15),('Financing Schedule'!$K15/12)*('Financing Schedule'!$J15-('Financing Schedule'!$I15*(N$118-'Financing Schedule'!$G15-1))),0),0)</f>
        <v>0</v>
      </c>
      <c r="O163" s="380">
        <f>IFERROR(IF(AND(O$118&gt;'Financing Schedule'!$G15,O$118&lt;='Financing Schedule'!$G15+'Financing Schedule'!$L15),('Financing Schedule'!$K15/12)*('Financing Schedule'!$J15-('Financing Schedule'!$I15*(O$118-'Financing Schedule'!$G15-1))),0),0)</f>
        <v>0</v>
      </c>
      <c r="P163" s="380">
        <f>IFERROR(IF(AND(P$118&gt;'Financing Schedule'!$G15,P$118&lt;='Financing Schedule'!$G15+'Financing Schedule'!$L15),('Financing Schedule'!$K15/12)*('Financing Schedule'!$J15-('Financing Schedule'!$I15*(P$118-'Financing Schedule'!$G15-1))),0),0)</f>
        <v>0</v>
      </c>
      <c r="Q163" s="380">
        <f>IFERROR(IF(AND(Q$118&gt;'Financing Schedule'!$G15,Q$118&lt;='Financing Schedule'!$G15+'Financing Schedule'!$L15),('Financing Schedule'!$K15/12)*('Financing Schedule'!$J15-('Financing Schedule'!$I15*(Q$118-'Financing Schedule'!$G15-1))),0),0)</f>
        <v>0</v>
      </c>
      <c r="R163" s="380">
        <f>IFERROR(IF(AND(R$118&gt;'Financing Schedule'!$G15,R$118&lt;='Financing Schedule'!$G15+'Financing Schedule'!$L15),('Financing Schedule'!$K15/12)*('Financing Schedule'!$J15-('Financing Schedule'!$I15*(R$118-'Financing Schedule'!$G15-1))),0),0)</f>
        <v>0</v>
      </c>
      <c r="S163" s="380">
        <f>IFERROR(IF(AND(S$118&gt;'Financing Schedule'!$G15,S$118&lt;='Financing Schedule'!$G15+'Financing Schedule'!$L15),('Financing Schedule'!$K15/12)*('Financing Schedule'!$J15-('Financing Schedule'!$I15*(S$118-'Financing Schedule'!$G15-1))),0),0)</f>
        <v>0</v>
      </c>
      <c r="T163" s="417">
        <f t="shared" si="84"/>
        <v>0</v>
      </c>
    </row>
    <row r="164" spans="2:20" x14ac:dyDescent="0.2">
      <c r="B164" s="428"/>
      <c r="C164" t="s">
        <v>166</v>
      </c>
      <c r="D164" s="7"/>
      <c r="E164" s="7"/>
      <c r="F164" s="7"/>
      <c r="G164" s="5"/>
      <c r="H164" s="379">
        <f>IFERROR(IF(AND(H$118&gt;'Financing Schedule'!$G16,H$118&lt;='Financing Schedule'!$G16+'Financing Schedule'!$L16),('Financing Schedule'!$K16/12)*('Financing Schedule'!$J16-('Financing Schedule'!$I16*(H$118-'Financing Schedule'!$G16-1))),0),0)</f>
        <v>0</v>
      </c>
      <c r="I164" s="380">
        <f>IFERROR(IF(AND(I$118&gt;'Financing Schedule'!$G16,I$118&lt;='Financing Schedule'!$G16+'Financing Schedule'!$L16),('Financing Schedule'!$K16/12)*('Financing Schedule'!$J16-('Financing Schedule'!$I16*(I$118-'Financing Schedule'!$G16-1))),0),0)</f>
        <v>0</v>
      </c>
      <c r="J164" s="380">
        <f>IFERROR(IF(AND(J$118&gt;'Financing Schedule'!$G16,J$118&lt;='Financing Schedule'!$G16+'Financing Schedule'!$L16),('Financing Schedule'!$K16/12)*('Financing Schedule'!$J16-('Financing Schedule'!$I16*(J$118-'Financing Schedule'!$G16-1))),0),0)</f>
        <v>0</v>
      </c>
      <c r="K164" s="380">
        <f>IFERROR(IF(AND(K$118&gt;'Financing Schedule'!$G16,K$118&lt;='Financing Schedule'!$G16+'Financing Schedule'!$L16),('Financing Schedule'!$K16/12)*('Financing Schedule'!$J16-('Financing Schedule'!$I16*(K$118-'Financing Schedule'!$G16-1))),0),0)</f>
        <v>0</v>
      </c>
      <c r="L164" s="380">
        <f>IFERROR(IF(AND(L$118&gt;'Financing Schedule'!$G16,L$118&lt;='Financing Schedule'!$G16+'Financing Schedule'!$L16),('Financing Schedule'!$K16/12)*('Financing Schedule'!$J16-('Financing Schedule'!$I16*(L$118-'Financing Schedule'!$G16-1))),0),0)</f>
        <v>0</v>
      </c>
      <c r="M164" s="380">
        <f>IFERROR(IF(AND(M$118&gt;'Financing Schedule'!$G16,M$118&lt;='Financing Schedule'!$G16+'Financing Schedule'!$L16),('Financing Schedule'!$K16/12)*('Financing Schedule'!$J16-('Financing Schedule'!$I16*(M$118-'Financing Schedule'!$G16-1))),0),0)</f>
        <v>0</v>
      </c>
      <c r="N164" s="380">
        <f>IFERROR(IF(AND(N$118&gt;'Financing Schedule'!$G16,N$118&lt;='Financing Schedule'!$G16+'Financing Schedule'!$L16),('Financing Schedule'!$K16/12)*('Financing Schedule'!$J16-('Financing Schedule'!$I16*(N$118-'Financing Schedule'!$G16-1))),0),0)</f>
        <v>0</v>
      </c>
      <c r="O164" s="380">
        <f>IFERROR(IF(AND(O$118&gt;'Financing Schedule'!$G16,O$118&lt;='Financing Schedule'!$G16+'Financing Schedule'!$L16),('Financing Schedule'!$K16/12)*('Financing Schedule'!$J16-('Financing Schedule'!$I16*(O$118-'Financing Schedule'!$G16-1))),0),0)</f>
        <v>0</v>
      </c>
      <c r="P164" s="380">
        <f>IFERROR(IF(AND(P$118&gt;'Financing Schedule'!$G16,P$118&lt;='Financing Schedule'!$G16+'Financing Schedule'!$L16),('Financing Schedule'!$K16/12)*('Financing Schedule'!$J16-('Financing Schedule'!$I16*(P$118-'Financing Schedule'!$G16-1))),0),0)</f>
        <v>0</v>
      </c>
      <c r="Q164" s="380">
        <f>IFERROR(IF(AND(Q$118&gt;'Financing Schedule'!$G16,Q$118&lt;='Financing Schedule'!$G16+'Financing Schedule'!$L16),('Financing Schedule'!$K16/12)*('Financing Schedule'!$J16-('Financing Schedule'!$I16*(Q$118-'Financing Schedule'!$G16-1))),0),0)</f>
        <v>0</v>
      </c>
      <c r="R164" s="380">
        <f>IFERROR(IF(AND(R$118&gt;'Financing Schedule'!$G16,R$118&lt;='Financing Schedule'!$G16+'Financing Schedule'!$L16),('Financing Schedule'!$K16/12)*('Financing Schedule'!$J16-('Financing Schedule'!$I16*(R$118-'Financing Schedule'!$G16-1))),0),0)</f>
        <v>0</v>
      </c>
      <c r="S164" s="380">
        <f>IFERROR(IF(AND(S$118&gt;'Financing Schedule'!$G16,S$118&lt;='Financing Schedule'!$G16+'Financing Schedule'!$L16),('Financing Schedule'!$K16/12)*('Financing Schedule'!$J16-('Financing Schedule'!$I16*(S$118-'Financing Schedule'!$G16-1))),0),0)</f>
        <v>0</v>
      </c>
      <c r="T164" s="417">
        <f t="shared" si="84"/>
        <v>0</v>
      </c>
    </row>
    <row r="165" spans="2:20" ht="17" thickBot="1" x14ac:dyDescent="0.25">
      <c r="B165" s="428"/>
      <c r="C165" t="s">
        <v>167</v>
      </c>
      <c r="D165" s="7"/>
      <c r="E165" s="7"/>
      <c r="F165" s="7"/>
      <c r="G165" s="5"/>
      <c r="H165" s="379">
        <f>IFERROR(IF(AND(H$118&gt;'Financing Schedule'!$G17,H$118&lt;='Financing Schedule'!$G17+'Financing Schedule'!$L17),('Financing Schedule'!$K17/12)*('Financing Schedule'!$J17-('Financing Schedule'!$I17*(H$118-'Financing Schedule'!$G17-1))),0),0)</f>
        <v>0</v>
      </c>
      <c r="I165" s="380">
        <f>IFERROR(IF(AND(I$118&gt;'Financing Schedule'!$G17,I$118&lt;='Financing Schedule'!$G17+'Financing Schedule'!$L17),('Financing Schedule'!$K17/12)*('Financing Schedule'!$J17-('Financing Schedule'!$I17*(I$118-'Financing Schedule'!$G17-1))),0),0)</f>
        <v>0</v>
      </c>
      <c r="J165" s="380">
        <f>IFERROR(IF(AND(J$118&gt;'Financing Schedule'!$G17,J$118&lt;='Financing Schedule'!$G17+'Financing Schedule'!$L17),('Financing Schedule'!$K17/12)*('Financing Schedule'!$J17-('Financing Schedule'!$I17*(J$118-'Financing Schedule'!$G17-1))),0),0)</f>
        <v>0</v>
      </c>
      <c r="K165" s="380">
        <f>IFERROR(IF(AND(K$118&gt;'Financing Schedule'!$G17,K$118&lt;='Financing Schedule'!$G17+'Financing Schedule'!$L17),('Financing Schedule'!$K17/12)*('Financing Schedule'!$J17-('Financing Schedule'!$I17*(K$118-'Financing Schedule'!$G17-1))),0),0)</f>
        <v>0</v>
      </c>
      <c r="L165" s="380">
        <f>IFERROR(IF(AND(L$118&gt;'Financing Schedule'!$G17,L$118&lt;='Financing Schedule'!$G17+'Financing Schedule'!$L17),('Financing Schedule'!$K17/12)*('Financing Schedule'!$J17-('Financing Schedule'!$I17*(L$118-'Financing Schedule'!$G17-1))),0),0)</f>
        <v>0</v>
      </c>
      <c r="M165" s="380">
        <f>IFERROR(IF(AND(M$118&gt;'Financing Schedule'!$G17,M$118&lt;='Financing Schedule'!$G17+'Financing Schedule'!$L17),('Financing Schedule'!$K17/12)*('Financing Schedule'!$J17-('Financing Schedule'!$I17*(M$118-'Financing Schedule'!$G17-1))),0),0)</f>
        <v>0</v>
      </c>
      <c r="N165" s="380">
        <f>IFERROR(IF(AND(N$118&gt;'Financing Schedule'!$G17,N$118&lt;='Financing Schedule'!$G17+'Financing Schedule'!$L17),('Financing Schedule'!$K17/12)*('Financing Schedule'!$J17-('Financing Schedule'!$I17*(N$118-'Financing Schedule'!$G17-1))),0),0)</f>
        <v>0</v>
      </c>
      <c r="O165" s="380">
        <f>IFERROR(IF(AND(O$118&gt;'Financing Schedule'!$G17,O$118&lt;='Financing Schedule'!$G17+'Financing Schedule'!$L17),('Financing Schedule'!$K17/12)*('Financing Schedule'!$J17-('Financing Schedule'!$I17*(O$118-'Financing Schedule'!$G17-1))),0),0)</f>
        <v>0</v>
      </c>
      <c r="P165" s="380">
        <f>IFERROR(IF(AND(P$118&gt;'Financing Schedule'!$G17,P$118&lt;='Financing Schedule'!$G17+'Financing Schedule'!$L17),('Financing Schedule'!$K17/12)*('Financing Schedule'!$J17-('Financing Schedule'!$I17*(P$118-'Financing Schedule'!$G17-1))),0),0)</f>
        <v>0</v>
      </c>
      <c r="Q165" s="380">
        <f>IFERROR(IF(AND(Q$118&gt;'Financing Schedule'!$G17,Q$118&lt;='Financing Schedule'!$G17+'Financing Schedule'!$L17),('Financing Schedule'!$K17/12)*('Financing Schedule'!$J17-('Financing Schedule'!$I17*(Q$118-'Financing Schedule'!$G17-1))),0),0)</f>
        <v>0</v>
      </c>
      <c r="R165" s="380">
        <f>IFERROR(IF(AND(R$118&gt;'Financing Schedule'!$G17,R$118&lt;='Financing Schedule'!$G17+'Financing Schedule'!$L17),('Financing Schedule'!$K17/12)*('Financing Schedule'!$J17-('Financing Schedule'!$I17*(R$118-'Financing Schedule'!$G17-1))),0),0)</f>
        <v>0</v>
      </c>
      <c r="S165" s="380">
        <f>IFERROR(IF(AND(S$118&gt;'Financing Schedule'!$G17,S$118&lt;='Financing Schedule'!$G17+'Financing Schedule'!$L17),('Financing Schedule'!$K17/12)*('Financing Schedule'!$J17-('Financing Schedule'!$I17*(S$118-'Financing Schedule'!$G17-1))),0),0)</f>
        <v>0</v>
      </c>
      <c r="T165" s="417">
        <f t="shared" si="84"/>
        <v>0</v>
      </c>
    </row>
    <row r="166" spans="2:20" ht="17" thickTop="1" x14ac:dyDescent="0.2">
      <c r="B166" s="418" t="s">
        <v>118</v>
      </c>
      <c r="C166" s="419"/>
      <c r="D166" s="419"/>
      <c r="E166" s="419"/>
      <c r="F166" s="419"/>
      <c r="G166" s="420"/>
      <c r="H166" s="421">
        <f>SUM(H160:H165)</f>
        <v>375</v>
      </c>
      <c r="I166" s="422">
        <f t="shared" ref="I166:S166" si="85">SUM(I160:I165)</f>
        <v>361.11111111111114</v>
      </c>
      <c r="J166" s="422">
        <f t="shared" si="85"/>
        <v>347.22222222222223</v>
      </c>
      <c r="K166" s="422">
        <f t="shared" si="85"/>
        <v>333.33333333333337</v>
      </c>
      <c r="L166" s="422">
        <f t="shared" si="85"/>
        <v>319.44444444444446</v>
      </c>
      <c r="M166" s="422">
        <f t="shared" si="85"/>
        <v>305.55555555555554</v>
      </c>
      <c r="N166" s="422">
        <f t="shared" si="85"/>
        <v>291.66666666666663</v>
      </c>
      <c r="O166" s="422">
        <f t="shared" si="85"/>
        <v>277.77777777777777</v>
      </c>
      <c r="P166" s="422">
        <f t="shared" si="85"/>
        <v>263.88888888888886</v>
      </c>
      <c r="Q166" s="422">
        <f t="shared" si="85"/>
        <v>249.99999999999997</v>
      </c>
      <c r="R166" s="422">
        <f t="shared" si="85"/>
        <v>236.11111111111111</v>
      </c>
      <c r="S166" s="422">
        <f t="shared" si="85"/>
        <v>222.2222222222222</v>
      </c>
      <c r="T166" s="423">
        <f t="shared" si="84"/>
        <v>3583.333333333333</v>
      </c>
    </row>
    <row r="167" spans="2:20" x14ac:dyDescent="0.2">
      <c r="B167" s="308"/>
      <c r="C167" s="5"/>
      <c r="D167" s="5"/>
      <c r="E167" s="54"/>
      <c r="F167" s="36"/>
      <c r="G167" s="36"/>
      <c r="H167" s="379"/>
      <c r="I167" s="380"/>
      <c r="J167" s="380"/>
      <c r="K167" s="380"/>
      <c r="L167" s="380"/>
      <c r="M167" s="380"/>
      <c r="N167" s="380"/>
      <c r="O167" s="380"/>
      <c r="P167" s="380"/>
      <c r="Q167" s="380"/>
      <c r="R167" s="380"/>
      <c r="S167" s="380"/>
      <c r="T167" s="417"/>
    </row>
    <row r="168" spans="2:20" x14ac:dyDescent="0.2">
      <c r="B168" s="307" t="s">
        <v>306</v>
      </c>
      <c r="D168" s="5"/>
      <c r="E168" s="55" t="s">
        <v>293</v>
      </c>
      <c r="F168" s="497" t="s">
        <v>304</v>
      </c>
      <c r="G168" s="497"/>
      <c r="H168" s="379"/>
      <c r="I168" s="380"/>
      <c r="J168" s="380"/>
      <c r="K168" s="380"/>
      <c r="L168" s="380"/>
      <c r="M168" s="380"/>
      <c r="N168" s="380"/>
      <c r="O168" s="380"/>
      <c r="P168" s="380"/>
      <c r="Q168" s="380"/>
      <c r="R168" s="380"/>
      <c r="S168" s="380"/>
      <c r="T168" s="417"/>
    </row>
    <row r="169" spans="2:20" x14ac:dyDescent="0.2">
      <c r="B169" s="428"/>
      <c r="D169" t="s">
        <v>33</v>
      </c>
      <c r="E169" s="54"/>
      <c r="F169" s="497"/>
      <c r="G169" s="497"/>
      <c r="H169" s="379"/>
      <c r="I169" s="380"/>
      <c r="J169" s="380"/>
      <c r="K169" s="380"/>
      <c r="L169" s="380"/>
      <c r="M169" s="380"/>
      <c r="N169" s="380"/>
      <c r="O169" s="380"/>
      <c r="P169" s="380"/>
      <c r="Q169" s="380"/>
      <c r="R169" s="380"/>
      <c r="S169" s="380"/>
      <c r="T169" s="417"/>
    </row>
    <row r="170" spans="2:20" x14ac:dyDescent="0.2">
      <c r="B170" s="308"/>
      <c r="C170" s="496" t="str">
        <f>"Sales Tax on "&amp;$B6&amp;" Line"</f>
        <v>Sales Tax on Product Revenue Line</v>
      </c>
      <c r="D170" s="454">
        <v>0.02</v>
      </c>
      <c r="E170" s="453" t="s">
        <v>299</v>
      </c>
      <c r="F170" s="453">
        <v>4</v>
      </c>
      <c r="G170" s="15" t="s">
        <v>303</v>
      </c>
      <c r="H170" s="379">
        <f>IF($E170="n.a.",0,$D170*H$12)</f>
        <v>240</v>
      </c>
      <c r="I170" s="380">
        <f>IF($E170="n.a.",0,$D170*I$12+IF(I171=0,H170,0))</f>
        <v>242.4</v>
      </c>
      <c r="J170" s="380">
        <f t="shared" ref="J170:S170" si="86">IF($E170="n.a.",0,$D170*J$12+IF(J171=0,I170,0))</f>
        <v>244.8</v>
      </c>
      <c r="K170" s="380">
        <f t="shared" si="86"/>
        <v>249.6</v>
      </c>
      <c r="L170" s="380">
        <f t="shared" si="86"/>
        <v>252</v>
      </c>
      <c r="M170" s="380">
        <f t="shared" si="86"/>
        <v>254.4</v>
      </c>
      <c r="N170" s="380">
        <f t="shared" si="86"/>
        <v>259.2</v>
      </c>
      <c r="O170" s="380">
        <f t="shared" si="86"/>
        <v>261.60000000000002</v>
      </c>
      <c r="P170" s="380">
        <f t="shared" si="86"/>
        <v>264</v>
      </c>
      <c r="Q170" s="380">
        <f t="shared" si="86"/>
        <v>268.8</v>
      </c>
      <c r="R170" s="380">
        <f t="shared" si="86"/>
        <v>271.2</v>
      </c>
      <c r="S170" s="380">
        <f t="shared" si="86"/>
        <v>276</v>
      </c>
      <c r="T170" s="417">
        <f>SUM(H170:S170)</f>
        <v>3084.0000000000005</v>
      </c>
    </row>
    <row r="171" spans="2:20" x14ac:dyDescent="0.2">
      <c r="B171" s="308"/>
      <c r="C171" s="496"/>
      <c r="D171" s="5"/>
      <c r="E171" s="54"/>
      <c r="F171" s="36"/>
      <c r="G171" s="15" t="s">
        <v>293</v>
      </c>
      <c r="H171" s="379">
        <f>IF($E170="Monthly",0,IF($E170="Quarterly",IF(AND($E170="Quarterly",OR(H$118=((RIGHT(LEFT($E$3,6),1)-1)*12)+1,H$118=((RIGHT(LEFT($E$3,6),1)-1)*12)+4,H$118=((RIGHT(LEFT($E$3,6),1)-1)*12)+7,H$118=((RIGHT(LEFT($E$3,6),1)-1)*12)+10)),0,0),IF(AND($E170="Yearly",$F170=H$118),0,0)))</f>
        <v>0</v>
      </c>
      <c r="I171" s="380">
        <f t="shared" ref="I171:S171" si="87">IF($E170="Monthly",H170,IF($E170="Quarterly",IF(AND($E170="Quarterly",OR(I$118=((RIGHT(LEFT($E$3,6),1)-1)*12)+1,I$118=((RIGHT(LEFT($E$3,6),1)-1)*12)+4,I$118=((RIGHT(LEFT($E$3,6),1)-1)*12)+7,I$118=((RIGHT(LEFT($E$3,6),1)-1)*12)+10)),H170,0),IF(AND($E170="Yearly",$F170=I$118),H170,0)))</f>
        <v>240</v>
      </c>
      <c r="J171" s="380">
        <f t="shared" si="87"/>
        <v>242.4</v>
      </c>
      <c r="K171" s="380">
        <f t="shared" si="87"/>
        <v>244.8</v>
      </c>
      <c r="L171" s="380">
        <f t="shared" si="87"/>
        <v>249.6</v>
      </c>
      <c r="M171" s="380">
        <f t="shared" si="87"/>
        <v>252</v>
      </c>
      <c r="N171" s="380">
        <f t="shared" si="87"/>
        <v>254.4</v>
      </c>
      <c r="O171" s="380">
        <f t="shared" si="87"/>
        <v>259.2</v>
      </c>
      <c r="P171" s="380">
        <f t="shared" si="87"/>
        <v>261.60000000000002</v>
      </c>
      <c r="Q171" s="380">
        <f t="shared" si="87"/>
        <v>264</v>
      </c>
      <c r="R171" s="380">
        <f t="shared" si="87"/>
        <v>268.8</v>
      </c>
      <c r="S171" s="380">
        <f t="shared" si="87"/>
        <v>271.2</v>
      </c>
      <c r="T171" s="417">
        <f t="shared" ref="T171:T177" si="88">SUM(H171:S171)</f>
        <v>2808.0000000000005</v>
      </c>
    </row>
    <row r="172" spans="2:20" x14ac:dyDescent="0.2">
      <c r="B172" s="308"/>
      <c r="C172" s="496" t="str">
        <f>"Sales Tax on "&amp;$B14&amp;" Line"</f>
        <v>Sales Tax on Service Revenue Line</v>
      </c>
      <c r="D172" s="454">
        <v>0.01</v>
      </c>
      <c r="E172" s="453" t="s">
        <v>302</v>
      </c>
      <c r="F172" s="453"/>
      <c r="G172" s="15" t="s">
        <v>303</v>
      </c>
      <c r="H172" s="379">
        <f>IF($E172="n.a.",0,$D172*H$20)</f>
        <v>0</v>
      </c>
      <c r="I172" s="380">
        <f>IF($E172="n.a.",0,$D172*I$20+IF(I173=0,H172,0))</f>
        <v>0</v>
      </c>
      <c r="J172" s="380">
        <f t="shared" ref="J172:S172" si="89">IF($E172="n.a.",0,$D172*J$20+IF(J173=0,I172,0))</f>
        <v>0</v>
      </c>
      <c r="K172" s="380">
        <f t="shared" si="89"/>
        <v>0</v>
      </c>
      <c r="L172" s="380">
        <f t="shared" si="89"/>
        <v>0</v>
      </c>
      <c r="M172" s="380">
        <f t="shared" si="89"/>
        <v>0</v>
      </c>
      <c r="N172" s="380">
        <f t="shared" si="89"/>
        <v>0</v>
      </c>
      <c r="O172" s="380">
        <f t="shared" si="89"/>
        <v>0</v>
      </c>
      <c r="P172" s="380">
        <f t="shared" si="89"/>
        <v>0</v>
      </c>
      <c r="Q172" s="380">
        <f t="shared" si="89"/>
        <v>0</v>
      </c>
      <c r="R172" s="380">
        <f t="shared" si="89"/>
        <v>0</v>
      </c>
      <c r="S172" s="380">
        <f t="shared" si="89"/>
        <v>0</v>
      </c>
      <c r="T172" s="417">
        <f t="shared" si="88"/>
        <v>0</v>
      </c>
    </row>
    <row r="173" spans="2:20" x14ac:dyDescent="0.2">
      <c r="B173" s="308"/>
      <c r="C173" s="496"/>
      <c r="D173" s="5"/>
      <c r="E173" s="54"/>
      <c r="F173" s="36"/>
      <c r="G173" s="15" t="s">
        <v>293</v>
      </c>
      <c r="H173" s="379">
        <f>IF($E172="Monthly",0,IF($E172="Quarterly",IF(AND($E172="Quarterly",OR(H$118=((RIGHT(LEFT($E$3,6),1)-1)*12)+1,H$118=((RIGHT(LEFT($E$3,6),1)-1)*12)+4,H$118=((RIGHT(LEFT($E$3,6),1)-1)*12)+7,H$118=((RIGHT(LEFT($E$3,6),1)-1)*12)+10)),0,0),IF(AND($E172="Yearly",$F172=H$118),0,0)))</f>
        <v>0</v>
      </c>
      <c r="I173" s="380">
        <f t="shared" ref="I173:S173" si="90">IF($E172="Monthly",H172,IF($E172="Quarterly",IF(AND($E172="Quarterly",OR(I$118=((RIGHT(LEFT($E$3,6),1)-1)*12)+1,I$118=((RIGHT(LEFT($E$3,6),1)-1)*12)+4,I$118=((RIGHT(LEFT($E$3,6),1)-1)*12)+7,I$118=((RIGHT(LEFT($E$3,6),1)-1)*12)+10)),H172,0),IF(AND($E172="Yearly",$F172=I$118),H172,0)))</f>
        <v>0</v>
      </c>
      <c r="J173" s="380">
        <f t="shared" si="90"/>
        <v>0</v>
      </c>
      <c r="K173" s="380">
        <f t="shared" si="90"/>
        <v>0</v>
      </c>
      <c r="L173" s="380">
        <f t="shared" si="90"/>
        <v>0</v>
      </c>
      <c r="M173" s="380">
        <f t="shared" si="90"/>
        <v>0</v>
      </c>
      <c r="N173" s="380">
        <f t="shared" si="90"/>
        <v>0</v>
      </c>
      <c r="O173" s="380">
        <f t="shared" si="90"/>
        <v>0</v>
      </c>
      <c r="P173" s="380">
        <f t="shared" si="90"/>
        <v>0</v>
      </c>
      <c r="Q173" s="380">
        <f t="shared" si="90"/>
        <v>0</v>
      </c>
      <c r="R173" s="380">
        <f t="shared" si="90"/>
        <v>0</v>
      </c>
      <c r="S173" s="380">
        <f t="shared" si="90"/>
        <v>0</v>
      </c>
      <c r="T173" s="417">
        <f t="shared" si="88"/>
        <v>0</v>
      </c>
    </row>
    <row r="174" spans="2:20" x14ac:dyDescent="0.2">
      <c r="B174" s="308"/>
      <c r="C174" s="496" t="str">
        <f>"Sales Tax on "&amp;$B22&amp;" Line"</f>
        <v>Sales Tax on Billable Hours Revenue Line</v>
      </c>
      <c r="D174" s="454">
        <v>0.01</v>
      </c>
      <c r="E174" s="453" t="s">
        <v>301</v>
      </c>
      <c r="F174" s="453">
        <v>3</v>
      </c>
      <c r="G174" s="15" t="s">
        <v>303</v>
      </c>
      <c r="H174" s="379">
        <f>IF($E174="n.a.",0,$D174*H$28)</f>
        <v>67.5</v>
      </c>
      <c r="I174" s="380">
        <f>IF($E174="n.a.",0,$D174*I$28+IF(I175=0,H174,0))</f>
        <v>136.80000000000001</v>
      </c>
      <c r="J174" s="380">
        <f t="shared" ref="J174:S174" si="91">IF($E174="n.a.",0,$D174*J$28+IF(J175=0,I174,0))</f>
        <v>71.100000000000009</v>
      </c>
      <c r="K174" s="380">
        <f t="shared" si="91"/>
        <v>144</v>
      </c>
      <c r="L174" s="380">
        <f t="shared" si="91"/>
        <v>218.85000000000002</v>
      </c>
      <c r="M174" s="380">
        <f t="shared" si="91"/>
        <v>295.5</v>
      </c>
      <c r="N174" s="380">
        <f t="shared" si="91"/>
        <v>373.95</v>
      </c>
      <c r="O174" s="380">
        <f t="shared" si="91"/>
        <v>454.2</v>
      </c>
      <c r="P174" s="380">
        <f t="shared" si="91"/>
        <v>536.4</v>
      </c>
      <c r="Q174" s="380">
        <f t="shared" si="91"/>
        <v>620.4</v>
      </c>
      <c r="R174" s="380">
        <f t="shared" si="91"/>
        <v>706.19999999999993</v>
      </c>
      <c r="S174" s="380">
        <f t="shared" si="91"/>
        <v>793.94999999999993</v>
      </c>
      <c r="T174" s="417">
        <f t="shared" si="88"/>
        <v>4418.8500000000004</v>
      </c>
    </row>
    <row r="175" spans="2:20" x14ac:dyDescent="0.2">
      <c r="B175" s="308"/>
      <c r="C175" s="496"/>
      <c r="D175" s="5"/>
      <c r="E175" s="54"/>
      <c r="F175" s="36"/>
      <c r="G175" s="15" t="s">
        <v>293</v>
      </c>
      <c r="H175" s="379">
        <f>IF($E174="Monthly",0,IF($E174="Quarterly",IF(AND($E174="Quarterly",OR(H$118=((RIGHT(LEFT($E$3,6),1)-1)*12)+1,H$118=((RIGHT(LEFT($E$3,6),1)-1)*12)+4,H$118=((RIGHT(LEFT($E$3,6),1)-1)*12)+7,H$118=((RIGHT(LEFT($E$3,6),1)-1)*12)+10)),0,0),IF(AND($E174="Yearly",$F174=H$118),0,0)))</f>
        <v>0</v>
      </c>
      <c r="I175" s="380">
        <f t="shared" ref="I175:S175" si="92">IF($E174="Monthly",H174,IF($E174="Quarterly",IF(AND($E174="Quarterly",OR(I$118=((RIGHT(LEFT($E$3,6),1)-1)*12)+1,I$118=((RIGHT(LEFT($E$3,6),1)-1)*12)+4,I$118=((RIGHT(LEFT($E$3,6),1)-1)*12)+7,I$118=((RIGHT(LEFT($E$3,6),1)-1)*12)+10)),H174,0),IF(AND($E174="Yearly",$F174=I$118),H174,0)))</f>
        <v>0</v>
      </c>
      <c r="J175" s="380">
        <f t="shared" si="92"/>
        <v>136.80000000000001</v>
      </c>
      <c r="K175" s="380">
        <f t="shared" si="92"/>
        <v>0</v>
      </c>
      <c r="L175" s="380">
        <f t="shared" si="92"/>
        <v>0</v>
      </c>
      <c r="M175" s="380">
        <f t="shared" si="92"/>
        <v>0</v>
      </c>
      <c r="N175" s="380">
        <f t="shared" si="92"/>
        <v>0</v>
      </c>
      <c r="O175" s="380">
        <f t="shared" si="92"/>
        <v>0</v>
      </c>
      <c r="P175" s="380">
        <f t="shared" si="92"/>
        <v>0</v>
      </c>
      <c r="Q175" s="380">
        <f t="shared" si="92"/>
        <v>0</v>
      </c>
      <c r="R175" s="380">
        <f t="shared" si="92"/>
        <v>0</v>
      </c>
      <c r="S175" s="380">
        <f t="shared" si="92"/>
        <v>0</v>
      </c>
      <c r="T175" s="417">
        <f t="shared" si="88"/>
        <v>136.80000000000001</v>
      </c>
    </row>
    <row r="176" spans="2:20" x14ac:dyDescent="0.2">
      <c r="B176" s="308"/>
      <c r="C176" s="496" t="str">
        <f>"Sales Tax on "&amp;$B30&amp;" Line"</f>
        <v>Sales Tax on Subscription Revenue Line</v>
      </c>
      <c r="D176" s="454">
        <v>0</v>
      </c>
      <c r="E176" s="453" t="s">
        <v>300</v>
      </c>
      <c r="F176" s="453"/>
      <c r="G176" s="15" t="s">
        <v>303</v>
      </c>
      <c r="H176" s="379">
        <f>IF($E176="n.a.",0,$D176*H$39)</f>
        <v>0</v>
      </c>
      <c r="I176" s="380">
        <f>IF($E176="n.a.",0,$D176*I$39+IF(I177=0,H176,0))</f>
        <v>0</v>
      </c>
      <c r="J176" s="380">
        <f t="shared" ref="J176:S176" si="93">IF($E176="n.a.",0,$D176*J$39+IF(J177=0,I176,0))</f>
        <v>0</v>
      </c>
      <c r="K176" s="380">
        <f t="shared" si="93"/>
        <v>0</v>
      </c>
      <c r="L176" s="380">
        <f t="shared" si="93"/>
        <v>0</v>
      </c>
      <c r="M176" s="380">
        <f t="shared" si="93"/>
        <v>0</v>
      </c>
      <c r="N176" s="380">
        <f t="shared" si="93"/>
        <v>0</v>
      </c>
      <c r="O176" s="380">
        <f t="shared" si="93"/>
        <v>0</v>
      </c>
      <c r="P176" s="380">
        <f t="shared" si="93"/>
        <v>0</v>
      </c>
      <c r="Q176" s="380">
        <f t="shared" si="93"/>
        <v>0</v>
      </c>
      <c r="R176" s="380">
        <f t="shared" si="93"/>
        <v>0</v>
      </c>
      <c r="S176" s="380">
        <f t="shared" si="93"/>
        <v>0</v>
      </c>
      <c r="T176" s="417">
        <f t="shared" si="88"/>
        <v>0</v>
      </c>
    </row>
    <row r="177" spans="2:20" x14ac:dyDescent="0.2">
      <c r="B177" s="308"/>
      <c r="C177" s="496"/>
      <c r="D177" s="5"/>
      <c r="E177" s="54"/>
      <c r="F177" s="36"/>
      <c r="G177" s="15" t="s">
        <v>293</v>
      </c>
      <c r="H177" s="379">
        <f>IF($E176="Monthly",0,IF($E176="Quarterly",IF(AND($E176="Quarterly",OR(H$118=((RIGHT(LEFT($E$3,6),1)-1)*12)+1,H$118=((RIGHT(LEFT($E$3,6),1)-1)*12)+4,H$118=((RIGHT(LEFT($E$3,6),1)-1)*12)+7,H$118=((RIGHT(LEFT($E$3,6),1)-1)*12)+10)),0,0),IF(AND($E176="Yearly",$F176=H$118),0,0)))</f>
        <v>0</v>
      </c>
      <c r="I177" s="380">
        <f t="shared" ref="I177:S177" si="94">IF($E176="Monthly",H176,IF($E176="Quarterly",IF(AND($E176="Quarterly",OR(I$118=((RIGHT(LEFT($E$3,6),1)-1)*12)+1,I$118=((RIGHT(LEFT($E$3,6),1)-1)*12)+4,I$118=((RIGHT(LEFT($E$3,6),1)-1)*12)+7,I$118=((RIGHT(LEFT($E$3,6),1)-1)*12)+10)),H176,0),IF(AND($E176="Yearly",$F176=I$118),H176,0)))</f>
        <v>0</v>
      </c>
      <c r="J177" s="380">
        <f t="shared" si="94"/>
        <v>0</v>
      </c>
      <c r="K177" s="380">
        <f t="shared" si="94"/>
        <v>0</v>
      </c>
      <c r="L177" s="380">
        <f t="shared" si="94"/>
        <v>0</v>
      </c>
      <c r="M177" s="380">
        <f t="shared" si="94"/>
        <v>0</v>
      </c>
      <c r="N177" s="380">
        <f t="shared" si="94"/>
        <v>0</v>
      </c>
      <c r="O177" s="380">
        <f t="shared" si="94"/>
        <v>0</v>
      </c>
      <c r="P177" s="380">
        <f t="shared" si="94"/>
        <v>0</v>
      </c>
      <c r="Q177" s="380">
        <f t="shared" si="94"/>
        <v>0</v>
      </c>
      <c r="R177" s="380">
        <f t="shared" si="94"/>
        <v>0</v>
      </c>
      <c r="S177" s="380">
        <f t="shared" si="94"/>
        <v>0</v>
      </c>
      <c r="T177" s="417">
        <f t="shared" si="88"/>
        <v>0</v>
      </c>
    </row>
    <row r="178" spans="2:20" x14ac:dyDescent="0.2">
      <c r="B178" s="308"/>
      <c r="C178" s="106"/>
      <c r="D178" s="60"/>
      <c r="E178" s="60"/>
      <c r="F178" s="61"/>
      <c r="H178" s="379"/>
      <c r="I178" s="380"/>
      <c r="J178" s="380"/>
      <c r="K178" s="380"/>
      <c r="L178" s="380"/>
      <c r="M178" s="380"/>
      <c r="N178" s="380"/>
      <c r="O178" s="380"/>
      <c r="P178" s="380"/>
      <c r="Q178" s="380"/>
      <c r="R178" s="380"/>
      <c r="S178" s="380"/>
      <c r="T178" s="417"/>
    </row>
    <row r="179" spans="2:20" x14ac:dyDescent="0.2">
      <c r="B179" s="308"/>
      <c r="C179" s="106"/>
      <c r="D179" s="454">
        <v>0.24</v>
      </c>
      <c r="E179" s="453" t="s">
        <v>300</v>
      </c>
      <c r="F179" s="453"/>
      <c r="G179" s="15" t="s">
        <v>303</v>
      </c>
      <c r="H179" s="379">
        <f>IF($E179="n.a.",0,$D179*H$157)</f>
        <v>-5846.6903999999995</v>
      </c>
      <c r="I179" s="380">
        <f t="shared" ref="I179:J179" si="95">IF($E179="n.a.",0,$D179*I$157+IF(I$180=0,H$179,IF(I$180&lt;0,H$179+($D179*I$157),0)))</f>
        <v>-11630.805119999997</v>
      </c>
      <c r="J179" s="380">
        <f t="shared" si="95"/>
        <v>-17488.328479999996</v>
      </c>
      <c r="K179" s="380">
        <f>IF($E179="n.a.",0,$D179*K$157+IF(K$180=0,J$179,IF(K$180&lt;0,J$179+($D179*K$157),0)))</f>
        <v>-23269.937919999997</v>
      </c>
      <c r="L179" s="380">
        <f t="shared" ref="L179:S179" si="96">IF($E179="n.a.",0,$D179*L$157+IF(L$180=0,K$179,IF(L$180&lt;0,K$179+($D179*L$157),0)))</f>
        <v>-28995.062879999998</v>
      </c>
      <c r="M179" s="380">
        <f t="shared" si="96"/>
        <v>-34706.304959999994</v>
      </c>
      <c r="N179" s="380">
        <f t="shared" si="96"/>
        <v>-40343.819999999992</v>
      </c>
      <c r="O179" s="380">
        <f t="shared" si="96"/>
        <v>-45929.446399999993</v>
      </c>
      <c r="P179" s="380">
        <f t="shared" si="96"/>
        <v>-51460.742559999991</v>
      </c>
      <c r="Q179" s="380">
        <f t="shared" si="96"/>
        <v>-56917.787519999991</v>
      </c>
      <c r="R179" s="380">
        <f t="shared" si="96"/>
        <v>-62324.658079999987</v>
      </c>
      <c r="S179" s="380">
        <f t="shared" si="96"/>
        <v>-67655.275839999988</v>
      </c>
      <c r="T179" s="417">
        <f>SUM(H179:S179)</f>
        <v>-446568.86015999992</v>
      </c>
    </row>
    <row r="180" spans="2:20" ht="17" thickBot="1" x14ac:dyDescent="0.25">
      <c r="B180" s="308"/>
      <c r="C180" t="s">
        <v>290</v>
      </c>
      <c r="D180" s="5"/>
      <c r="E180" s="54"/>
      <c r="F180" s="36"/>
      <c r="G180" s="15" t="s">
        <v>293</v>
      </c>
      <c r="H180" s="379">
        <f>IF(H$157&lt;0,0,IF($E179="Monthly",0,IF($E179="Quarterly",IF(AND($E179="Quarterly",OR(H$118=((RIGHT(LEFT($E$3,6),1)-1)*12)+1,H$118=((RIGHT(LEFT($E$3,6),1)-1)*12)+4,H$118=((RIGHT(LEFT($E$3,6),1)-1)*12)+7,H$118=((RIGHT(LEFT($E$3,6),1)-1)*12)+10)),0,0),IF(AND($E179="Yearly",$F179=H$118),0,0))))</f>
        <v>0</v>
      </c>
      <c r="I180" s="380">
        <f t="shared" ref="I180:S180" si="97">IF(I$157&lt;0,0,IF($E179="Monthly",H179,IF($E179="Quarterly",IF(AND($E179="Quarterly",OR(I$118=((RIGHT(LEFT($E$3,6),1)-1)*12)+1,I$118=((RIGHT(LEFT($E$3,6),1)-1)*12)+4,I$118=((RIGHT(LEFT($E$3,6),1)-1)*12)+7,I$118=((RIGHT(LEFT($E$3,6),1)-1)*12)+10)),H179,0),IF(AND($E179="Yearly",$F179=I$118),H179,0))))</f>
        <v>0</v>
      </c>
      <c r="J180" s="380">
        <f t="shared" si="97"/>
        <v>0</v>
      </c>
      <c r="K180" s="380">
        <f t="shared" si="97"/>
        <v>0</v>
      </c>
      <c r="L180" s="380">
        <f t="shared" si="97"/>
        <v>0</v>
      </c>
      <c r="M180" s="380">
        <f t="shared" si="97"/>
        <v>0</v>
      </c>
      <c r="N180" s="380">
        <f t="shared" si="97"/>
        <v>0</v>
      </c>
      <c r="O180" s="380">
        <f t="shared" si="97"/>
        <v>0</v>
      </c>
      <c r="P180" s="380">
        <f t="shared" si="97"/>
        <v>0</v>
      </c>
      <c r="Q180" s="380">
        <f t="shared" si="97"/>
        <v>0</v>
      </c>
      <c r="R180" s="380">
        <f t="shared" si="97"/>
        <v>0</v>
      </c>
      <c r="S180" s="380">
        <f t="shared" si="97"/>
        <v>0</v>
      </c>
      <c r="T180" s="417">
        <f>SUM(H180:S180)</f>
        <v>0</v>
      </c>
    </row>
    <row r="181" spans="2:20" ht="17" thickTop="1" x14ac:dyDescent="0.2">
      <c r="B181" s="418" t="s">
        <v>305</v>
      </c>
      <c r="C181" s="419"/>
      <c r="D181" s="419"/>
      <c r="E181" s="419"/>
      <c r="F181" s="419"/>
      <c r="G181" s="420"/>
      <c r="H181" s="421">
        <f t="shared" ref="H181:S181" si="98">SUM(H171,H173,H175,H177,H180)</f>
        <v>0</v>
      </c>
      <c r="I181" s="422">
        <f t="shared" si="98"/>
        <v>240</v>
      </c>
      <c r="J181" s="422">
        <f t="shared" si="98"/>
        <v>379.20000000000005</v>
      </c>
      <c r="K181" s="422">
        <f t="shared" si="98"/>
        <v>244.8</v>
      </c>
      <c r="L181" s="422">
        <f t="shared" si="98"/>
        <v>249.6</v>
      </c>
      <c r="M181" s="422">
        <f t="shared" si="98"/>
        <v>252</v>
      </c>
      <c r="N181" s="422">
        <f t="shared" si="98"/>
        <v>254.4</v>
      </c>
      <c r="O181" s="422">
        <f t="shared" si="98"/>
        <v>259.2</v>
      </c>
      <c r="P181" s="422">
        <f t="shared" si="98"/>
        <v>261.60000000000002</v>
      </c>
      <c r="Q181" s="422">
        <f t="shared" si="98"/>
        <v>264</v>
      </c>
      <c r="R181" s="422">
        <f t="shared" si="98"/>
        <v>268.8</v>
      </c>
      <c r="S181" s="422">
        <f t="shared" si="98"/>
        <v>271.2</v>
      </c>
      <c r="T181" s="423">
        <f>SUM(H181:S181)</f>
        <v>2944.8</v>
      </c>
    </row>
    <row r="182" spans="2:20" ht="17" thickBot="1" x14ac:dyDescent="0.25">
      <c r="B182" s="431"/>
      <c r="E182" s="8"/>
      <c r="F182" s="8"/>
      <c r="H182" s="382"/>
      <c r="I182" s="383"/>
      <c r="J182" s="383"/>
      <c r="K182" s="383"/>
      <c r="L182" s="383"/>
      <c r="M182" s="383"/>
      <c r="N182" s="383"/>
      <c r="O182" s="383"/>
      <c r="P182" s="383"/>
      <c r="Q182" s="383"/>
      <c r="R182" s="383"/>
      <c r="S182" s="383"/>
      <c r="T182" s="425"/>
    </row>
    <row r="183" spans="2:20" ht="17" thickTop="1" x14ac:dyDescent="0.2">
      <c r="B183" s="434" t="s">
        <v>23</v>
      </c>
      <c r="C183" s="237"/>
      <c r="D183" s="237"/>
      <c r="E183" s="237"/>
      <c r="F183" s="237"/>
      <c r="G183" s="237"/>
      <c r="H183" s="239">
        <f t="shared" ref="H183:S183" si="99">H157-H166-H181</f>
        <v>-24736.21</v>
      </c>
      <c r="I183" s="240">
        <f t="shared" si="99"/>
        <v>-24701.589111111105</v>
      </c>
      <c r="J183" s="240">
        <f t="shared" si="99"/>
        <v>-25132.769555555551</v>
      </c>
      <c r="K183" s="240">
        <f t="shared" si="99"/>
        <v>-24668.172666666662</v>
      </c>
      <c r="L183" s="240">
        <f t="shared" si="99"/>
        <v>-24423.731777777775</v>
      </c>
      <c r="M183" s="240">
        <f t="shared" si="99"/>
        <v>-24354.397555555552</v>
      </c>
      <c r="N183" s="240">
        <f t="shared" si="99"/>
        <v>-24035.71266666667</v>
      </c>
      <c r="O183" s="240">
        <f t="shared" si="99"/>
        <v>-23810.421111111111</v>
      </c>
      <c r="P183" s="240">
        <f t="shared" si="99"/>
        <v>-23572.556222222218</v>
      </c>
      <c r="Q183" s="240">
        <f t="shared" si="99"/>
        <v>-23251.687333333331</v>
      </c>
      <c r="R183" s="240">
        <f t="shared" si="99"/>
        <v>-23033.538444444435</v>
      </c>
      <c r="S183" s="240">
        <f t="shared" si="99"/>
        <v>-22704.329555555556</v>
      </c>
      <c r="T183" s="251">
        <f>SUM(H183:S183)</f>
        <v>-288425.11599999998</v>
      </c>
    </row>
    <row r="184" spans="2:20" x14ac:dyDescent="0.2">
      <c r="E184" s="8"/>
      <c r="F184" s="8"/>
      <c r="H184" s="382"/>
      <c r="I184" s="383"/>
      <c r="J184" s="383"/>
      <c r="K184" s="383"/>
      <c r="L184" s="383"/>
      <c r="M184" s="383"/>
      <c r="N184" s="383"/>
      <c r="O184" s="383"/>
      <c r="P184" s="383"/>
      <c r="Q184" s="383"/>
      <c r="R184" s="383"/>
      <c r="S184" s="383"/>
      <c r="T184" s="395"/>
    </row>
    <row r="185" spans="2:20" ht="20" x14ac:dyDescent="0.2">
      <c r="B185" s="116" t="s">
        <v>35</v>
      </c>
      <c r="C185" s="327"/>
      <c r="D185" s="327"/>
      <c r="E185" s="327" t="str">
        <f>$E$3</f>
        <v>Year 1 (2020)</v>
      </c>
      <c r="F185" s="327"/>
      <c r="G185" s="327"/>
      <c r="H185" s="360" t="s">
        <v>127</v>
      </c>
      <c r="I185" s="361" t="s">
        <v>128</v>
      </c>
      <c r="J185" s="361" t="s">
        <v>129</v>
      </c>
      <c r="K185" s="361" t="s">
        <v>130</v>
      </c>
      <c r="L185" s="361" t="s">
        <v>131</v>
      </c>
      <c r="M185" s="361" t="s">
        <v>132</v>
      </c>
      <c r="N185" s="361" t="s">
        <v>133</v>
      </c>
      <c r="O185" s="361" t="s">
        <v>134</v>
      </c>
      <c r="P185" s="361" t="s">
        <v>135</v>
      </c>
      <c r="Q185" s="361" t="s">
        <v>136</v>
      </c>
      <c r="R185" s="361" t="s">
        <v>137</v>
      </c>
      <c r="S185" s="361" t="s">
        <v>138</v>
      </c>
      <c r="T185" s="362" t="s">
        <v>179</v>
      </c>
    </row>
    <row r="186" spans="2:20" x14ac:dyDescent="0.2">
      <c r="B186" s="401"/>
      <c r="C186" s="402"/>
      <c r="D186" s="402"/>
      <c r="E186" s="402"/>
      <c r="F186" s="402"/>
      <c r="G186" s="403" t="s">
        <v>57</v>
      </c>
      <c r="H186" s="363">
        <f>H$4</f>
        <v>1</v>
      </c>
      <c r="I186" s="364">
        <f t="shared" ref="I186:S186" si="100">I$4</f>
        <v>2</v>
      </c>
      <c r="J186" s="364">
        <f t="shared" si="100"/>
        <v>3</v>
      </c>
      <c r="K186" s="364">
        <f t="shared" si="100"/>
        <v>4</v>
      </c>
      <c r="L186" s="364">
        <f t="shared" si="100"/>
        <v>5</v>
      </c>
      <c r="M186" s="364">
        <f t="shared" si="100"/>
        <v>6</v>
      </c>
      <c r="N186" s="364">
        <f t="shared" si="100"/>
        <v>7</v>
      </c>
      <c r="O186" s="364">
        <f t="shared" si="100"/>
        <v>8</v>
      </c>
      <c r="P186" s="364">
        <f t="shared" si="100"/>
        <v>9</v>
      </c>
      <c r="Q186" s="364">
        <f t="shared" si="100"/>
        <v>10</v>
      </c>
      <c r="R186" s="364">
        <f t="shared" si="100"/>
        <v>11</v>
      </c>
      <c r="S186" s="364">
        <f t="shared" si="100"/>
        <v>12</v>
      </c>
      <c r="T186" s="405" t="str">
        <f>"Total for " &amp; $E$3</f>
        <v>Total for Year 1 (2020)</v>
      </c>
    </row>
    <row r="187" spans="2:20" x14ac:dyDescent="0.2">
      <c r="B187" s="307" t="s">
        <v>289</v>
      </c>
      <c r="D187" s="8" t="s">
        <v>242</v>
      </c>
      <c r="E187" s="52" t="s">
        <v>241</v>
      </c>
      <c r="G187" s="8"/>
      <c r="H187" s="367"/>
      <c r="I187" s="368"/>
      <c r="J187" s="368"/>
      <c r="K187" s="368"/>
      <c r="L187" s="368"/>
      <c r="M187" s="368"/>
      <c r="N187" s="368"/>
      <c r="O187" s="368"/>
      <c r="P187" s="368"/>
      <c r="Q187" s="368"/>
      <c r="R187" s="368"/>
      <c r="S187" s="368"/>
      <c r="T187" s="427"/>
    </row>
    <row r="188" spans="2:20" x14ac:dyDescent="0.2">
      <c r="B188" s="428"/>
      <c r="C188" t="s">
        <v>238</v>
      </c>
      <c r="D188" s="453">
        <v>1</v>
      </c>
      <c r="E188" s="452">
        <v>50000</v>
      </c>
      <c r="G188" s="8"/>
      <c r="H188" s="379">
        <f>IFERROR(INDEX($D188:$F188,MATCH(H$186,$D188,FALSE),2),0)</f>
        <v>50000</v>
      </c>
      <c r="I188" s="380">
        <f t="shared" ref="I188:S188" si="101">IFERROR(INDEX($D188:$F188,MATCH(I$186,$D188,FALSE),2),0)</f>
        <v>0</v>
      </c>
      <c r="J188" s="380">
        <f t="shared" si="101"/>
        <v>0</v>
      </c>
      <c r="K188" s="380">
        <f t="shared" si="101"/>
        <v>0</v>
      </c>
      <c r="L188" s="380">
        <f t="shared" si="101"/>
        <v>0</v>
      </c>
      <c r="M188" s="380">
        <f t="shared" si="101"/>
        <v>0</v>
      </c>
      <c r="N188" s="380">
        <f t="shared" si="101"/>
        <v>0</v>
      </c>
      <c r="O188" s="380">
        <f t="shared" si="101"/>
        <v>0</v>
      </c>
      <c r="P188" s="380">
        <f t="shared" si="101"/>
        <v>0</v>
      </c>
      <c r="Q188" s="380">
        <f t="shared" si="101"/>
        <v>0</v>
      </c>
      <c r="R188" s="380">
        <f t="shared" si="101"/>
        <v>0</v>
      </c>
      <c r="S188" s="380">
        <f t="shared" si="101"/>
        <v>0</v>
      </c>
      <c r="T188" s="417">
        <f>SUM(H188:S188)</f>
        <v>50000</v>
      </c>
    </row>
    <row r="189" spans="2:20" x14ac:dyDescent="0.2">
      <c r="B189" s="428"/>
      <c r="C189" t="s">
        <v>239</v>
      </c>
      <c r="D189" s="453">
        <v>1</v>
      </c>
      <c r="E189" s="452">
        <v>300000</v>
      </c>
      <c r="G189" s="8"/>
      <c r="H189" s="379">
        <f t="shared" ref="H189:S191" si="102">IFERROR(INDEX($D189:$F189,MATCH(H$186,$D189,FALSE),2),0)</f>
        <v>300000</v>
      </c>
      <c r="I189" s="380">
        <f t="shared" si="102"/>
        <v>0</v>
      </c>
      <c r="J189" s="380">
        <f t="shared" si="102"/>
        <v>0</v>
      </c>
      <c r="K189" s="380">
        <f t="shared" si="102"/>
        <v>0</v>
      </c>
      <c r="L189" s="380">
        <f t="shared" si="102"/>
        <v>0</v>
      </c>
      <c r="M189" s="380">
        <f t="shared" si="102"/>
        <v>0</v>
      </c>
      <c r="N189" s="380">
        <f t="shared" si="102"/>
        <v>0</v>
      </c>
      <c r="O189" s="380">
        <f t="shared" si="102"/>
        <v>0</v>
      </c>
      <c r="P189" s="380">
        <f t="shared" si="102"/>
        <v>0</v>
      </c>
      <c r="Q189" s="380">
        <f t="shared" si="102"/>
        <v>0</v>
      </c>
      <c r="R189" s="380">
        <f t="shared" si="102"/>
        <v>0</v>
      </c>
      <c r="S189" s="380">
        <f t="shared" si="102"/>
        <v>0</v>
      </c>
      <c r="T189" s="417">
        <f t="shared" ref="T189:T191" si="103">SUM(H189:S189)</f>
        <v>300000</v>
      </c>
    </row>
    <row r="190" spans="2:20" x14ac:dyDescent="0.2">
      <c r="B190" s="428"/>
      <c r="C190" t="s">
        <v>240</v>
      </c>
      <c r="D190" s="453">
        <v>6</v>
      </c>
      <c r="E190" s="452">
        <v>23000</v>
      </c>
      <c r="G190" s="8"/>
      <c r="H190" s="379">
        <f t="shared" si="102"/>
        <v>0</v>
      </c>
      <c r="I190" s="380">
        <f t="shared" si="102"/>
        <v>0</v>
      </c>
      <c r="J190" s="380">
        <f t="shared" si="102"/>
        <v>0</v>
      </c>
      <c r="K190" s="380">
        <f t="shared" si="102"/>
        <v>0</v>
      </c>
      <c r="L190" s="380">
        <f t="shared" si="102"/>
        <v>0</v>
      </c>
      <c r="M190" s="380">
        <f t="shared" si="102"/>
        <v>23000</v>
      </c>
      <c r="N190" s="380">
        <f t="shared" si="102"/>
        <v>0</v>
      </c>
      <c r="O190" s="380">
        <f t="shared" si="102"/>
        <v>0</v>
      </c>
      <c r="P190" s="380">
        <f t="shared" si="102"/>
        <v>0</v>
      </c>
      <c r="Q190" s="380">
        <f t="shared" si="102"/>
        <v>0</v>
      </c>
      <c r="R190" s="380">
        <f t="shared" si="102"/>
        <v>0</v>
      </c>
      <c r="S190" s="380">
        <f t="shared" si="102"/>
        <v>0</v>
      </c>
      <c r="T190" s="417">
        <f t="shared" si="103"/>
        <v>23000</v>
      </c>
    </row>
    <row r="191" spans="2:20" x14ac:dyDescent="0.2">
      <c r="B191" s="428"/>
      <c r="C191" t="s">
        <v>24</v>
      </c>
      <c r="D191" s="453">
        <v>2</v>
      </c>
      <c r="E191" s="452">
        <v>3000</v>
      </c>
      <c r="G191" s="8"/>
      <c r="H191" s="379">
        <f t="shared" si="102"/>
        <v>0</v>
      </c>
      <c r="I191" s="380">
        <f t="shared" si="102"/>
        <v>3000</v>
      </c>
      <c r="J191" s="380">
        <f t="shared" si="102"/>
        <v>0</v>
      </c>
      <c r="K191" s="380">
        <f t="shared" si="102"/>
        <v>0</v>
      </c>
      <c r="L191" s="380">
        <f t="shared" si="102"/>
        <v>0</v>
      </c>
      <c r="M191" s="380">
        <f t="shared" si="102"/>
        <v>0</v>
      </c>
      <c r="N191" s="380">
        <f t="shared" si="102"/>
        <v>0</v>
      </c>
      <c r="O191" s="380">
        <f t="shared" si="102"/>
        <v>0</v>
      </c>
      <c r="P191" s="380">
        <f t="shared" si="102"/>
        <v>0</v>
      </c>
      <c r="Q191" s="380">
        <f t="shared" si="102"/>
        <v>0</v>
      </c>
      <c r="R191" s="380">
        <f t="shared" si="102"/>
        <v>0</v>
      </c>
      <c r="S191" s="380">
        <f t="shared" si="102"/>
        <v>0</v>
      </c>
      <c r="T191" s="417">
        <f t="shared" si="103"/>
        <v>3000</v>
      </c>
    </row>
    <row r="192" spans="2:20" ht="16" customHeight="1" x14ac:dyDescent="0.2">
      <c r="B192" s="428"/>
      <c r="D192" s="37"/>
      <c r="E192" s="53"/>
      <c r="G192" s="8"/>
      <c r="H192" s="367"/>
      <c r="I192" s="368"/>
      <c r="J192" s="368"/>
      <c r="K192" s="396"/>
      <c r="L192" s="368"/>
      <c r="M192" s="368"/>
      <c r="N192" s="397"/>
      <c r="O192" s="368"/>
      <c r="P192" s="368"/>
      <c r="Q192" s="368"/>
      <c r="R192" s="368"/>
      <c r="S192" s="368"/>
      <c r="T192" s="427"/>
    </row>
    <row r="193" spans="2:20" x14ac:dyDescent="0.2">
      <c r="B193" s="307" t="s">
        <v>288</v>
      </c>
      <c r="D193" s="52" t="s">
        <v>241</v>
      </c>
      <c r="E193" s="8" t="s">
        <v>242</v>
      </c>
      <c r="F193" t="s">
        <v>243</v>
      </c>
      <c r="G193" s="8"/>
      <c r="H193" s="367"/>
      <c r="I193" s="368"/>
      <c r="J193" s="368"/>
      <c r="K193" s="368"/>
      <c r="L193" s="368"/>
      <c r="M193" s="368"/>
      <c r="N193" s="368"/>
      <c r="O193" s="368"/>
      <c r="P193" s="368"/>
      <c r="Q193" s="368"/>
      <c r="R193" s="368"/>
      <c r="S193" s="368"/>
      <c r="T193" s="427"/>
    </row>
    <row r="194" spans="2:20" x14ac:dyDescent="0.2">
      <c r="B194" s="308"/>
      <c r="C194" t="s">
        <v>238</v>
      </c>
      <c r="D194" s="452">
        <v>1200</v>
      </c>
      <c r="E194" s="453">
        <v>1</v>
      </c>
      <c r="F194" s="453">
        <v>7</v>
      </c>
      <c r="H194" s="379">
        <f>IF(H$186=$E194,$D194,IFERROR(IF(INT((H$186-$E194)/$F194)=(H$186-$E194)/$F194,$D194,0),0))</f>
        <v>1200</v>
      </c>
      <c r="I194" s="380">
        <f t="shared" ref="I194:S199" si="104">IF(I$186=$E194,$D194,IFERROR(IF(INT((I$186-$E194)/$F194)=(I$186-$E194)/$F194,$D194,0),0))</f>
        <v>0</v>
      </c>
      <c r="J194" s="380">
        <f t="shared" si="104"/>
        <v>0</v>
      </c>
      <c r="K194" s="380">
        <f t="shared" si="104"/>
        <v>0</v>
      </c>
      <c r="L194" s="380">
        <f t="shared" si="104"/>
        <v>0</v>
      </c>
      <c r="M194" s="380">
        <f t="shared" si="104"/>
        <v>0</v>
      </c>
      <c r="N194" s="380">
        <f t="shared" si="104"/>
        <v>0</v>
      </c>
      <c r="O194" s="380">
        <f t="shared" si="104"/>
        <v>1200</v>
      </c>
      <c r="P194" s="380">
        <f t="shared" si="104"/>
        <v>0</v>
      </c>
      <c r="Q194" s="380">
        <f t="shared" si="104"/>
        <v>0</v>
      </c>
      <c r="R194" s="380">
        <f t="shared" si="104"/>
        <v>0</v>
      </c>
      <c r="S194" s="380">
        <f t="shared" si="104"/>
        <v>0</v>
      </c>
      <c r="T194" s="417">
        <f t="shared" ref="T194:T199" si="105">SUM(H194:S194)</f>
        <v>2400</v>
      </c>
    </row>
    <row r="195" spans="2:20" x14ac:dyDescent="0.2">
      <c r="B195" s="308"/>
      <c r="C195" t="s">
        <v>239</v>
      </c>
      <c r="D195" s="452">
        <v>1000</v>
      </c>
      <c r="E195" s="453">
        <v>3</v>
      </c>
      <c r="F195" s="453">
        <v>5</v>
      </c>
      <c r="H195" s="379">
        <f t="shared" ref="H195:H199" si="106">IF(H$186=$E195,$D195,IFERROR(IF(INT((H$186-$E195)/$F195)=(H$186-$E195)/$F195,$D195,0),0))</f>
        <v>0</v>
      </c>
      <c r="I195" s="380">
        <f t="shared" si="104"/>
        <v>0</v>
      </c>
      <c r="J195" s="380">
        <f t="shared" si="104"/>
        <v>1000</v>
      </c>
      <c r="K195" s="380">
        <f t="shared" si="104"/>
        <v>0</v>
      </c>
      <c r="L195" s="380">
        <f t="shared" si="104"/>
        <v>0</v>
      </c>
      <c r="M195" s="380">
        <f t="shared" si="104"/>
        <v>0</v>
      </c>
      <c r="N195" s="380">
        <f t="shared" si="104"/>
        <v>0</v>
      </c>
      <c r="O195" s="380">
        <f t="shared" si="104"/>
        <v>1000</v>
      </c>
      <c r="P195" s="380">
        <f t="shared" si="104"/>
        <v>0</v>
      </c>
      <c r="Q195" s="380">
        <f t="shared" si="104"/>
        <v>0</v>
      </c>
      <c r="R195" s="380">
        <f t="shared" si="104"/>
        <v>0</v>
      </c>
      <c r="S195" s="380">
        <f t="shared" si="104"/>
        <v>0</v>
      </c>
      <c r="T195" s="417">
        <f t="shared" si="105"/>
        <v>2000</v>
      </c>
    </row>
    <row r="196" spans="2:20" x14ac:dyDescent="0.2">
      <c r="B196" s="308"/>
      <c r="C196" t="s">
        <v>240</v>
      </c>
      <c r="D196" s="452">
        <v>1000</v>
      </c>
      <c r="E196" s="453">
        <v>1</v>
      </c>
      <c r="F196" s="453">
        <v>12</v>
      </c>
      <c r="H196" s="379">
        <f t="shared" si="106"/>
        <v>1000</v>
      </c>
      <c r="I196" s="380">
        <f t="shared" si="104"/>
        <v>0</v>
      </c>
      <c r="J196" s="380">
        <f t="shared" si="104"/>
        <v>0</v>
      </c>
      <c r="K196" s="380">
        <f t="shared" si="104"/>
        <v>0</v>
      </c>
      <c r="L196" s="380">
        <f t="shared" si="104"/>
        <v>0</v>
      </c>
      <c r="M196" s="380">
        <f t="shared" si="104"/>
        <v>0</v>
      </c>
      <c r="N196" s="380">
        <f t="shared" si="104"/>
        <v>0</v>
      </c>
      <c r="O196" s="380">
        <f t="shared" si="104"/>
        <v>0</v>
      </c>
      <c r="P196" s="380">
        <f t="shared" si="104"/>
        <v>0</v>
      </c>
      <c r="Q196" s="380">
        <f t="shared" si="104"/>
        <v>0</v>
      </c>
      <c r="R196" s="380">
        <f t="shared" si="104"/>
        <v>0</v>
      </c>
      <c r="S196" s="380">
        <f t="shared" si="104"/>
        <v>0</v>
      </c>
      <c r="T196" s="417">
        <f t="shared" si="105"/>
        <v>1000</v>
      </c>
    </row>
    <row r="197" spans="2:20" x14ac:dyDescent="0.2">
      <c r="B197" s="308"/>
      <c r="C197" t="s">
        <v>36</v>
      </c>
      <c r="D197" s="452">
        <v>3000</v>
      </c>
      <c r="E197" s="453">
        <v>1</v>
      </c>
      <c r="F197" s="453">
        <v>6</v>
      </c>
      <c r="H197" s="379">
        <f t="shared" si="106"/>
        <v>3000</v>
      </c>
      <c r="I197" s="380">
        <f t="shared" si="104"/>
        <v>0</v>
      </c>
      <c r="J197" s="380">
        <f t="shared" si="104"/>
        <v>0</v>
      </c>
      <c r="K197" s="380">
        <f t="shared" si="104"/>
        <v>0</v>
      </c>
      <c r="L197" s="380">
        <f t="shared" si="104"/>
        <v>0</v>
      </c>
      <c r="M197" s="380">
        <f t="shared" si="104"/>
        <v>0</v>
      </c>
      <c r="N197" s="380">
        <f t="shared" si="104"/>
        <v>3000</v>
      </c>
      <c r="O197" s="380">
        <f t="shared" si="104"/>
        <v>0</v>
      </c>
      <c r="P197" s="380">
        <f t="shared" si="104"/>
        <v>0</v>
      </c>
      <c r="Q197" s="380">
        <f t="shared" si="104"/>
        <v>0</v>
      </c>
      <c r="R197" s="380">
        <f t="shared" si="104"/>
        <v>0</v>
      </c>
      <c r="S197" s="380">
        <f t="shared" si="104"/>
        <v>0</v>
      </c>
      <c r="T197" s="417">
        <f t="shared" si="105"/>
        <v>6000</v>
      </c>
    </row>
    <row r="198" spans="2:20" x14ac:dyDescent="0.2">
      <c r="B198" s="308"/>
      <c r="C198" t="s">
        <v>37</v>
      </c>
      <c r="D198" s="452">
        <v>900</v>
      </c>
      <c r="E198" s="453">
        <v>1</v>
      </c>
      <c r="F198" s="453">
        <v>0</v>
      </c>
      <c r="H198" s="379">
        <f t="shared" si="106"/>
        <v>900</v>
      </c>
      <c r="I198" s="380">
        <f t="shared" si="104"/>
        <v>0</v>
      </c>
      <c r="J198" s="380">
        <f t="shared" si="104"/>
        <v>0</v>
      </c>
      <c r="K198" s="380">
        <f t="shared" si="104"/>
        <v>0</v>
      </c>
      <c r="L198" s="380">
        <f t="shared" si="104"/>
        <v>0</v>
      </c>
      <c r="M198" s="380">
        <f t="shared" si="104"/>
        <v>0</v>
      </c>
      <c r="N198" s="380">
        <f t="shared" si="104"/>
        <v>0</v>
      </c>
      <c r="O198" s="380">
        <f t="shared" si="104"/>
        <v>0</v>
      </c>
      <c r="P198" s="380">
        <f t="shared" si="104"/>
        <v>0</v>
      </c>
      <c r="Q198" s="380">
        <f t="shared" si="104"/>
        <v>0</v>
      </c>
      <c r="R198" s="380">
        <f t="shared" si="104"/>
        <v>0</v>
      </c>
      <c r="S198" s="380">
        <f t="shared" si="104"/>
        <v>0</v>
      </c>
      <c r="T198" s="417">
        <f t="shared" si="105"/>
        <v>900</v>
      </c>
    </row>
    <row r="199" spans="2:20" ht="17" thickBot="1" x14ac:dyDescent="0.25">
      <c r="B199" s="308"/>
      <c r="C199" s="24" t="s">
        <v>38</v>
      </c>
      <c r="D199" s="452">
        <v>15000</v>
      </c>
      <c r="E199" s="453">
        <v>1</v>
      </c>
      <c r="F199" s="453">
        <v>24</v>
      </c>
      <c r="H199" s="379">
        <f t="shared" si="106"/>
        <v>15000</v>
      </c>
      <c r="I199" s="380">
        <f t="shared" si="104"/>
        <v>0</v>
      </c>
      <c r="J199" s="380">
        <f t="shared" si="104"/>
        <v>0</v>
      </c>
      <c r="K199" s="380">
        <f t="shared" si="104"/>
        <v>0</v>
      </c>
      <c r="L199" s="380">
        <f t="shared" si="104"/>
        <v>0</v>
      </c>
      <c r="M199" s="380">
        <f t="shared" si="104"/>
        <v>0</v>
      </c>
      <c r="N199" s="380">
        <f t="shared" si="104"/>
        <v>0</v>
      </c>
      <c r="O199" s="380">
        <f t="shared" si="104"/>
        <v>0</v>
      </c>
      <c r="P199" s="380">
        <f t="shared" si="104"/>
        <v>0</v>
      </c>
      <c r="Q199" s="380">
        <f t="shared" si="104"/>
        <v>0</v>
      </c>
      <c r="R199" s="380">
        <f t="shared" si="104"/>
        <v>0</v>
      </c>
      <c r="S199" s="380">
        <f t="shared" si="104"/>
        <v>0</v>
      </c>
      <c r="T199" s="417">
        <f t="shared" si="105"/>
        <v>15000</v>
      </c>
    </row>
    <row r="200" spans="2:20" ht="17" thickTop="1" x14ac:dyDescent="0.2">
      <c r="B200" s="250" t="s">
        <v>39</v>
      </c>
      <c r="C200" s="237"/>
      <c r="D200" s="237"/>
      <c r="E200" s="237"/>
      <c r="F200" s="237"/>
      <c r="G200" s="237"/>
      <c r="H200" s="239">
        <f>SUM(H188:H199)</f>
        <v>371100</v>
      </c>
      <c r="I200" s="240">
        <f t="shared" ref="I200:S200" si="107">SUM(I188:I199)</f>
        <v>3000</v>
      </c>
      <c r="J200" s="240">
        <f t="shared" si="107"/>
        <v>1000</v>
      </c>
      <c r="K200" s="240">
        <f t="shared" si="107"/>
        <v>0</v>
      </c>
      <c r="L200" s="240">
        <f t="shared" si="107"/>
        <v>0</v>
      </c>
      <c r="M200" s="240">
        <f t="shared" si="107"/>
        <v>23000</v>
      </c>
      <c r="N200" s="240">
        <f t="shared" si="107"/>
        <v>3000</v>
      </c>
      <c r="O200" s="240">
        <f t="shared" si="107"/>
        <v>2200</v>
      </c>
      <c r="P200" s="240">
        <f t="shared" si="107"/>
        <v>0</v>
      </c>
      <c r="Q200" s="240">
        <f t="shared" si="107"/>
        <v>0</v>
      </c>
      <c r="R200" s="240">
        <f t="shared" si="107"/>
        <v>0</v>
      </c>
      <c r="S200" s="240">
        <f t="shared" si="107"/>
        <v>0</v>
      </c>
      <c r="T200" s="251">
        <f>SUM(H200:S200)</f>
        <v>403300</v>
      </c>
    </row>
    <row r="201" spans="2:20" x14ac:dyDescent="0.2">
      <c r="H201" s="367"/>
      <c r="I201" s="368"/>
      <c r="J201" s="368"/>
      <c r="K201" s="368"/>
      <c r="L201" s="368"/>
      <c r="M201" s="368"/>
      <c r="N201" s="368"/>
      <c r="O201" s="368"/>
      <c r="P201" s="368"/>
      <c r="Q201" s="368"/>
      <c r="R201" s="368"/>
      <c r="S201" s="368"/>
      <c r="T201" s="381"/>
    </row>
    <row r="202" spans="2:20" ht="20" x14ac:dyDescent="0.2">
      <c r="B202" s="116" t="s">
        <v>41</v>
      </c>
      <c r="C202" s="327"/>
      <c r="D202" s="327"/>
      <c r="E202" s="327" t="str">
        <f>$E$3</f>
        <v>Year 1 (2020)</v>
      </c>
      <c r="F202" s="327"/>
      <c r="G202" s="327"/>
      <c r="H202" s="360" t="s">
        <v>127</v>
      </c>
      <c r="I202" s="361" t="s">
        <v>128</v>
      </c>
      <c r="J202" s="361" t="s">
        <v>129</v>
      </c>
      <c r="K202" s="361" t="s">
        <v>130</v>
      </c>
      <c r="L202" s="361" t="s">
        <v>131</v>
      </c>
      <c r="M202" s="361" t="s">
        <v>132</v>
      </c>
      <c r="N202" s="361" t="s">
        <v>133</v>
      </c>
      <c r="O202" s="361" t="s">
        <v>134</v>
      </c>
      <c r="P202" s="361" t="s">
        <v>135</v>
      </c>
      <c r="Q202" s="361" t="s">
        <v>136</v>
      </c>
      <c r="R202" s="361" t="s">
        <v>137</v>
      </c>
      <c r="S202" s="361" t="s">
        <v>138</v>
      </c>
      <c r="T202" s="362" t="s">
        <v>179</v>
      </c>
    </row>
    <row r="203" spans="2:20" x14ac:dyDescent="0.2">
      <c r="B203" s="401"/>
      <c r="C203" s="402"/>
      <c r="D203" s="402"/>
      <c r="E203" s="402"/>
      <c r="F203" s="402"/>
      <c r="G203" s="403" t="s">
        <v>57</v>
      </c>
      <c r="H203" s="363">
        <f>H$4</f>
        <v>1</v>
      </c>
      <c r="I203" s="364">
        <f t="shared" ref="I203:S203" si="108">I$4</f>
        <v>2</v>
      </c>
      <c r="J203" s="364">
        <f t="shared" si="108"/>
        <v>3</v>
      </c>
      <c r="K203" s="364">
        <f t="shared" si="108"/>
        <v>4</v>
      </c>
      <c r="L203" s="364">
        <f t="shared" si="108"/>
        <v>5</v>
      </c>
      <c r="M203" s="364">
        <f t="shared" si="108"/>
        <v>6</v>
      </c>
      <c r="N203" s="364">
        <f t="shared" si="108"/>
        <v>7</v>
      </c>
      <c r="O203" s="364">
        <f t="shared" si="108"/>
        <v>8</v>
      </c>
      <c r="P203" s="364">
        <f t="shared" si="108"/>
        <v>9</v>
      </c>
      <c r="Q203" s="364">
        <f t="shared" si="108"/>
        <v>10</v>
      </c>
      <c r="R203" s="364">
        <f t="shared" si="108"/>
        <v>11</v>
      </c>
      <c r="S203" s="364">
        <f t="shared" si="108"/>
        <v>12</v>
      </c>
      <c r="T203" s="405" t="str">
        <f>"Total for " &amp; $E$3</f>
        <v>Total for Year 1 (2020)</v>
      </c>
    </row>
    <row r="204" spans="2:20" x14ac:dyDescent="0.2">
      <c r="B204" s="307" t="s">
        <v>149</v>
      </c>
      <c r="E204" s="24" t="s">
        <v>42</v>
      </c>
      <c r="H204" s="367"/>
      <c r="I204" s="368"/>
      <c r="J204" s="368"/>
      <c r="K204" s="368"/>
      <c r="L204" s="368"/>
      <c r="M204" s="368"/>
      <c r="N204" s="368"/>
      <c r="O204" s="368"/>
      <c r="P204" s="368"/>
      <c r="Q204" s="368"/>
      <c r="R204" s="368"/>
      <c r="S204" s="368"/>
      <c r="T204" s="407"/>
    </row>
    <row r="205" spans="2:20" x14ac:dyDescent="0.2">
      <c r="B205" s="307"/>
      <c r="C205" t="str">
        <f>"Receivable days for "&amp;$B6</f>
        <v>Receivable days for Product Revenue</v>
      </c>
      <c r="E205" s="453">
        <v>30</v>
      </c>
      <c r="H205" s="379">
        <f t="shared" ref="H205:S205" si="109">H$12*$E205/30</f>
        <v>12000</v>
      </c>
      <c r="I205" s="380">
        <f t="shared" si="109"/>
        <v>12120</v>
      </c>
      <c r="J205" s="380">
        <f t="shared" si="109"/>
        <v>12240</v>
      </c>
      <c r="K205" s="380">
        <f t="shared" si="109"/>
        <v>12480</v>
      </c>
      <c r="L205" s="380">
        <f t="shared" si="109"/>
        <v>12600</v>
      </c>
      <c r="M205" s="380">
        <f t="shared" si="109"/>
        <v>12720</v>
      </c>
      <c r="N205" s="380">
        <f t="shared" si="109"/>
        <v>12960</v>
      </c>
      <c r="O205" s="380">
        <f t="shared" si="109"/>
        <v>13080</v>
      </c>
      <c r="P205" s="380">
        <f t="shared" si="109"/>
        <v>13200</v>
      </c>
      <c r="Q205" s="380">
        <f t="shared" si="109"/>
        <v>13440</v>
      </c>
      <c r="R205" s="380">
        <f t="shared" si="109"/>
        <v>13560</v>
      </c>
      <c r="S205" s="380">
        <f t="shared" si="109"/>
        <v>13800</v>
      </c>
      <c r="T205" s="417">
        <f>SUM(H205:S205)</f>
        <v>154200</v>
      </c>
    </row>
    <row r="206" spans="2:20" x14ac:dyDescent="0.2">
      <c r="B206" s="307"/>
      <c r="C206" t="str">
        <f>"Receivable days for "&amp;$B14</f>
        <v>Receivable days for Service Revenue</v>
      </c>
      <c r="E206" s="453">
        <v>0</v>
      </c>
      <c r="H206" s="379">
        <f t="shared" ref="H206:S206" si="110">H$20*$E206/30</f>
        <v>0</v>
      </c>
      <c r="I206" s="380">
        <f t="shared" si="110"/>
        <v>0</v>
      </c>
      <c r="J206" s="380">
        <f t="shared" si="110"/>
        <v>0</v>
      </c>
      <c r="K206" s="380">
        <f t="shared" si="110"/>
        <v>0</v>
      </c>
      <c r="L206" s="380">
        <f t="shared" si="110"/>
        <v>0</v>
      </c>
      <c r="M206" s="380">
        <f t="shared" si="110"/>
        <v>0</v>
      </c>
      <c r="N206" s="380">
        <f t="shared" si="110"/>
        <v>0</v>
      </c>
      <c r="O206" s="380">
        <f t="shared" si="110"/>
        <v>0</v>
      </c>
      <c r="P206" s="380">
        <f t="shared" si="110"/>
        <v>0</v>
      </c>
      <c r="Q206" s="380">
        <f t="shared" si="110"/>
        <v>0</v>
      </c>
      <c r="R206" s="380">
        <f t="shared" si="110"/>
        <v>0</v>
      </c>
      <c r="S206" s="380">
        <f t="shared" si="110"/>
        <v>0</v>
      </c>
      <c r="T206" s="417">
        <f t="shared" ref="T206:T208" si="111">SUM(H206:S206)</f>
        <v>0</v>
      </c>
    </row>
    <row r="207" spans="2:20" x14ac:dyDescent="0.2">
      <c r="B207" s="307"/>
      <c r="C207" t="str">
        <f>"Receivable days for "&amp;$B22</f>
        <v>Receivable days for Billable Hours Revenue</v>
      </c>
      <c r="E207" s="453">
        <v>15</v>
      </c>
      <c r="H207" s="379">
        <f t="shared" ref="H207:S207" si="112">H$28*$E207/30</f>
        <v>3375</v>
      </c>
      <c r="I207" s="380">
        <f t="shared" si="112"/>
        <v>3465</v>
      </c>
      <c r="J207" s="380">
        <f t="shared" si="112"/>
        <v>3555</v>
      </c>
      <c r="K207" s="380">
        <f t="shared" si="112"/>
        <v>3645</v>
      </c>
      <c r="L207" s="380">
        <f t="shared" si="112"/>
        <v>3742.5</v>
      </c>
      <c r="M207" s="380">
        <f t="shared" si="112"/>
        <v>3832.5</v>
      </c>
      <c r="N207" s="380">
        <f t="shared" si="112"/>
        <v>3922.5</v>
      </c>
      <c r="O207" s="380">
        <f t="shared" si="112"/>
        <v>4012.5</v>
      </c>
      <c r="P207" s="380">
        <f t="shared" si="112"/>
        <v>4110</v>
      </c>
      <c r="Q207" s="380">
        <f t="shared" si="112"/>
        <v>4200</v>
      </c>
      <c r="R207" s="380">
        <f t="shared" si="112"/>
        <v>4290</v>
      </c>
      <c r="S207" s="380">
        <f t="shared" si="112"/>
        <v>4387.5</v>
      </c>
      <c r="T207" s="417">
        <f t="shared" si="111"/>
        <v>46537.5</v>
      </c>
    </row>
    <row r="208" spans="2:20" ht="17" thickBot="1" x14ac:dyDescent="0.25">
      <c r="B208" s="308"/>
      <c r="C208" t="str">
        <f>"Receivable days for "&amp;$B30</f>
        <v>Receivable days for Subscription Revenue</v>
      </c>
      <c r="E208" s="453">
        <v>30</v>
      </c>
      <c r="H208" s="379">
        <f t="shared" ref="H208:S208" si="113">H$39*$E208/30</f>
        <v>310</v>
      </c>
      <c r="I208" s="380">
        <f t="shared" si="113"/>
        <v>387</v>
      </c>
      <c r="J208" s="380">
        <f t="shared" si="113"/>
        <v>431</v>
      </c>
      <c r="K208" s="380">
        <f t="shared" si="113"/>
        <v>464</v>
      </c>
      <c r="L208" s="380">
        <f t="shared" si="113"/>
        <v>486</v>
      </c>
      <c r="M208" s="380">
        <f t="shared" si="113"/>
        <v>508</v>
      </c>
      <c r="N208" s="380">
        <f t="shared" si="113"/>
        <v>519</v>
      </c>
      <c r="O208" s="380">
        <f t="shared" si="113"/>
        <v>530</v>
      </c>
      <c r="P208" s="380">
        <f t="shared" si="113"/>
        <v>541</v>
      </c>
      <c r="Q208" s="380">
        <f t="shared" si="113"/>
        <v>541</v>
      </c>
      <c r="R208" s="380">
        <f t="shared" si="113"/>
        <v>541</v>
      </c>
      <c r="S208" s="380">
        <f t="shared" si="113"/>
        <v>541</v>
      </c>
      <c r="T208" s="417">
        <f t="shared" si="111"/>
        <v>5799</v>
      </c>
    </row>
    <row r="209" spans="2:20" ht="17" thickTop="1" x14ac:dyDescent="0.2">
      <c r="B209" s="418" t="s">
        <v>151</v>
      </c>
      <c r="C209" s="419"/>
      <c r="D209" s="419"/>
      <c r="E209" s="419"/>
      <c r="F209" s="419"/>
      <c r="G209" s="420"/>
      <c r="H209" s="421">
        <f>SUM(H205:H208)</f>
        <v>15685</v>
      </c>
      <c r="I209" s="422">
        <f t="shared" ref="I209:S209" si="114">SUM(I205:I208)</f>
        <v>15972</v>
      </c>
      <c r="J209" s="422">
        <f t="shared" si="114"/>
        <v>16226</v>
      </c>
      <c r="K209" s="422">
        <f t="shared" si="114"/>
        <v>16589</v>
      </c>
      <c r="L209" s="422">
        <f t="shared" si="114"/>
        <v>16828.5</v>
      </c>
      <c r="M209" s="422">
        <f t="shared" si="114"/>
        <v>17060.5</v>
      </c>
      <c r="N209" s="422">
        <f t="shared" si="114"/>
        <v>17401.5</v>
      </c>
      <c r="O209" s="422">
        <f t="shared" si="114"/>
        <v>17622.5</v>
      </c>
      <c r="P209" s="422">
        <f t="shared" si="114"/>
        <v>17851</v>
      </c>
      <c r="Q209" s="422">
        <f t="shared" si="114"/>
        <v>18181</v>
      </c>
      <c r="R209" s="422">
        <f t="shared" si="114"/>
        <v>18391</v>
      </c>
      <c r="S209" s="422">
        <f t="shared" si="114"/>
        <v>18728.5</v>
      </c>
      <c r="T209" s="423">
        <f>SUM(H209:S209)</f>
        <v>206536.5</v>
      </c>
    </row>
    <row r="210" spans="2:20" x14ac:dyDescent="0.2">
      <c r="B210" s="308"/>
      <c r="C210" s="40"/>
      <c r="E210" s="44"/>
      <c r="H210" s="379"/>
      <c r="I210" s="380"/>
      <c r="J210" s="380"/>
      <c r="K210" s="380"/>
      <c r="L210" s="380"/>
      <c r="M210" s="380"/>
      <c r="N210" s="380"/>
      <c r="O210" s="380"/>
      <c r="P210" s="380"/>
      <c r="Q210" s="380"/>
      <c r="R210" s="380"/>
      <c r="S210" s="380"/>
      <c r="T210" s="417"/>
    </row>
    <row r="211" spans="2:20" x14ac:dyDescent="0.2">
      <c r="B211" s="307" t="s">
        <v>371</v>
      </c>
      <c r="E211" t="s">
        <v>373</v>
      </c>
      <c r="G211" s="13"/>
      <c r="H211" s="370"/>
      <c r="I211" s="371"/>
      <c r="J211" s="371"/>
      <c r="K211" s="371"/>
      <c r="L211" s="371"/>
      <c r="M211" s="371"/>
      <c r="N211" s="371"/>
      <c r="O211" s="371"/>
      <c r="P211" s="371"/>
      <c r="Q211" s="371"/>
      <c r="R211" s="371"/>
      <c r="S211" s="372"/>
      <c r="T211" s="410"/>
    </row>
    <row r="212" spans="2:20" ht="17" thickBot="1" x14ac:dyDescent="0.25">
      <c r="B212" s="307"/>
      <c r="C212" t="s">
        <v>372</v>
      </c>
      <c r="E212" s="454">
        <v>0.3</v>
      </c>
      <c r="G212" s="13" t="s">
        <v>375</v>
      </c>
      <c r="H212" s="460"/>
      <c r="I212" s="461"/>
      <c r="J212" s="461"/>
      <c r="K212" s="461"/>
      <c r="L212" s="461"/>
      <c r="M212" s="461"/>
      <c r="N212" s="461"/>
      <c r="O212" s="461"/>
      <c r="P212" s="461"/>
      <c r="Q212" s="461"/>
      <c r="R212" s="461"/>
      <c r="S212" s="461"/>
      <c r="T212" s="417" t="str">
        <f>IF(SUM($H$212:$S$212)=0,"",SUM($H$212:$S$212))</f>
        <v/>
      </c>
    </row>
    <row r="213" spans="2:20" ht="17" thickTop="1" x14ac:dyDescent="0.2">
      <c r="B213" s="418" t="s">
        <v>374</v>
      </c>
      <c r="C213" s="419"/>
      <c r="D213" s="419"/>
      <c r="E213" s="419"/>
      <c r="F213" s="419"/>
      <c r="G213" s="420"/>
      <c r="H213" s="421">
        <f>IF(H$212="",$E$212*H$12,"")</f>
        <v>3600</v>
      </c>
      <c r="I213" s="422">
        <f t="shared" ref="I213:S213" si="115">IF(I$212="",$E$212*I$12,"")</f>
        <v>3636</v>
      </c>
      <c r="J213" s="422">
        <f t="shared" si="115"/>
        <v>3672</v>
      </c>
      <c r="K213" s="422">
        <f t="shared" si="115"/>
        <v>3744</v>
      </c>
      <c r="L213" s="422">
        <f t="shared" si="115"/>
        <v>3780</v>
      </c>
      <c r="M213" s="422">
        <f t="shared" si="115"/>
        <v>3816</v>
      </c>
      <c r="N213" s="422">
        <f t="shared" si="115"/>
        <v>3888</v>
      </c>
      <c r="O213" s="422">
        <f t="shared" si="115"/>
        <v>3924</v>
      </c>
      <c r="P213" s="422">
        <f t="shared" si="115"/>
        <v>3960</v>
      </c>
      <c r="Q213" s="422">
        <f t="shared" si="115"/>
        <v>4032</v>
      </c>
      <c r="R213" s="422">
        <f t="shared" si="115"/>
        <v>4068</v>
      </c>
      <c r="S213" s="422">
        <f t="shared" si="115"/>
        <v>4140</v>
      </c>
      <c r="T213" s="423">
        <f>IFERROR(SUM(H213:S213)+T212,SUM(H213:S213))</f>
        <v>46260</v>
      </c>
    </row>
    <row r="214" spans="2:20" x14ac:dyDescent="0.2">
      <c r="B214" s="308"/>
      <c r="C214" s="40"/>
      <c r="E214" s="44"/>
      <c r="H214" s="379"/>
      <c r="I214" s="380"/>
      <c r="J214" s="380"/>
      <c r="K214" s="380"/>
      <c r="L214" s="380"/>
      <c r="M214" s="380"/>
      <c r="N214" s="380"/>
      <c r="O214" s="380"/>
      <c r="P214" s="380"/>
      <c r="Q214" s="380"/>
      <c r="R214" s="380"/>
      <c r="S214" s="380"/>
      <c r="T214" s="417"/>
    </row>
    <row r="215" spans="2:20" x14ac:dyDescent="0.2">
      <c r="B215" s="307" t="s">
        <v>150</v>
      </c>
      <c r="C215" s="40"/>
      <c r="E215" s="24" t="s">
        <v>42</v>
      </c>
      <c r="H215" s="379"/>
      <c r="I215" s="380"/>
      <c r="J215" s="380"/>
      <c r="K215" s="380"/>
      <c r="L215" s="380"/>
      <c r="M215" s="380"/>
      <c r="N215" s="380"/>
      <c r="O215" s="380"/>
      <c r="P215" s="380"/>
      <c r="Q215" s="380"/>
      <c r="R215" s="380"/>
      <c r="S215" s="380"/>
      <c r="T215" s="417"/>
    </row>
    <row r="216" spans="2:20" x14ac:dyDescent="0.2">
      <c r="B216" s="307"/>
      <c r="C216" t="str">
        <f>"Payable Days for "&amp;$C56</f>
        <v>Payable Days for Commission on Product Revenue</v>
      </c>
      <c r="E216" s="453">
        <v>14</v>
      </c>
      <c r="H216" s="379">
        <f t="shared" ref="H216:S216" si="116">H56*$E216/30</f>
        <v>168</v>
      </c>
      <c r="I216" s="380">
        <f t="shared" si="116"/>
        <v>169.67999999999998</v>
      </c>
      <c r="J216" s="380">
        <f t="shared" si="116"/>
        <v>171.36</v>
      </c>
      <c r="K216" s="380">
        <f t="shared" si="116"/>
        <v>174.71999999999997</v>
      </c>
      <c r="L216" s="380">
        <f t="shared" si="116"/>
        <v>176.4</v>
      </c>
      <c r="M216" s="380">
        <f t="shared" si="116"/>
        <v>178.07999999999998</v>
      </c>
      <c r="N216" s="380">
        <f t="shared" si="116"/>
        <v>181.44</v>
      </c>
      <c r="O216" s="380">
        <f t="shared" si="116"/>
        <v>183.11999999999998</v>
      </c>
      <c r="P216" s="380">
        <f t="shared" si="116"/>
        <v>184.8</v>
      </c>
      <c r="Q216" s="380">
        <f t="shared" si="116"/>
        <v>188.16</v>
      </c>
      <c r="R216" s="380">
        <f t="shared" si="116"/>
        <v>189.84</v>
      </c>
      <c r="S216" s="380">
        <f t="shared" si="116"/>
        <v>193.2</v>
      </c>
      <c r="T216" s="417">
        <f t="shared" ref="T216:T219" si="117">SUM(H216:S216)</f>
        <v>2158.7999999999997</v>
      </c>
    </row>
    <row r="217" spans="2:20" x14ac:dyDescent="0.2">
      <c r="B217" s="307"/>
      <c r="C217" t="str">
        <f>"Payable Days for "&amp;$C57</f>
        <v>Payable Days for Commission on Service Revenue</v>
      </c>
      <c r="E217" s="453">
        <v>14</v>
      </c>
      <c r="H217" s="379">
        <f t="shared" ref="H217:S217" si="118">H57*$E217/30</f>
        <v>1.8666666666666667</v>
      </c>
      <c r="I217" s="380">
        <f t="shared" si="118"/>
        <v>1.8666666666666667</v>
      </c>
      <c r="J217" s="380">
        <f t="shared" si="118"/>
        <v>1.9600000000000002</v>
      </c>
      <c r="K217" s="380">
        <f t="shared" si="118"/>
        <v>2.0533333333333337</v>
      </c>
      <c r="L217" s="380">
        <f t="shared" si="118"/>
        <v>2.1466666666666669</v>
      </c>
      <c r="M217" s="380">
        <f t="shared" si="118"/>
        <v>2.2400000000000002</v>
      </c>
      <c r="N217" s="380">
        <f t="shared" si="118"/>
        <v>2.2400000000000002</v>
      </c>
      <c r="O217" s="380">
        <f t="shared" si="118"/>
        <v>2.3333333333333335</v>
      </c>
      <c r="P217" s="380">
        <f t="shared" si="118"/>
        <v>2.4266666666666667</v>
      </c>
      <c r="Q217" s="380">
        <f t="shared" si="118"/>
        <v>2.5200000000000005</v>
      </c>
      <c r="R217" s="380">
        <f t="shared" si="118"/>
        <v>2.6133333333333337</v>
      </c>
      <c r="S217" s="380">
        <f t="shared" si="118"/>
        <v>2.7066666666666666</v>
      </c>
      <c r="T217" s="417">
        <f t="shared" si="117"/>
        <v>26.973333333333333</v>
      </c>
    </row>
    <row r="218" spans="2:20" x14ac:dyDescent="0.2">
      <c r="B218" s="307"/>
      <c r="C218" t="str">
        <f>"Payable Days for "&amp;$C58</f>
        <v>Payable Days for Commission on Billable Hours Revenue</v>
      </c>
      <c r="E218" s="453">
        <v>14</v>
      </c>
      <c r="H218" s="379">
        <f t="shared" ref="H218:S218" si="119">H58*$E218/30</f>
        <v>31.5</v>
      </c>
      <c r="I218" s="380">
        <f t="shared" si="119"/>
        <v>32.339999999999996</v>
      </c>
      <c r="J218" s="380">
        <f t="shared" si="119"/>
        <v>33.18</v>
      </c>
      <c r="K218" s="380">
        <f t="shared" si="119"/>
        <v>34.020000000000003</v>
      </c>
      <c r="L218" s="380">
        <f t="shared" si="119"/>
        <v>34.93</v>
      </c>
      <c r="M218" s="380">
        <f t="shared" si="119"/>
        <v>35.770000000000003</v>
      </c>
      <c r="N218" s="380">
        <f t="shared" si="119"/>
        <v>36.61</v>
      </c>
      <c r="O218" s="380">
        <f t="shared" si="119"/>
        <v>37.450000000000003</v>
      </c>
      <c r="P218" s="380">
        <f t="shared" si="119"/>
        <v>38.36</v>
      </c>
      <c r="Q218" s="380">
        <f t="shared" si="119"/>
        <v>39.200000000000003</v>
      </c>
      <c r="R218" s="380">
        <f t="shared" si="119"/>
        <v>40.04</v>
      </c>
      <c r="S218" s="380">
        <f t="shared" si="119"/>
        <v>40.950000000000003</v>
      </c>
      <c r="T218" s="417">
        <f t="shared" si="117"/>
        <v>434.35</v>
      </c>
    </row>
    <row r="219" spans="2:20" x14ac:dyDescent="0.2">
      <c r="B219" s="307"/>
      <c r="C219" t="str">
        <f>"Payable Days for "&amp;$C59</f>
        <v>Payable Days for Commission on Subscription Revenue</v>
      </c>
      <c r="E219" s="453">
        <v>14</v>
      </c>
      <c r="H219" s="379">
        <f t="shared" ref="H219:S219" si="120">H59*$E219/30</f>
        <v>5.7866666666666662</v>
      </c>
      <c r="I219" s="380">
        <f t="shared" si="120"/>
        <v>7.2240000000000002</v>
      </c>
      <c r="J219" s="380">
        <f t="shared" si="120"/>
        <v>8.0453333333333337</v>
      </c>
      <c r="K219" s="380">
        <f t="shared" si="120"/>
        <v>8.6613333333333333</v>
      </c>
      <c r="L219" s="380">
        <f t="shared" si="120"/>
        <v>9.072000000000001</v>
      </c>
      <c r="M219" s="380">
        <f t="shared" si="120"/>
        <v>9.4826666666666668</v>
      </c>
      <c r="N219" s="380">
        <f t="shared" si="120"/>
        <v>9.6880000000000006</v>
      </c>
      <c r="O219" s="380">
        <f t="shared" si="120"/>
        <v>9.8933333333333344</v>
      </c>
      <c r="P219" s="380">
        <f t="shared" si="120"/>
        <v>10.098666666666668</v>
      </c>
      <c r="Q219" s="380">
        <f t="shared" si="120"/>
        <v>10.098666666666668</v>
      </c>
      <c r="R219" s="380">
        <f t="shared" si="120"/>
        <v>10.098666666666668</v>
      </c>
      <c r="S219" s="380">
        <f t="shared" si="120"/>
        <v>10.098666666666668</v>
      </c>
      <c r="T219" s="417">
        <f t="shared" si="117"/>
        <v>108.24800000000003</v>
      </c>
    </row>
    <row r="220" spans="2:20" x14ac:dyDescent="0.2">
      <c r="B220" s="308"/>
      <c r="C220" t="str">
        <f>"Payable Days for "&amp;$C70</f>
        <v>Payable Days for S&amp;M Expenses for Product Revenue Line</v>
      </c>
      <c r="E220" s="453">
        <v>30</v>
      </c>
      <c r="H220" s="379">
        <f t="shared" ref="H220:S220" si="121">H70*$E220/30</f>
        <v>0</v>
      </c>
      <c r="I220" s="380">
        <f t="shared" si="121"/>
        <v>0</v>
      </c>
      <c r="J220" s="380">
        <f t="shared" si="121"/>
        <v>0</v>
      </c>
      <c r="K220" s="380">
        <f t="shared" si="121"/>
        <v>0</v>
      </c>
      <c r="L220" s="380">
        <f t="shared" si="121"/>
        <v>0</v>
      </c>
      <c r="M220" s="380">
        <f t="shared" si="121"/>
        <v>300</v>
      </c>
      <c r="N220" s="380">
        <f t="shared" si="121"/>
        <v>300</v>
      </c>
      <c r="O220" s="380">
        <f t="shared" si="121"/>
        <v>300</v>
      </c>
      <c r="P220" s="380">
        <f t="shared" si="121"/>
        <v>300</v>
      </c>
      <c r="Q220" s="380">
        <f t="shared" si="121"/>
        <v>300</v>
      </c>
      <c r="R220" s="380">
        <f t="shared" si="121"/>
        <v>300</v>
      </c>
      <c r="S220" s="380">
        <f t="shared" si="121"/>
        <v>300</v>
      </c>
      <c r="T220" s="417">
        <f>SUM(H220:S220)</f>
        <v>2100</v>
      </c>
    </row>
    <row r="221" spans="2:20" x14ac:dyDescent="0.2">
      <c r="B221" s="308"/>
      <c r="C221" t="str">
        <f>"Payable Days for "&amp;$C71</f>
        <v>Payable Days for S&amp;M Expenses for Service Revenue Line</v>
      </c>
      <c r="E221" s="453">
        <v>30</v>
      </c>
      <c r="H221" s="379">
        <f t="shared" ref="H221:S221" si="122">H71*$E221/30</f>
        <v>0</v>
      </c>
      <c r="I221" s="380">
        <f t="shared" si="122"/>
        <v>0</v>
      </c>
      <c r="J221" s="380">
        <f t="shared" si="122"/>
        <v>150</v>
      </c>
      <c r="K221" s="380">
        <f t="shared" si="122"/>
        <v>150</v>
      </c>
      <c r="L221" s="380">
        <f t="shared" si="122"/>
        <v>150</v>
      </c>
      <c r="M221" s="380">
        <f t="shared" si="122"/>
        <v>0</v>
      </c>
      <c r="N221" s="380">
        <f t="shared" si="122"/>
        <v>0</v>
      </c>
      <c r="O221" s="380">
        <f t="shared" si="122"/>
        <v>0</v>
      </c>
      <c r="P221" s="380">
        <f t="shared" si="122"/>
        <v>0</v>
      </c>
      <c r="Q221" s="380">
        <f t="shared" si="122"/>
        <v>0</v>
      </c>
      <c r="R221" s="380">
        <f t="shared" si="122"/>
        <v>0</v>
      </c>
      <c r="S221" s="380">
        <f t="shared" si="122"/>
        <v>0</v>
      </c>
      <c r="T221" s="417">
        <f t="shared" ref="T221:T245" si="123">SUM(H221:S221)</f>
        <v>450</v>
      </c>
    </row>
    <row r="222" spans="2:20" x14ac:dyDescent="0.2">
      <c r="B222" s="308"/>
      <c r="C222" t="str">
        <f>"Payable Days for "&amp;$C72</f>
        <v>Payable Days for S&amp;M Expenses for Billable Hours Revenue Line</v>
      </c>
      <c r="E222" s="453">
        <v>0</v>
      </c>
      <c r="H222" s="379">
        <f t="shared" ref="H222:S222" si="124">H72*$E222/30</f>
        <v>0</v>
      </c>
      <c r="I222" s="380">
        <f t="shared" si="124"/>
        <v>0</v>
      </c>
      <c r="J222" s="380">
        <f t="shared" si="124"/>
        <v>0</v>
      </c>
      <c r="K222" s="380">
        <f t="shared" si="124"/>
        <v>0</v>
      </c>
      <c r="L222" s="380">
        <f t="shared" si="124"/>
        <v>0</v>
      </c>
      <c r="M222" s="380">
        <f t="shared" si="124"/>
        <v>0</v>
      </c>
      <c r="N222" s="380">
        <f t="shared" si="124"/>
        <v>0</v>
      </c>
      <c r="O222" s="380">
        <f t="shared" si="124"/>
        <v>0</v>
      </c>
      <c r="P222" s="380">
        <f t="shared" si="124"/>
        <v>0</v>
      </c>
      <c r="Q222" s="380">
        <f t="shared" si="124"/>
        <v>0</v>
      </c>
      <c r="R222" s="380">
        <f t="shared" si="124"/>
        <v>0</v>
      </c>
      <c r="S222" s="380">
        <f t="shared" si="124"/>
        <v>0</v>
      </c>
      <c r="T222" s="417">
        <f t="shared" si="123"/>
        <v>0</v>
      </c>
    </row>
    <row r="223" spans="2:20" x14ac:dyDescent="0.2">
      <c r="B223" s="308"/>
      <c r="C223" t="str">
        <f>"Payable Days for "&amp;$C73</f>
        <v>Payable Days for S&amp;M Expenses for Subscription Revenue Line</v>
      </c>
      <c r="E223" s="453">
        <v>14</v>
      </c>
      <c r="H223" s="379">
        <f t="shared" ref="H223:S223" si="125">H73*$E223/30</f>
        <v>0</v>
      </c>
      <c r="I223" s="380">
        <f t="shared" si="125"/>
        <v>0</v>
      </c>
      <c r="J223" s="380">
        <f t="shared" si="125"/>
        <v>186.66666666666666</v>
      </c>
      <c r="K223" s="380">
        <f t="shared" si="125"/>
        <v>186.66666666666666</v>
      </c>
      <c r="L223" s="380">
        <f t="shared" si="125"/>
        <v>186.66666666666666</v>
      </c>
      <c r="M223" s="380">
        <f t="shared" si="125"/>
        <v>186.66666666666666</v>
      </c>
      <c r="N223" s="380">
        <f t="shared" si="125"/>
        <v>186.66666666666666</v>
      </c>
      <c r="O223" s="380">
        <f t="shared" si="125"/>
        <v>186.66666666666666</v>
      </c>
      <c r="P223" s="380">
        <f t="shared" si="125"/>
        <v>186.66666666666666</v>
      </c>
      <c r="Q223" s="380">
        <f t="shared" si="125"/>
        <v>186.66666666666666</v>
      </c>
      <c r="R223" s="380">
        <f t="shared" si="125"/>
        <v>186.66666666666666</v>
      </c>
      <c r="S223" s="380">
        <f t="shared" si="125"/>
        <v>186.66666666666666</v>
      </c>
      <c r="T223" s="417">
        <f t="shared" si="123"/>
        <v>1866.666666666667</v>
      </c>
    </row>
    <row r="224" spans="2:20" x14ac:dyDescent="0.2">
      <c r="B224" s="308"/>
      <c r="C224" t="str">
        <f t="shared" ref="C224:C242" si="126">"Payable Days for "&amp;$C121</f>
        <v>Payable Days for Advertising Campaigns</v>
      </c>
      <c r="E224" s="453">
        <v>12</v>
      </c>
      <c r="H224" s="379">
        <f t="shared" ref="H224:S224" si="127">H121*$E224/30</f>
        <v>200</v>
      </c>
      <c r="I224" s="380">
        <f t="shared" si="127"/>
        <v>200</v>
      </c>
      <c r="J224" s="380">
        <f t="shared" si="127"/>
        <v>200</v>
      </c>
      <c r="K224" s="380">
        <f t="shared" si="127"/>
        <v>200</v>
      </c>
      <c r="L224" s="380">
        <f t="shared" si="127"/>
        <v>200</v>
      </c>
      <c r="M224" s="380">
        <f t="shared" si="127"/>
        <v>200</v>
      </c>
      <c r="N224" s="380">
        <f t="shared" si="127"/>
        <v>200</v>
      </c>
      <c r="O224" s="380">
        <f t="shared" si="127"/>
        <v>200</v>
      </c>
      <c r="P224" s="380">
        <f t="shared" si="127"/>
        <v>200</v>
      </c>
      <c r="Q224" s="380">
        <f t="shared" si="127"/>
        <v>200</v>
      </c>
      <c r="R224" s="380">
        <f t="shared" si="127"/>
        <v>200</v>
      </c>
      <c r="S224" s="380">
        <f t="shared" si="127"/>
        <v>200</v>
      </c>
      <c r="T224" s="417">
        <f t="shared" si="123"/>
        <v>2400</v>
      </c>
    </row>
    <row r="225" spans="2:20" x14ac:dyDescent="0.2">
      <c r="B225" s="308"/>
      <c r="C225" t="str">
        <f t="shared" si="126"/>
        <v>Payable Days for Car and Truck Expenses</v>
      </c>
      <c r="E225" s="453">
        <v>12</v>
      </c>
      <c r="H225" s="379">
        <f t="shared" ref="H225:S225" si="128">H122*$E225/30</f>
        <v>240</v>
      </c>
      <c r="I225" s="380">
        <f t="shared" si="128"/>
        <v>240</v>
      </c>
      <c r="J225" s="380">
        <f t="shared" si="128"/>
        <v>240</v>
      </c>
      <c r="K225" s="380">
        <f t="shared" si="128"/>
        <v>240</v>
      </c>
      <c r="L225" s="380">
        <f t="shared" si="128"/>
        <v>240</v>
      </c>
      <c r="M225" s="380">
        <f t="shared" si="128"/>
        <v>240</v>
      </c>
      <c r="N225" s="380">
        <f t="shared" si="128"/>
        <v>240</v>
      </c>
      <c r="O225" s="380">
        <f t="shared" si="128"/>
        <v>240</v>
      </c>
      <c r="P225" s="380">
        <f t="shared" si="128"/>
        <v>240</v>
      </c>
      <c r="Q225" s="380">
        <f t="shared" si="128"/>
        <v>240</v>
      </c>
      <c r="R225" s="380">
        <f t="shared" si="128"/>
        <v>240</v>
      </c>
      <c r="S225" s="380">
        <f t="shared" si="128"/>
        <v>240</v>
      </c>
      <c r="T225" s="417">
        <f t="shared" si="123"/>
        <v>2880</v>
      </c>
    </row>
    <row r="226" spans="2:20" x14ac:dyDescent="0.2">
      <c r="B226" s="308"/>
      <c r="C226" t="str">
        <f t="shared" si="126"/>
        <v>Payable Days for Bank &amp; Merchant Fees</v>
      </c>
      <c r="E226" s="453">
        <v>12</v>
      </c>
      <c r="H226" s="379">
        <f t="shared" ref="H226:S226" si="129">H123*$E226/30</f>
        <v>0</v>
      </c>
      <c r="I226" s="380">
        <f t="shared" si="129"/>
        <v>0</v>
      </c>
      <c r="J226" s="380">
        <f t="shared" si="129"/>
        <v>0</v>
      </c>
      <c r="K226" s="380">
        <f t="shared" si="129"/>
        <v>0</v>
      </c>
      <c r="L226" s="380">
        <f t="shared" si="129"/>
        <v>0</v>
      </c>
      <c r="M226" s="380">
        <f t="shared" si="129"/>
        <v>0</v>
      </c>
      <c r="N226" s="380">
        <f t="shared" si="129"/>
        <v>0</v>
      </c>
      <c r="O226" s="380">
        <f t="shared" si="129"/>
        <v>0</v>
      </c>
      <c r="P226" s="380">
        <f t="shared" si="129"/>
        <v>0</v>
      </c>
      <c r="Q226" s="380">
        <f t="shared" si="129"/>
        <v>0</v>
      </c>
      <c r="R226" s="380">
        <f t="shared" si="129"/>
        <v>0</v>
      </c>
      <c r="S226" s="380">
        <f t="shared" si="129"/>
        <v>0</v>
      </c>
      <c r="T226" s="417">
        <f t="shared" si="123"/>
        <v>0</v>
      </c>
    </row>
    <row r="227" spans="2:20" x14ac:dyDescent="0.2">
      <c r="B227" s="308"/>
      <c r="C227" t="str">
        <f t="shared" si="126"/>
        <v>Payable Days for Conferences &amp; Seminars</v>
      </c>
      <c r="E227" s="453">
        <v>12</v>
      </c>
      <c r="H227" s="379">
        <f t="shared" ref="H227:S227" si="130">H124*$E227/30</f>
        <v>0</v>
      </c>
      <c r="I227" s="380">
        <f t="shared" si="130"/>
        <v>0</v>
      </c>
      <c r="J227" s="380">
        <f t="shared" si="130"/>
        <v>0</v>
      </c>
      <c r="K227" s="380">
        <f t="shared" si="130"/>
        <v>0</v>
      </c>
      <c r="L227" s="380">
        <f t="shared" si="130"/>
        <v>0</v>
      </c>
      <c r="M227" s="380">
        <f t="shared" si="130"/>
        <v>0</v>
      </c>
      <c r="N227" s="380">
        <f t="shared" si="130"/>
        <v>0</v>
      </c>
      <c r="O227" s="380">
        <f t="shared" si="130"/>
        <v>0</v>
      </c>
      <c r="P227" s="380">
        <f t="shared" si="130"/>
        <v>0</v>
      </c>
      <c r="Q227" s="380">
        <f t="shared" si="130"/>
        <v>0</v>
      </c>
      <c r="R227" s="380">
        <f t="shared" si="130"/>
        <v>0</v>
      </c>
      <c r="S227" s="380">
        <f t="shared" si="130"/>
        <v>0</v>
      </c>
      <c r="T227" s="417">
        <f t="shared" si="123"/>
        <v>0</v>
      </c>
    </row>
    <row r="228" spans="2:20" x14ac:dyDescent="0.2">
      <c r="B228" s="308"/>
      <c r="C228" t="str">
        <f t="shared" si="126"/>
        <v>Payable Days for Dues and Subscriptions</v>
      </c>
      <c r="E228" s="453">
        <v>12</v>
      </c>
      <c r="H228" s="379">
        <f t="shared" ref="H228:S228" si="131">H125*$E228/30</f>
        <v>80</v>
      </c>
      <c r="I228" s="380">
        <f t="shared" si="131"/>
        <v>80</v>
      </c>
      <c r="J228" s="380">
        <f t="shared" si="131"/>
        <v>80</v>
      </c>
      <c r="K228" s="380">
        <f t="shared" si="131"/>
        <v>80</v>
      </c>
      <c r="L228" s="380">
        <f t="shared" si="131"/>
        <v>80</v>
      </c>
      <c r="M228" s="380">
        <f t="shared" si="131"/>
        <v>80</v>
      </c>
      <c r="N228" s="380">
        <f t="shared" si="131"/>
        <v>80</v>
      </c>
      <c r="O228" s="380">
        <f t="shared" si="131"/>
        <v>80</v>
      </c>
      <c r="P228" s="380">
        <f t="shared" si="131"/>
        <v>80</v>
      </c>
      <c r="Q228" s="380">
        <f t="shared" si="131"/>
        <v>80</v>
      </c>
      <c r="R228" s="380">
        <f t="shared" si="131"/>
        <v>80</v>
      </c>
      <c r="S228" s="380">
        <f t="shared" si="131"/>
        <v>80</v>
      </c>
      <c r="T228" s="417">
        <f t="shared" si="123"/>
        <v>960</v>
      </c>
    </row>
    <row r="229" spans="2:20" x14ac:dyDescent="0.2">
      <c r="B229" s="308"/>
      <c r="C229" t="str">
        <f t="shared" si="126"/>
        <v>Payable Days for Miscellaneous</v>
      </c>
      <c r="E229" s="453">
        <v>12</v>
      </c>
      <c r="H229" s="379">
        <f t="shared" ref="H229:S229" si="132">H126*$E229/30</f>
        <v>0</v>
      </c>
      <c r="I229" s="380">
        <f t="shared" si="132"/>
        <v>0</v>
      </c>
      <c r="J229" s="380">
        <f t="shared" si="132"/>
        <v>0</v>
      </c>
      <c r="K229" s="380">
        <f t="shared" si="132"/>
        <v>0</v>
      </c>
      <c r="L229" s="380">
        <f t="shared" si="132"/>
        <v>0</v>
      </c>
      <c r="M229" s="380">
        <f t="shared" si="132"/>
        <v>0</v>
      </c>
      <c r="N229" s="380">
        <f t="shared" si="132"/>
        <v>0</v>
      </c>
      <c r="O229" s="380">
        <f t="shared" si="132"/>
        <v>0</v>
      </c>
      <c r="P229" s="380">
        <f t="shared" si="132"/>
        <v>0</v>
      </c>
      <c r="Q229" s="380">
        <f t="shared" si="132"/>
        <v>0</v>
      </c>
      <c r="R229" s="380">
        <f t="shared" si="132"/>
        <v>0</v>
      </c>
      <c r="S229" s="380">
        <f t="shared" si="132"/>
        <v>0</v>
      </c>
      <c r="T229" s="417">
        <f t="shared" si="123"/>
        <v>0</v>
      </c>
    </row>
    <row r="230" spans="2:20" x14ac:dyDescent="0.2">
      <c r="B230" s="308"/>
      <c r="C230" t="str">
        <f t="shared" si="126"/>
        <v>Payable Days for Insurance (Liability and Property)</v>
      </c>
      <c r="E230" s="453">
        <v>12</v>
      </c>
      <c r="H230" s="379">
        <f t="shared" ref="H230:S230" si="133">H127*$E230/30</f>
        <v>0</v>
      </c>
      <c r="I230" s="380">
        <f t="shared" si="133"/>
        <v>0</v>
      </c>
      <c r="J230" s="380">
        <f t="shared" si="133"/>
        <v>0</v>
      </c>
      <c r="K230" s="380">
        <f t="shared" si="133"/>
        <v>0</v>
      </c>
      <c r="L230" s="380">
        <f t="shared" si="133"/>
        <v>0</v>
      </c>
      <c r="M230" s="380">
        <f t="shared" si="133"/>
        <v>0</v>
      </c>
      <c r="N230" s="380">
        <f t="shared" si="133"/>
        <v>0</v>
      </c>
      <c r="O230" s="380">
        <f t="shared" si="133"/>
        <v>0</v>
      </c>
      <c r="P230" s="380">
        <f t="shared" si="133"/>
        <v>0</v>
      </c>
      <c r="Q230" s="380">
        <f t="shared" si="133"/>
        <v>0</v>
      </c>
      <c r="R230" s="380">
        <f t="shared" si="133"/>
        <v>0</v>
      </c>
      <c r="S230" s="380">
        <f t="shared" si="133"/>
        <v>0</v>
      </c>
      <c r="T230" s="417">
        <f t="shared" si="123"/>
        <v>0</v>
      </c>
    </row>
    <row r="231" spans="2:20" x14ac:dyDescent="0.2">
      <c r="B231" s="308"/>
      <c r="C231" t="str">
        <f t="shared" si="126"/>
        <v>Payable Days for Licenses/Fees/Permits</v>
      </c>
      <c r="E231" s="453">
        <v>12</v>
      </c>
      <c r="H231" s="379">
        <f t="shared" ref="H231:S231" si="134">H128*$E231/30</f>
        <v>0</v>
      </c>
      <c r="I231" s="380">
        <f t="shared" si="134"/>
        <v>0</v>
      </c>
      <c r="J231" s="380">
        <f t="shared" si="134"/>
        <v>0</v>
      </c>
      <c r="K231" s="380">
        <f t="shared" si="134"/>
        <v>0</v>
      </c>
      <c r="L231" s="380">
        <f t="shared" si="134"/>
        <v>0</v>
      </c>
      <c r="M231" s="380">
        <f t="shared" si="134"/>
        <v>0</v>
      </c>
      <c r="N231" s="380">
        <f t="shared" si="134"/>
        <v>0</v>
      </c>
      <c r="O231" s="380">
        <f t="shared" si="134"/>
        <v>0</v>
      </c>
      <c r="P231" s="380">
        <f t="shared" si="134"/>
        <v>0</v>
      </c>
      <c r="Q231" s="380">
        <f t="shared" si="134"/>
        <v>0</v>
      </c>
      <c r="R231" s="380">
        <f t="shared" si="134"/>
        <v>0</v>
      </c>
      <c r="S231" s="380">
        <f t="shared" si="134"/>
        <v>0</v>
      </c>
      <c r="T231" s="417">
        <f t="shared" si="123"/>
        <v>0</v>
      </c>
    </row>
    <row r="232" spans="2:20" x14ac:dyDescent="0.2">
      <c r="B232" s="308"/>
      <c r="C232" t="str">
        <f t="shared" si="126"/>
        <v>Payable Days for Legal and Professional Fees</v>
      </c>
      <c r="E232" s="453">
        <v>12</v>
      </c>
      <c r="H232" s="379">
        <f t="shared" ref="H232:S232" si="135">H129*$E232/30</f>
        <v>0</v>
      </c>
      <c r="I232" s="380">
        <f t="shared" si="135"/>
        <v>0</v>
      </c>
      <c r="J232" s="380">
        <f t="shared" si="135"/>
        <v>0</v>
      </c>
      <c r="K232" s="380">
        <f t="shared" si="135"/>
        <v>0</v>
      </c>
      <c r="L232" s="380">
        <f t="shared" si="135"/>
        <v>0</v>
      </c>
      <c r="M232" s="380">
        <f t="shared" si="135"/>
        <v>0</v>
      </c>
      <c r="N232" s="380">
        <f t="shared" si="135"/>
        <v>0</v>
      </c>
      <c r="O232" s="380">
        <f t="shared" si="135"/>
        <v>0</v>
      </c>
      <c r="P232" s="380">
        <f t="shared" si="135"/>
        <v>0</v>
      </c>
      <c r="Q232" s="380">
        <f t="shared" si="135"/>
        <v>0</v>
      </c>
      <c r="R232" s="380">
        <f t="shared" si="135"/>
        <v>0</v>
      </c>
      <c r="S232" s="380">
        <f t="shared" si="135"/>
        <v>0</v>
      </c>
      <c r="T232" s="417">
        <f t="shared" si="123"/>
        <v>0</v>
      </c>
    </row>
    <row r="233" spans="2:20" x14ac:dyDescent="0.2">
      <c r="B233" s="308"/>
      <c r="C233" t="str">
        <f t="shared" si="126"/>
        <v>Payable Days for Office Expenses &amp; Supplies</v>
      </c>
      <c r="E233" s="453">
        <v>12</v>
      </c>
      <c r="H233" s="379">
        <f t="shared" ref="H233:S233" si="136">H130*$E233/30</f>
        <v>0</v>
      </c>
      <c r="I233" s="380">
        <f t="shared" si="136"/>
        <v>0</v>
      </c>
      <c r="J233" s="380">
        <f t="shared" si="136"/>
        <v>0</v>
      </c>
      <c r="K233" s="380">
        <f t="shared" si="136"/>
        <v>0</v>
      </c>
      <c r="L233" s="380">
        <f t="shared" si="136"/>
        <v>0</v>
      </c>
      <c r="M233" s="380">
        <f t="shared" si="136"/>
        <v>0</v>
      </c>
      <c r="N233" s="380">
        <f t="shared" si="136"/>
        <v>0</v>
      </c>
      <c r="O233" s="380">
        <f t="shared" si="136"/>
        <v>0</v>
      </c>
      <c r="P233" s="380">
        <f t="shared" si="136"/>
        <v>0</v>
      </c>
      <c r="Q233" s="380">
        <f t="shared" si="136"/>
        <v>0</v>
      </c>
      <c r="R233" s="380">
        <f t="shared" si="136"/>
        <v>0</v>
      </c>
      <c r="S233" s="380">
        <f t="shared" si="136"/>
        <v>0</v>
      </c>
      <c r="T233" s="417">
        <f t="shared" si="123"/>
        <v>0</v>
      </c>
    </row>
    <row r="234" spans="2:20" x14ac:dyDescent="0.2">
      <c r="B234" s="308"/>
      <c r="C234" t="str">
        <f t="shared" si="126"/>
        <v>Payable Days for Postage and Delivery</v>
      </c>
      <c r="E234" s="453">
        <v>12</v>
      </c>
      <c r="H234" s="379">
        <f t="shared" ref="H234:S234" si="137">H131*$E234/30</f>
        <v>80</v>
      </c>
      <c r="I234" s="380">
        <f t="shared" si="137"/>
        <v>80</v>
      </c>
      <c r="J234" s="380">
        <f t="shared" si="137"/>
        <v>80</v>
      </c>
      <c r="K234" s="380">
        <f t="shared" si="137"/>
        <v>80</v>
      </c>
      <c r="L234" s="380">
        <f t="shared" si="137"/>
        <v>80</v>
      </c>
      <c r="M234" s="380">
        <f t="shared" si="137"/>
        <v>80</v>
      </c>
      <c r="N234" s="380">
        <f t="shared" si="137"/>
        <v>80</v>
      </c>
      <c r="O234" s="380">
        <f t="shared" si="137"/>
        <v>80</v>
      </c>
      <c r="P234" s="380">
        <f t="shared" si="137"/>
        <v>80</v>
      </c>
      <c r="Q234" s="380">
        <f t="shared" si="137"/>
        <v>80</v>
      </c>
      <c r="R234" s="380">
        <f t="shared" si="137"/>
        <v>80</v>
      </c>
      <c r="S234" s="380">
        <f t="shared" si="137"/>
        <v>80</v>
      </c>
      <c r="T234" s="417">
        <f t="shared" si="123"/>
        <v>960</v>
      </c>
    </row>
    <row r="235" spans="2:20" x14ac:dyDescent="0.2">
      <c r="B235" s="308"/>
      <c r="C235" t="str">
        <f t="shared" si="126"/>
        <v>Payable Days for Rent (on business property)</v>
      </c>
      <c r="E235" s="453">
        <v>12</v>
      </c>
      <c r="H235" s="379">
        <f t="shared" ref="H235:S235" si="138">H132*$E235/30</f>
        <v>1200</v>
      </c>
      <c r="I235" s="380">
        <f t="shared" si="138"/>
        <v>1200</v>
      </c>
      <c r="J235" s="380">
        <f t="shared" si="138"/>
        <v>1200</v>
      </c>
      <c r="K235" s="380">
        <f t="shared" si="138"/>
        <v>1200</v>
      </c>
      <c r="L235" s="380">
        <f t="shared" si="138"/>
        <v>1200</v>
      </c>
      <c r="M235" s="380">
        <f t="shared" si="138"/>
        <v>1200</v>
      </c>
      <c r="N235" s="380">
        <f t="shared" si="138"/>
        <v>1200</v>
      </c>
      <c r="O235" s="380">
        <f t="shared" si="138"/>
        <v>1200</v>
      </c>
      <c r="P235" s="380">
        <f t="shared" si="138"/>
        <v>1200</v>
      </c>
      <c r="Q235" s="380">
        <f t="shared" si="138"/>
        <v>1200</v>
      </c>
      <c r="R235" s="380">
        <f t="shared" si="138"/>
        <v>1200</v>
      </c>
      <c r="S235" s="380">
        <f t="shared" si="138"/>
        <v>1200</v>
      </c>
      <c r="T235" s="417">
        <f t="shared" si="123"/>
        <v>14400</v>
      </c>
    </row>
    <row r="236" spans="2:20" x14ac:dyDescent="0.2">
      <c r="B236" s="308"/>
      <c r="C236" t="str">
        <f t="shared" si="126"/>
        <v>Payable Days for Rent of Vehicles and Equipment</v>
      </c>
      <c r="E236" s="453">
        <v>12</v>
      </c>
      <c r="H236" s="379">
        <f t="shared" ref="H236:S236" si="139">H133*$E236/30</f>
        <v>296</v>
      </c>
      <c r="I236" s="380">
        <f t="shared" si="139"/>
        <v>296</v>
      </c>
      <c r="J236" s="380">
        <f t="shared" si="139"/>
        <v>296</v>
      </c>
      <c r="K236" s="380">
        <f t="shared" si="139"/>
        <v>296</v>
      </c>
      <c r="L236" s="380">
        <f t="shared" si="139"/>
        <v>296</v>
      </c>
      <c r="M236" s="380">
        <f t="shared" si="139"/>
        <v>296</v>
      </c>
      <c r="N236" s="380">
        <f t="shared" si="139"/>
        <v>296</v>
      </c>
      <c r="O236" s="380">
        <f t="shared" si="139"/>
        <v>296</v>
      </c>
      <c r="P236" s="380">
        <f t="shared" si="139"/>
        <v>296</v>
      </c>
      <c r="Q236" s="380">
        <f t="shared" si="139"/>
        <v>296</v>
      </c>
      <c r="R236" s="380">
        <f t="shared" si="139"/>
        <v>296</v>
      </c>
      <c r="S236" s="380">
        <f t="shared" si="139"/>
        <v>296</v>
      </c>
      <c r="T236" s="417">
        <f t="shared" si="123"/>
        <v>3552</v>
      </c>
    </row>
    <row r="237" spans="2:20" x14ac:dyDescent="0.2">
      <c r="B237" s="308"/>
      <c r="C237" t="str">
        <f t="shared" si="126"/>
        <v>Payable Days for Taxes-Other</v>
      </c>
      <c r="E237" s="453">
        <v>12</v>
      </c>
      <c r="H237" s="379">
        <f t="shared" ref="H237:S237" si="140">H134*$E237/30</f>
        <v>0</v>
      </c>
      <c r="I237" s="380">
        <f t="shared" si="140"/>
        <v>0</v>
      </c>
      <c r="J237" s="380">
        <f t="shared" si="140"/>
        <v>0</v>
      </c>
      <c r="K237" s="380">
        <f t="shared" si="140"/>
        <v>0</v>
      </c>
      <c r="L237" s="380">
        <f t="shared" si="140"/>
        <v>0</v>
      </c>
      <c r="M237" s="380">
        <f t="shared" si="140"/>
        <v>0</v>
      </c>
      <c r="N237" s="380">
        <f t="shared" si="140"/>
        <v>0</v>
      </c>
      <c r="O237" s="380">
        <f t="shared" si="140"/>
        <v>0</v>
      </c>
      <c r="P237" s="380">
        <f t="shared" si="140"/>
        <v>0</v>
      </c>
      <c r="Q237" s="380">
        <f t="shared" si="140"/>
        <v>0</v>
      </c>
      <c r="R237" s="380">
        <f t="shared" si="140"/>
        <v>0</v>
      </c>
      <c r="S237" s="380">
        <f t="shared" si="140"/>
        <v>0</v>
      </c>
      <c r="T237" s="417">
        <f t="shared" si="123"/>
        <v>0</v>
      </c>
    </row>
    <row r="238" spans="2:20" x14ac:dyDescent="0.2">
      <c r="B238" s="308"/>
      <c r="C238" t="str">
        <f t="shared" si="126"/>
        <v>Payable Days for Telephone and Communications</v>
      </c>
      <c r="E238" s="453">
        <v>12</v>
      </c>
      <c r="H238" s="379">
        <f t="shared" ref="H238:S238" si="141">H135*$E238/30</f>
        <v>0</v>
      </c>
      <c r="I238" s="380">
        <f t="shared" si="141"/>
        <v>0</v>
      </c>
      <c r="J238" s="380">
        <f t="shared" si="141"/>
        <v>0</v>
      </c>
      <c r="K238" s="380">
        <f t="shared" si="141"/>
        <v>0</v>
      </c>
      <c r="L238" s="380">
        <f t="shared" si="141"/>
        <v>0</v>
      </c>
      <c r="M238" s="380">
        <f t="shared" si="141"/>
        <v>0</v>
      </c>
      <c r="N238" s="380">
        <f t="shared" si="141"/>
        <v>0</v>
      </c>
      <c r="O238" s="380">
        <f t="shared" si="141"/>
        <v>0</v>
      </c>
      <c r="P238" s="380">
        <f t="shared" si="141"/>
        <v>0</v>
      </c>
      <c r="Q238" s="380">
        <f t="shared" si="141"/>
        <v>0</v>
      </c>
      <c r="R238" s="380">
        <f t="shared" si="141"/>
        <v>0</v>
      </c>
      <c r="S238" s="380">
        <f t="shared" si="141"/>
        <v>0</v>
      </c>
      <c r="T238" s="417">
        <f t="shared" si="123"/>
        <v>0</v>
      </c>
    </row>
    <row r="239" spans="2:20" x14ac:dyDescent="0.2">
      <c r="B239" s="308"/>
      <c r="C239" t="str">
        <f t="shared" si="126"/>
        <v>Payable Days for Travel</v>
      </c>
      <c r="E239" s="453">
        <v>12</v>
      </c>
      <c r="H239" s="379">
        <f t="shared" ref="H239:S239" si="142">H136*$E239/30</f>
        <v>0</v>
      </c>
      <c r="I239" s="380">
        <f t="shared" si="142"/>
        <v>0</v>
      </c>
      <c r="J239" s="380">
        <f t="shared" si="142"/>
        <v>0</v>
      </c>
      <c r="K239" s="380">
        <f t="shared" si="142"/>
        <v>0</v>
      </c>
      <c r="L239" s="380">
        <f t="shared" si="142"/>
        <v>0</v>
      </c>
      <c r="M239" s="380">
        <f t="shared" si="142"/>
        <v>0</v>
      </c>
      <c r="N239" s="380">
        <f t="shared" si="142"/>
        <v>0</v>
      </c>
      <c r="O239" s="380">
        <f t="shared" si="142"/>
        <v>0</v>
      </c>
      <c r="P239" s="380">
        <f t="shared" si="142"/>
        <v>0</v>
      </c>
      <c r="Q239" s="380">
        <f t="shared" si="142"/>
        <v>0</v>
      </c>
      <c r="R239" s="380">
        <f t="shared" si="142"/>
        <v>0</v>
      </c>
      <c r="S239" s="380">
        <f t="shared" si="142"/>
        <v>0</v>
      </c>
      <c r="T239" s="417">
        <f t="shared" si="123"/>
        <v>0</v>
      </c>
    </row>
    <row r="240" spans="2:20" x14ac:dyDescent="0.2">
      <c r="B240" s="308"/>
      <c r="C240" t="str">
        <f t="shared" si="126"/>
        <v>Payable Days for IT services (infrastructure, security etc)</v>
      </c>
      <c r="E240" s="453">
        <v>12</v>
      </c>
      <c r="H240" s="379">
        <f t="shared" ref="H240:S240" si="143">H137*$E240/30</f>
        <v>0</v>
      </c>
      <c r="I240" s="380">
        <f t="shared" si="143"/>
        <v>0</v>
      </c>
      <c r="J240" s="380">
        <f t="shared" si="143"/>
        <v>0</v>
      </c>
      <c r="K240" s="380">
        <f t="shared" si="143"/>
        <v>0</v>
      </c>
      <c r="L240" s="380">
        <f t="shared" si="143"/>
        <v>0</v>
      </c>
      <c r="M240" s="380">
        <f t="shared" si="143"/>
        <v>0</v>
      </c>
      <c r="N240" s="380">
        <f t="shared" si="143"/>
        <v>0</v>
      </c>
      <c r="O240" s="380">
        <f t="shared" si="143"/>
        <v>0</v>
      </c>
      <c r="P240" s="380">
        <f t="shared" si="143"/>
        <v>0</v>
      </c>
      <c r="Q240" s="380">
        <f t="shared" si="143"/>
        <v>0</v>
      </c>
      <c r="R240" s="380">
        <f t="shared" si="143"/>
        <v>0</v>
      </c>
      <c r="S240" s="380">
        <f t="shared" si="143"/>
        <v>0</v>
      </c>
      <c r="T240" s="417">
        <f t="shared" si="123"/>
        <v>0</v>
      </c>
    </row>
    <row r="241" spans="2:20" x14ac:dyDescent="0.2">
      <c r="B241" s="308"/>
      <c r="C241" t="str">
        <f t="shared" si="126"/>
        <v>Payable Days for Utilities</v>
      </c>
      <c r="E241" s="453">
        <v>12</v>
      </c>
      <c r="H241" s="379">
        <f t="shared" ref="H241:S241" si="144">H138*$E241/30</f>
        <v>60</v>
      </c>
      <c r="I241" s="380">
        <f t="shared" si="144"/>
        <v>60</v>
      </c>
      <c r="J241" s="380">
        <f t="shared" si="144"/>
        <v>60</v>
      </c>
      <c r="K241" s="380">
        <f t="shared" si="144"/>
        <v>60</v>
      </c>
      <c r="L241" s="380">
        <f t="shared" si="144"/>
        <v>60</v>
      </c>
      <c r="M241" s="380">
        <f t="shared" si="144"/>
        <v>60</v>
      </c>
      <c r="N241" s="380">
        <f t="shared" si="144"/>
        <v>60</v>
      </c>
      <c r="O241" s="380">
        <f t="shared" si="144"/>
        <v>60</v>
      </c>
      <c r="P241" s="380">
        <f t="shared" si="144"/>
        <v>60</v>
      </c>
      <c r="Q241" s="380">
        <f t="shared" si="144"/>
        <v>60</v>
      </c>
      <c r="R241" s="380">
        <f t="shared" si="144"/>
        <v>60</v>
      </c>
      <c r="S241" s="380">
        <f t="shared" si="144"/>
        <v>60</v>
      </c>
      <c r="T241" s="417">
        <f t="shared" si="123"/>
        <v>720</v>
      </c>
    </row>
    <row r="242" spans="2:20" x14ac:dyDescent="0.2">
      <c r="B242" s="308"/>
      <c r="C242" t="str">
        <f t="shared" si="126"/>
        <v>Payable Days for Others (G&amp;A)</v>
      </c>
      <c r="E242" s="453">
        <v>12</v>
      </c>
      <c r="H242" s="379">
        <f t="shared" ref="H242:S242" si="145">H139*$E242/30</f>
        <v>0</v>
      </c>
      <c r="I242" s="380">
        <f t="shared" si="145"/>
        <v>0</v>
      </c>
      <c r="J242" s="380">
        <f t="shared" si="145"/>
        <v>0</v>
      </c>
      <c r="K242" s="380">
        <f t="shared" si="145"/>
        <v>0</v>
      </c>
      <c r="L242" s="380">
        <f t="shared" si="145"/>
        <v>0</v>
      </c>
      <c r="M242" s="380">
        <f t="shared" si="145"/>
        <v>0</v>
      </c>
      <c r="N242" s="380">
        <f t="shared" si="145"/>
        <v>0</v>
      </c>
      <c r="O242" s="380">
        <f t="shared" si="145"/>
        <v>0</v>
      </c>
      <c r="P242" s="380">
        <f t="shared" si="145"/>
        <v>0</v>
      </c>
      <c r="Q242" s="380">
        <f t="shared" si="145"/>
        <v>0</v>
      </c>
      <c r="R242" s="380">
        <f t="shared" si="145"/>
        <v>0</v>
      </c>
      <c r="S242" s="380">
        <f t="shared" si="145"/>
        <v>0</v>
      </c>
      <c r="T242" s="417">
        <f t="shared" si="123"/>
        <v>0</v>
      </c>
    </row>
    <row r="243" spans="2:20" x14ac:dyDescent="0.2">
      <c r="B243" s="308"/>
      <c r="C243" t="str">
        <f>"Payable Days for "&amp;$B86</f>
        <v>Payable Days for Employee Wages</v>
      </c>
      <c r="E243" s="453">
        <v>30</v>
      </c>
      <c r="H243" s="379">
        <f t="shared" ref="H243:S243" si="146">H$102*$E243/30</f>
        <v>24560</v>
      </c>
      <c r="I243" s="380">
        <f t="shared" si="146"/>
        <v>24560</v>
      </c>
      <c r="J243" s="380">
        <f t="shared" si="146"/>
        <v>24560</v>
      </c>
      <c r="K243" s="380">
        <f t="shared" si="146"/>
        <v>24560</v>
      </c>
      <c r="L243" s="380">
        <f t="shared" si="146"/>
        <v>24560</v>
      </c>
      <c r="M243" s="380">
        <f t="shared" si="146"/>
        <v>24560</v>
      </c>
      <c r="N243" s="380">
        <f t="shared" si="146"/>
        <v>24560</v>
      </c>
      <c r="O243" s="380">
        <f t="shared" si="146"/>
        <v>24560</v>
      </c>
      <c r="P243" s="380">
        <f t="shared" si="146"/>
        <v>24560</v>
      </c>
      <c r="Q243" s="380">
        <f t="shared" si="146"/>
        <v>24560</v>
      </c>
      <c r="R243" s="380">
        <f t="shared" si="146"/>
        <v>24560</v>
      </c>
      <c r="S243" s="380">
        <f t="shared" si="146"/>
        <v>24560</v>
      </c>
      <c r="T243" s="417">
        <f t="shared" si="123"/>
        <v>294720</v>
      </c>
    </row>
    <row r="244" spans="2:20" x14ac:dyDescent="0.2">
      <c r="B244" s="308"/>
      <c r="C244" t="str">
        <f>"Payable Days for "&amp;$B104</f>
        <v>Payable Days for Payroll Taxes and Benefits</v>
      </c>
      <c r="E244" s="453">
        <v>60</v>
      </c>
      <c r="H244" s="379">
        <f t="shared" ref="H244:S244" si="147">H$113*$E244/30</f>
        <v>16551.84</v>
      </c>
      <c r="I244" s="380">
        <f t="shared" si="147"/>
        <v>16551.84</v>
      </c>
      <c r="J244" s="380">
        <f t="shared" si="147"/>
        <v>16551.84</v>
      </c>
      <c r="K244" s="380">
        <f t="shared" si="147"/>
        <v>16551.84</v>
      </c>
      <c r="L244" s="380">
        <f t="shared" si="147"/>
        <v>16551.84</v>
      </c>
      <c r="M244" s="380">
        <f t="shared" si="147"/>
        <v>16551.84</v>
      </c>
      <c r="N244" s="380">
        <f t="shared" si="147"/>
        <v>16551.84</v>
      </c>
      <c r="O244" s="380">
        <f t="shared" si="147"/>
        <v>16551.84</v>
      </c>
      <c r="P244" s="380">
        <f t="shared" si="147"/>
        <v>16551.84</v>
      </c>
      <c r="Q244" s="380">
        <f t="shared" si="147"/>
        <v>16551.84</v>
      </c>
      <c r="R244" s="380">
        <f t="shared" si="147"/>
        <v>16551.84</v>
      </c>
      <c r="S244" s="380">
        <f t="shared" si="147"/>
        <v>16551.84</v>
      </c>
      <c r="T244" s="417">
        <f t="shared" si="123"/>
        <v>198622.07999999999</v>
      </c>
    </row>
    <row r="245" spans="2:20" ht="17" thickBot="1" x14ac:dyDescent="0.25">
      <c r="B245" s="308"/>
      <c r="C245" t="str">
        <f>"Payable Days for "&amp;$B159</f>
        <v>Payable Days for Interest Payments</v>
      </c>
      <c r="E245" s="453">
        <v>90</v>
      </c>
      <c r="H245" s="379">
        <f t="shared" ref="H245:S245" si="148">H$166*$E245/30</f>
        <v>1125</v>
      </c>
      <c r="I245" s="380">
        <f t="shared" si="148"/>
        <v>1083.3333333333335</v>
      </c>
      <c r="J245" s="380">
        <f t="shared" si="148"/>
        <v>1041.6666666666667</v>
      </c>
      <c r="K245" s="380">
        <f t="shared" si="148"/>
        <v>1000.0000000000001</v>
      </c>
      <c r="L245" s="380">
        <f t="shared" si="148"/>
        <v>958.33333333333337</v>
      </c>
      <c r="M245" s="380">
        <f t="shared" si="148"/>
        <v>916.66666666666663</v>
      </c>
      <c r="N245" s="380">
        <f t="shared" si="148"/>
        <v>874.99999999999989</v>
      </c>
      <c r="O245" s="380">
        <f t="shared" si="148"/>
        <v>833.33333333333337</v>
      </c>
      <c r="P245" s="380">
        <f t="shared" si="148"/>
        <v>791.66666666666652</v>
      </c>
      <c r="Q245" s="380">
        <f t="shared" si="148"/>
        <v>749.99999999999989</v>
      </c>
      <c r="R245" s="380">
        <f t="shared" si="148"/>
        <v>708.33333333333337</v>
      </c>
      <c r="S245" s="380">
        <f t="shared" si="148"/>
        <v>666.66666666666652</v>
      </c>
      <c r="T245" s="417">
        <f t="shared" si="123"/>
        <v>10750</v>
      </c>
    </row>
    <row r="246" spans="2:20" ht="17" thickTop="1" x14ac:dyDescent="0.2">
      <c r="B246" s="418" t="s">
        <v>152</v>
      </c>
      <c r="C246" s="419"/>
      <c r="D246" s="419"/>
      <c r="E246" s="419"/>
      <c r="F246" s="419"/>
      <c r="G246" s="420"/>
      <c r="H246" s="421">
        <f t="shared" ref="H246:S246" si="149">SUM(H216:H245)</f>
        <v>44599.993333333332</v>
      </c>
      <c r="I246" s="422">
        <f t="shared" si="149"/>
        <v>44562.284000000007</v>
      </c>
      <c r="J246" s="422">
        <f t="shared" si="149"/>
        <v>44860.71866666666</v>
      </c>
      <c r="K246" s="422">
        <f t="shared" si="149"/>
        <v>44823.961333333333</v>
      </c>
      <c r="L246" s="422">
        <f t="shared" si="149"/>
        <v>44785.388666666673</v>
      </c>
      <c r="M246" s="422">
        <f t="shared" si="149"/>
        <v>44896.745999999999</v>
      </c>
      <c r="N246" s="422">
        <f t="shared" si="149"/>
        <v>44859.484666666671</v>
      </c>
      <c r="O246" s="422">
        <f t="shared" si="149"/>
        <v>44820.636666666665</v>
      </c>
      <c r="P246" s="422">
        <f t="shared" si="149"/>
        <v>44781.85866666666</v>
      </c>
      <c r="Q246" s="422">
        <f t="shared" si="149"/>
        <v>44744.48533333333</v>
      </c>
      <c r="R246" s="422">
        <f t="shared" si="149"/>
        <v>44705.432000000008</v>
      </c>
      <c r="S246" s="422">
        <f t="shared" si="149"/>
        <v>44668.128666666664</v>
      </c>
      <c r="T246" s="423">
        <f>SUM(H246:S246)</f>
        <v>537109.11800000002</v>
      </c>
    </row>
    <row r="247" spans="2:20" ht="17" thickBot="1" x14ac:dyDescent="0.25">
      <c r="B247" s="308"/>
      <c r="H247" s="367"/>
      <c r="I247" s="368"/>
      <c r="J247" s="368"/>
      <c r="K247" s="368"/>
      <c r="L247" s="368"/>
      <c r="M247" s="368"/>
      <c r="N247" s="368"/>
      <c r="O247" s="368"/>
      <c r="P247" s="368"/>
      <c r="Q247" s="368"/>
      <c r="R247" s="368"/>
      <c r="S247" s="368"/>
      <c r="T247" s="407"/>
    </row>
    <row r="248" spans="2:20" ht="17" thickTop="1" x14ac:dyDescent="0.2">
      <c r="B248" s="250" t="s">
        <v>41</v>
      </c>
      <c r="C248" s="237"/>
      <c r="D248" s="237"/>
      <c r="E248" s="237"/>
      <c r="F248" s="237"/>
      <c r="G248" s="237"/>
      <c r="H248" s="239">
        <f t="shared" ref="H248:S248" si="150">H209+IF(H212="",H213,H212)-H246</f>
        <v>-25314.993333333332</v>
      </c>
      <c r="I248" s="240">
        <f t="shared" si="150"/>
        <v>-24954.284000000007</v>
      </c>
      <c r="J248" s="240">
        <f t="shared" si="150"/>
        <v>-24962.71866666666</v>
      </c>
      <c r="K248" s="240">
        <f t="shared" si="150"/>
        <v>-24490.961333333333</v>
      </c>
      <c r="L248" s="240">
        <f t="shared" si="150"/>
        <v>-24176.888666666673</v>
      </c>
      <c r="M248" s="240">
        <f t="shared" si="150"/>
        <v>-24020.245999999999</v>
      </c>
      <c r="N248" s="240">
        <f t="shared" si="150"/>
        <v>-23569.984666666671</v>
      </c>
      <c r="O248" s="240">
        <f t="shared" si="150"/>
        <v>-23274.136666666665</v>
      </c>
      <c r="P248" s="240">
        <f t="shared" si="150"/>
        <v>-22970.85866666666</v>
      </c>
      <c r="Q248" s="240">
        <f t="shared" si="150"/>
        <v>-22531.48533333333</v>
      </c>
      <c r="R248" s="240">
        <f t="shared" si="150"/>
        <v>-22246.432000000008</v>
      </c>
      <c r="S248" s="240">
        <f t="shared" si="150"/>
        <v>-21799.628666666664</v>
      </c>
      <c r="T248" s="251">
        <f>SUM(H248:S248)</f>
        <v>-284312.61800000002</v>
      </c>
    </row>
    <row r="249" spans="2:20" x14ac:dyDescent="0.2">
      <c r="H249" s="367"/>
      <c r="I249" s="368"/>
      <c r="J249" s="368"/>
      <c r="K249" s="368"/>
      <c r="L249" s="368"/>
      <c r="M249" s="368"/>
      <c r="N249" s="368"/>
      <c r="O249" s="368"/>
      <c r="P249" s="368"/>
      <c r="Q249" s="368"/>
      <c r="R249" s="368"/>
      <c r="S249" s="368"/>
      <c r="T249" s="381"/>
    </row>
    <row r="250" spans="2:20" ht="20" x14ac:dyDescent="0.2">
      <c r="B250" s="116" t="s">
        <v>52</v>
      </c>
      <c r="C250" s="327"/>
      <c r="D250" s="327"/>
      <c r="E250" s="327" t="str">
        <f>$E$3</f>
        <v>Year 1 (2020)</v>
      </c>
      <c r="F250" s="327"/>
      <c r="G250" s="327"/>
      <c r="H250" s="360" t="s">
        <v>127</v>
      </c>
      <c r="I250" s="361" t="s">
        <v>128</v>
      </c>
      <c r="J250" s="361" t="s">
        <v>129</v>
      </c>
      <c r="K250" s="361" t="s">
        <v>130</v>
      </c>
      <c r="L250" s="361" t="s">
        <v>131</v>
      </c>
      <c r="M250" s="361" t="s">
        <v>132</v>
      </c>
      <c r="N250" s="361" t="s">
        <v>133</v>
      </c>
      <c r="O250" s="361" t="s">
        <v>134</v>
      </c>
      <c r="P250" s="361" t="s">
        <v>135</v>
      </c>
      <c r="Q250" s="361" t="s">
        <v>136</v>
      </c>
      <c r="R250" s="361" t="s">
        <v>137</v>
      </c>
      <c r="S250" s="361" t="s">
        <v>138</v>
      </c>
      <c r="T250" s="362" t="s">
        <v>179</v>
      </c>
    </row>
    <row r="251" spans="2:20" x14ac:dyDescent="0.2">
      <c r="B251" s="401"/>
      <c r="C251" s="402"/>
      <c r="D251" s="402"/>
      <c r="E251" s="402"/>
      <c r="F251" s="402"/>
      <c r="G251" s="403" t="s">
        <v>57</v>
      </c>
      <c r="H251" s="363">
        <f>H$4</f>
        <v>1</v>
      </c>
      <c r="I251" s="364">
        <f t="shared" ref="I251:S251" si="151">I$4</f>
        <v>2</v>
      </c>
      <c r="J251" s="364">
        <f t="shared" si="151"/>
        <v>3</v>
      </c>
      <c r="K251" s="364">
        <f t="shared" si="151"/>
        <v>4</v>
      </c>
      <c r="L251" s="364">
        <f t="shared" si="151"/>
        <v>5</v>
      </c>
      <c r="M251" s="364">
        <f t="shared" si="151"/>
        <v>6</v>
      </c>
      <c r="N251" s="364">
        <f t="shared" si="151"/>
        <v>7</v>
      </c>
      <c r="O251" s="364">
        <f t="shared" si="151"/>
        <v>8</v>
      </c>
      <c r="P251" s="364">
        <f t="shared" si="151"/>
        <v>9</v>
      </c>
      <c r="Q251" s="364">
        <f t="shared" si="151"/>
        <v>10</v>
      </c>
      <c r="R251" s="364">
        <f t="shared" si="151"/>
        <v>11</v>
      </c>
      <c r="S251" s="364">
        <f t="shared" si="151"/>
        <v>12</v>
      </c>
      <c r="T251" s="405" t="str">
        <f>"Total for " &amp; $E$3</f>
        <v>Total for Year 1 (2020)</v>
      </c>
    </row>
    <row r="252" spans="2:20" x14ac:dyDescent="0.2">
      <c r="B252" s="307" t="s">
        <v>146</v>
      </c>
      <c r="G252" s="15"/>
      <c r="H252" s="398"/>
      <c r="I252" s="399"/>
      <c r="J252" s="399"/>
      <c r="K252" s="399"/>
      <c r="L252" s="399"/>
      <c r="M252" s="399"/>
      <c r="N252" s="399"/>
      <c r="O252" s="399"/>
      <c r="P252" s="399"/>
      <c r="Q252" s="399"/>
      <c r="R252" s="399"/>
      <c r="S252" s="399"/>
      <c r="T252" s="432"/>
    </row>
    <row r="253" spans="2:20" x14ac:dyDescent="0.2">
      <c r="B253" s="308"/>
      <c r="C253" t="s">
        <v>23</v>
      </c>
      <c r="D253" s="5"/>
      <c r="E253" s="7"/>
      <c r="F253" s="7"/>
      <c r="G253" s="5"/>
      <c r="H253" s="379">
        <f>H$183</f>
        <v>-24736.21</v>
      </c>
      <c r="I253" s="380">
        <f t="shared" ref="I253:S253" si="152">I$183</f>
        <v>-24701.589111111105</v>
      </c>
      <c r="J253" s="380">
        <f t="shared" si="152"/>
        <v>-25132.769555555551</v>
      </c>
      <c r="K253" s="380">
        <f t="shared" si="152"/>
        <v>-24668.172666666662</v>
      </c>
      <c r="L253" s="380">
        <f>L$183</f>
        <v>-24423.731777777775</v>
      </c>
      <c r="M253" s="380">
        <f t="shared" si="152"/>
        <v>-24354.397555555552</v>
      </c>
      <c r="N253" s="380">
        <f t="shared" si="152"/>
        <v>-24035.71266666667</v>
      </c>
      <c r="O253" s="380">
        <f t="shared" si="152"/>
        <v>-23810.421111111111</v>
      </c>
      <c r="P253" s="380">
        <f t="shared" si="152"/>
        <v>-23572.556222222218</v>
      </c>
      <c r="Q253" s="380">
        <f t="shared" si="152"/>
        <v>-23251.687333333331</v>
      </c>
      <c r="R253" s="380">
        <f t="shared" si="152"/>
        <v>-23033.538444444435</v>
      </c>
      <c r="S253" s="380">
        <f t="shared" si="152"/>
        <v>-22704.329555555556</v>
      </c>
      <c r="T253" s="417">
        <f t="shared" ref="T253:T257" si="153">SUM(H253:S253)</f>
        <v>-288425.11599999998</v>
      </c>
    </row>
    <row r="254" spans="2:20" x14ac:dyDescent="0.2">
      <c r="B254" s="308"/>
      <c r="C254" t="s">
        <v>147</v>
      </c>
      <c r="D254" s="5"/>
      <c r="E254" s="7"/>
      <c r="F254" s="7"/>
      <c r="G254" s="5"/>
      <c r="H254" s="379">
        <f>H$155</f>
        <v>309.25</v>
      </c>
      <c r="I254" s="380">
        <f t="shared" ref="I254:S254" si="154">I$155</f>
        <v>311.75</v>
      </c>
      <c r="J254" s="380">
        <f t="shared" si="154"/>
        <v>312.58333333333331</v>
      </c>
      <c r="K254" s="380">
        <f t="shared" si="154"/>
        <v>312.58333333333331</v>
      </c>
      <c r="L254" s="380">
        <f t="shared" si="154"/>
        <v>312.58333333333331</v>
      </c>
      <c r="M254" s="380">
        <f t="shared" si="154"/>
        <v>331.75</v>
      </c>
      <c r="N254" s="380">
        <f t="shared" si="154"/>
        <v>334.25</v>
      </c>
      <c r="O254" s="380">
        <f t="shared" si="154"/>
        <v>336.08333333333331</v>
      </c>
      <c r="P254" s="380">
        <f t="shared" si="154"/>
        <v>336.08333333333331</v>
      </c>
      <c r="Q254" s="380">
        <f t="shared" si="154"/>
        <v>336.08333333333331</v>
      </c>
      <c r="R254" s="380">
        <f t="shared" si="154"/>
        <v>336.08333333333331</v>
      </c>
      <c r="S254" s="380">
        <f t="shared" si="154"/>
        <v>336.08333333333331</v>
      </c>
      <c r="T254" s="417">
        <f t="shared" si="153"/>
        <v>3905.1666666666674</v>
      </c>
    </row>
    <row r="255" spans="2:20" x14ac:dyDescent="0.2">
      <c r="B255" s="308"/>
      <c r="C255" t="s">
        <v>153</v>
      </c>
      <c r="D255" s="5"/>
      <c r="E255" s="7"/>
      <c r="F255" s="7"/>
      <c r="G255" s="5"/>
      <c r="H255" s="379">
        <f>H246-G246</f>
        <v>44599.993333333332</v>
      </c>
      <c r="I255" s="380">
        <f t="shared" ref="I255:S255" si="155">I246-H246</f>
        <v>-37.709333333325048</v>
      </c>
      <c r="J255" s="380">
        <f t="shared" si="155"/>
        <v>298.43466666665336</v>
      </c>
      <c r="K255" s="380">
        <f t="shared" si="155"/>
        <v>-36.757333333327551</v>
      </c>
      <c r="L255" s="380">
        <f t="shared" si="155"/>
        <v>-38.572666666659643</v>
      </c>
      <c r="M255" s="380">
        <f t="shared" si="155"/>
        <v>111.3573333333261</v>
      </c>
      <c r="N255" s="380">
        <f t="shared" si="155"/>
        <v>-37.261333333328366</v>
      </c>
      <c r="O255" s="380">
        <f t="shared" si="155"/>
        <v>-38.848000000005413</v>
      </c>
      <c r="P255" s="380">
        <f t="shared" si="155"/>
        <v>-38.778000000005704</v>
      </c>
      <c r="Q255" s="380">
        <f t="shared" si="155"/>
        <v>-37.373333333329356</v>
      </c>
      <c r="R255" s="380">
        <f t="shared" si="155"/>
        <v>-39.053333333322371</v>
      </c>
      <c r="S255" s="380">
        <f t="shared" si="155"/>
        <v>-37.303333333344199</v>
      </c>
      <c r="T255" s="417">
        <f t="shared" si="153"/>
        <v>44668.128666666664</v>
      </c>
    </row>
    <row r="256" spans="2:20" ht="17" thickBot="1" x14ac:dyDescent="0.25">
      <c r="B256" s="308"/>
      <c r="C256" t="s">
        <v>148</v>
      </c>
      <c r="H256" s="379">
        <f>H$200</f>
        <v>371100</v>
      </c>
      <c r="I256" s="380">
        <f t="shared" ref="I256:S256" si="156">I$200</f>
        <v>3000</v>
      </c>
      <c r="J256" s="380">
        <f t="shared" si="156"/>
        <v>1000</v>
      </c>
      <c r="K256" s="380">
        <f t="shared" si="156"/>
        <v>0</v>
      </c>
      <c r="L256" s="380">
        <f t="shared" si="156"/>
        <v>0</v>
      </c>
      <c r="M256" s="380">
        <f t="shared" si="156"/>
        <v>23000</v>
      </c>
      <c r="N256" s="380">
        <f t="shared" si="156"/>
        <v>3000</v>
      </c>
      <c r="O256" s="380">
        <f t="shared" si="156"/>
        <v>2200</v>
      </c>
      <c r="P256" s="380">
        <f t="shared" si="156"/>
        <v>0</v>
      </c>
      <c r="Q256" s="380">
        <f t="shared" si="156"/>
        <v>0</v>
      </c>
      <c r="R256" s="380">
        <f t="shared" si="156"/>
        <v>0</v>
      </c>
      <c r="S256" s="380">
        <f t="shared" si="156"/>
        <v>0</v>
      </c>
      <c r="T256" s="417">
        <f t="shared" si="153"/>
        <v>403300</v>
      </c>
    </row>
    <row r="257" spans="2:20" ht="17" thickTop="1" x14ac:dyDescent="0.2">
      <c r="B257" s="250" t="s">
        <v>146</v>
      </c>
      <c r="C257" s="237"/>
      <c r="D257" s="237"/>
      <c r="E257" s="237"/>
      <c r="F257" s="237"/>
      <c r="G257" s="237"/>
      <c r="H257" s="167">
        <f>H253+H254+H255-H256</f>
        <v>-350926.96666666667</v>
      </c>
      <c r="I257" s="167">
        <f t="shared" ref="I257:S257" si="157">I253+I254+I255-I256</f>
        <v>-27427.54844444443</v>
      </c>
      <c r="J257" s="167">
        <f t="shared" si="157"/>
        <v>-25521.751555555566</v>
      </c>
      <c r="K257" s="167">
        <f t="shared" si="157"/>
        <v>-24392.346666666657</v>
      </c>
      <c r="L257" s="167">
        <f t="shared" si="157"/>
        <v>-24149.721111111103</v>
      </c>
      <c r="M257" s="167">
        <f t="shared" si="157"/>
        <v>-46911.290222222226</v>
      </c>
      <c r="N257" s="167">
        <f t="shared" si="157"/>
        <v>-26738.723999999998</v>
      </c>
      <c r="O257" s="167">
        <f t="shared" si="157"/>
        <v>-25713.185777777784</v>
      </c>
      <c r="P257" s="167">
        <f t="shared" si="157"/>
        <v>-23275.250888888891</v>
      </c>
      <c r="Q257" s="167">
        <f t="shared" si="157"/>
        <v>-22952.977333333329</v>
      </c>
      <c r="R257" s="167">
        <f t="shared" si="157"/>
        <v>-22736.508444444426</v>
      </c>
      <c r="S257" s="167">
        <f t="shared" si="157"/>
        <v>-22405.549555555568</v>
      </c>
      <c r="T257" s="167">
        <f t="shared" si="153"/>
        <v>-643151.82066666661</v>
      </c>
    </row>
    <row r="258" spans="2:20" x14ac:dyDescent="0.2">
      <c r="B258" s="428"/>
      <c r="C258" s="5"/>
      <c r="D258" s="5"/>
      <c r="E258" s="7"/>
      <c r="F258" s="7"/>
      <c r="G258" s="5"/>
      <c r="H258" s="393"/>
      <c r="I258" s="394"/>
      <c r="J258" s="394"/>
      <c r="K258" s="394"/>
      <c r="L258" s="394"/>
      <c r="M258" s="394"/>
      <c r="N258" s="394"/>
      <c r="O258" s="394"/>
      <c r="P258" s="394"/>
      <c r="Q258" s="394"/>
      <c r="R258" s="394"/>
      <c r="S258" s="394"/>
      <c r="T258" s="430"/>
    </row>
    <row r="259" spans="2:20" x14ac:dyDescent="0.2">
      <c r="B259" s="307" t="s">
        <v>140</v>
      </c>
      <c r="G259" s="15"/>
      <c r="H259" s="398"/>
      <c r="I259" s="399"/>
      <c r="J259" s="399"/>
      <c r="K259" s="399"/>
      <c r="L259" s="399"/>
      <c r="M259" s="399"/>
      <c r="N259" s="399"/>
      <c r="O259" s="399"/>
      <c r="P259" s="399"/>
      <c r="Q259" s="399"/>
      <c r="R259" s="399"/>
      <c r="S259" s="399"/>
      <c r="T259" s="432"/>
    </row>
    <row r="260" spans="2:20" x14ac:dyDescent="0.2">
      <c r="B260" s="308"/>
      <c r="C260" s="24" t="s">
        <v>23</v>
      </c>
      <c r="D260" s="5"/>
      <c r="E260" s="7"/>
      <c r="F260" s="7"/>
      <c r="G260" s="5"/>
      <c r="H260" s="379">
        <f t="shared" ref="H260:T260" si="158">H183</f>
        <v>-24736.21</v>
      </c>
      <c r="I260" s="380">
        <f t="shared" si="158"/>
        <v>-24701.589111111105</v>
      </c>
      <c r="J260" s="380">
        <f t="shared" si="158"/>
        <v>-25132.769555555551</v>
      </c>
      <c r="K260" s="380">
        <f t="shared" si="158"/>
        <v>-24668.172666666662</v>
      </c>
      <c r="L260" s="380">
        <f t="shared" si="158"/>
        <v>-24423.731777777775</v>
      </c>
      <c r="M260" s="380">
        <f t="shared" si="158"/>
        <v>-24354.397555555552</v>
      </c>
      <c r="N260" s="380">
        <f t="shared" si="158"/>
        <v>-24035.71266666667</v>
      </c>
      <c r="O260" s="380">
        <f t="shared" si="158"/>
        <v>-23810.421111111111</v>
      </c>
      <c r="P260" s="380">
        <f t="shared" si="158"/>
        <v>-23572.556222222218</v>
      </c>
      <c r="Q260" s="380">
        <f t="shared" si="158"/>
        <v>-23251.687333333331</v>
      </c>
      <c r="R260" s="380">
        <f t="shared" si="158"/>
        <v>-23033.538444444435</v>
      </c>
      <c r="S260" s="380">
        <f t="shared" si="158"/>
        <v>-22704.329555555556</v>
      </c>
      <c r="T260" s="417">
        <f t="shared" si="158"/>
        <v>-288425.11599999998</v>
      </c>
    </row>
    <row r="261" spans="2:20" x14ac:dyDescent="0.2">
      <c r="B261" s="308"/>
      <c r="C261" s="24" t="s">
        <v>45</v>
      </c>
      <c r="H261" s="379">
        <f t="shared" ref="H261:T261" si="159">H155</f>
        <v>309.25</v>
      </c>
      <c r="I261" s="380">
        <f t="shared" si="159"/>
        <v>311.75</v>
      </c>
      <c r="J261" s="380">
        <f t="shared" si="159"/>
        <v>312.58333333333331</v>
      </c>
      <c r="K261" s="380">
        <f t="shared" si="159"/>
        <v>312.58333333333331</v>
      </c>
      <c r="L261" s="380">
        <f t="shared" si="159"/>
        <v>312.58333333333331</v>
      </c>
      <c r="M261" s="380">
        <f t="shared" si="159"/>
        <v>331.75</v>
      </c>
      <c r="N261" s="380">
        <f t="shared" si="159"/>
        <v>334.25</v>
      </c>
      <c r="O261" s="380">
        <f t="shared" si="159"/>
        <v>336.08333333333331</v>
      </c>
      <c r="P261" s="380">
        <f t="shared" si="159"/>
        <v>336.08333333333331</v>
      </c>
      <c r="Q261" s="380">
        <f t="shared" si="159"/>
        <v>336.08333333333331</v>
      </c>
      <c r="R261" s="380">
        <f t="shared" si="159"/>
        <v>336.08333333333331</v>
      </c>
      <c r="S261" s="380">
        <f t="shared" si="159"/>
        <v>336.08333333333331</v>
      </c>
      <c r="T261" s="417">
        <f t="shared" si="159"/>
        <v>3905.1666666666674</v>
      </c>
    </row>
    <row r="262" spans="2:20" ht="17" thickBot="1" x14ac:dyDescent="0.25">
      <c r="B262" s="308"/>
      <c r="C262" s="24" t="s">
        <v>46</v>
      </c>
      <c r="H262" s="379">
        <f t="shared" ref="H262:S262" si="160">H248-G248</f>
        <v>-25314.993333333332</v>
      </c>
      <c r="I262" s="380">
        <f t="shared" si="160"/>
        <v>360.70933333332505</v>
      </c>
      <c r="J262" s="380">
        <f t="shared" si="160"/>
        <v>-8.4346666666533565</v>
      </c>
      <c r="K262" s="380">
        <f t="shared" si="160"/>
        <v>471.75733333332755</v>
      </c>
      <c r="L262" s="380">
        <f t="shared" si="160"/>
        <v>314.07266666665964</v>
      </c>
      <c r="M262" s="380">
        <f t="shared" si="160"/>
        <v>156.6426666666739</v>
      </c>
      <c r="N262" s="380">
        <f t="shared" si="160"/>
        <v>450.26133333332837</v>
      </c>
      <c r="O262" s="380">
        <f t="shared" si="160"/>
        <v>295.84800000000541</v>
      </c>
      <c r="P262" s="380">
        <f t="shared" si="160"/>
        <v>303.2780000000057</v>
      </c>
      <c r="Q262" s="380">
        <f t="shared" si="160"/>
        <v>439.37333333332936</v>
      </c>
      <c r="R262" s="380">
        <f t="shared" si="160"/>
        <v>285.05333333332237</v>
      </c>
      <c r="S262" s="380">
        <f t="shared" si="160"/>
        <v>446.8033333333442</v>
      </c>
      <c r="T262" s="417">
        <f t="shared" ref="T262:T268" si="161">SUM(H262:S262)</f>
        <v>-21799.628666666664</v>
      </c>
    </row>
    <row r="263" spans="2:20" ht="17" thickTop="1" x14ac:dyDescent="0.2">
      <c r="B263" s="250" t="s">
        <v>141</v>
      </c>
      <c r="C263" s="237"/>
      <c r="D263" s="237"/>
      <c r="E263" s="237"/>
      <c r="F263" s="237"/>
      <c r="G263" s="237"/>
      <c r="H263" s="167">
        <f>H260+H261-H262</f>
        <v>888.03333333333285</v>
      </c>
      <c r="I263" s="167">
        <f t="shared" ref="I263:S263" si="162">I260+I261-I262</f>
        <v>-24750.54844444443</v>
      </c>
      <c r="J263" s="167">
        <f t="shared" si="162"/>
        <v>-24811.751555555566</v>
      </c>
      <c r="K263" s="167">
        <f t="shared" si="162"/>
        <v>-24827.346666666657</v>
      </c>
      <c r="L263" s="167">
        <f t="shared" si="162"/>
        <v>-24425.221111111103</v>
      </c>
      <c r="M263" s="167">
        <f t="shared" si="162"/>
        <v>-24179.290222222226</v>
      </c>
      <c r="N263" s="167">
        <f t="shared" si="162"/>
        <v>-24151.723999999998</v>
      </c>
      <c r="O263" s="167">
        <f t="shared" si="162"/>
        <v>-23770.185777777784</v>
      </c>
      <c r="P263" s="167">
        <f t="shared" si="162"/>
        <v>-23539.750888888891</v>
      </c>
      <c r="Q263" s="167">
        <f t="shared" si="162"/>
        <v>-23354.977333333329</v>
      </c>
      <c r="R263" s="167">
        <f t="shared" si="162"/>
        <v>-22982.508444444426</v>
      </c>
      <c r="S263" s="167">
        <f t="shared" si="162"/>
        <v>-22815.049555555568</v>
      </c>
      <c r="T263" s="167">
        <f t="shared" si="161"/>
        <v>-262720.32066666661</v>
      </c>
    </row>
    <row r="264" spans="2:20" x14ac:dyDescent="0.2">
      <c r="B264" s="428"/>
      <c r="C264" s="5"/>
      <c r="D264" s="5"/>
      <c r="E264" s="7"/>
      <c r="F264" s="7"/>
      <c r="G264" s="5"/>
      <c r="H264" s="393"/>
      <c r="I264" s="394"/>
      <c r="J264" s="394"/>
      <c r="K264" s="394"/>
      <c r="L264" s="394"/>
      <c r="M264" s="394"/>
      <c r="N264" s="394"/>
      <c r="O264" s="394"/>
      <c r="P264" s="394"/>
      <c r="Q264" s="394"/>
      <c r="R264" s="394"/>
      <c r="S264" s="394"/>
      <c r="T264" s="430"/>
    </row>
    <row r="265" spans="2:20" x14ac:dyDescent="0.2">
      <c r="B265" s="307" t="s">
        <v>142</v>
      </c>
      <c r="C265" s="5"/>
      <c r="D265" s="5"/>
      <c r="E265" s="7"/>
      <c r="F265" s="7"/>
      <c r="G265" s="5"/>
      <c r="H265" s="393"/>
      <c r="I265" s="394"/>
      <c r="J265" s="394"/>
      <c r="K265" s="394"/>
      <c r="L265" s="394"/>
      <c r="M265" s="394"/>
      <c r="N265" s="394"/>
      <c r="O265" s="394"/>
      <c r="P265" s="394"/>
      <c r="Q265" s="394"/>
      <c r="R265" s="394"/>
      <c r="S265" s="394"/>
      <c r="T265" s="430"/>
    </row>
    <row r="266" spans="2:20" x14ac:dyDescent="0.2">
      <c r="B266" s="308"/>
      <c r="C266" t="s">
        <v>314</v>
      </c>
      <c r="H266" s="382">
        <f t="shared" ref="H266:S266" si="163">H200</f>
        <v>371100</v>
      </c>
      <c r="I266" s="383">
        <f t="shared" si="163"/>
        <v>3000</v>
      </c>
      <c r="J266" s="383">
        <f t="shared" si="163"/>
        <v>1000</v>
      </c>
      <c r="K266" s="383">
        <f t="shared" si="163"/>
        <v>0</v>
      </c>
      <c r="L266" s="383">
        <f t="shared" si="163"/>
        <v>0</v>
      </c>
      <c r="M266" s="383">
        <f t="shared" si="163"/>
        <v>23000</v>
      </c>
      <c r="N266" s="383">
        <f t="shared" si="163"/>
        <v>3000</v>
      </c>
      <c r="O266" s="383">
        <f t="shared" si="163"/>
        <v>2200</v>
      </c>
      <c r="P266" s="383">
        <f t="shared" si="163"/>
        <v>0</v>
      </c>
      <c r="Q266" s="383">
        <f t="shared" si="163"/>
        <v>0</v>
      </c>
      <c r="R266" s="383">
        <f t="shared" si="163"/>
        <v>0</v>
      </c>
      <c r="S266" s="383">
        <f t="shared" si="163"/>
        <v>0</v>
      </c>
      <c r="T266" s="425">
        <f t="shared" si="161"/>
        <v>403300</v>
      </c>
    </row>
    <row r="267" spans="2:20" ht="17" thickBot="1" x14ac:dyDescent="0.25">
      <c r="B267" s="308"/>
      <c r="C267" s="457" t="s">
        <v>315</v>
      </c>
      <c r="D267" s="457"/>
      <c r="E267" s="457"/>
      <c r="F267" s="457"/>
      <c r="G267" s="457"/>
      <c r="H267" s="458">
        <v>0</v>
      </c>
      <c r="I267" s="459">
        <v>0</v>
      </c>
      <c r="J267" s="459">
        <v>0</v>
      </c>
      <c r="K267" s="459">
        <v>0</v>
      </c>
      <c r="L267" s="459">
        <v>0</v>
      </c>
      <c r="M267" s="459">
        <v>0</v>
      </c>
      <c r="N267" s="459">
        <v>0</v>
      </c>
      <c r="O267" s="459">
        <v>0</v>
      </c>
      <c r="P267" s="459">
        <v>0</v>
      </c>
      <c r="Q267" s="459">
        <v>0</v>
      </c>
      <c r="R267" s="459">
        <v>0</v>
      </c>
      <c r="S267" s="459">
        <v>0</v>
      </c>
      <c r="T267" s="417">
        <f t="shared" si="161"/>
        <v>0</v>
      </c>
    </row>
    <row r="268" spans="2:20" ht="17" thickTop="1" x14ac:dyDescent="0.2">
      <c r="B268" s="250" t="s">
        <v>144</v>
      </c>
      <c r="C268" s="237"/>
      <c r="D268" s="237"/>
      <c r="E268" s="237"/>
      <c r="F268" s="237"/>
      <c r="G268" s="237"/>
      <c r="H268" s="167">
        <f>-H266+H267</f>
        <v>-371100</v>
      </c>
      <c r="I268" s="167">
        <f t="shared" ref="I268:S268" si="164">-I266+I267</f>
        <v>-3000</v>
      </c>
      <c r="J268" s="167">
        <f t="shared" si="164"/>
        <v>-1000</v>
      </c>
      <c r="K268" s="167">
        <f t="shared" si="164"/>
        <v>0</v>
      </c>
      <c r="L268" s="167">
        <f t="shared" si="164"/>
        <v>0</v>
      </c>
      <c r="M268" s="167">
        <f t="shared" si="164"/>
        <v>-23000</v>
      </c>
      <c r="N268" s="167">
        <f t="shared" si="164"/>
        <v>-3000</v>
      </c>
      <c r="O268" s="167">
        <f t="shared" si="164"/>
        <v>-2200</v>
      </c>
      <c r="P268" s="167">
        <f t="shared" si="164"/>
        <v>0</v>
      </c>
      <c r="Q268" s="167">
        <f t="shared" si="164"/>
        <v>0</v>
      </c>
      <c r="R268" s="167">
        <f t="shared" si="164"/>
        <v>0</v>
      </c>
      <c r="S268" s="167">
        <f t="shared" si="164"/>
        <v>0</v>
      </c>
      <c r="T268" s="167">
        <f t="shared" si="161"/>
        <v>-403300</v>
      </c>
    </row>
    <row r="269" spans="2:20" x14ac:dyDescent="0.2">
      <c r="B269" s="428"/>
      <c r="C269" s="5"/>
      <c r="D269" s="5"/>
      <c r="E269" s="7"/>
      <c r="F269" s="7"/>
      <c r="G269" s="5"/>
      <c r="H269" s="393"/>
      <c r="I269" s="394"/>
      <c r="J269" s="394"/>
      <c r="K269" s="394"/>
      <c r="L269" s="394"/>
      <c r="M269" s="394"/>
      <c r="N269" s="394"/>
      <c r="O269" s="394"/>
      <c r="P269" s="394"/>
      <c r="Q269" s="394"/>
      <c r="R269" s="394"/>
      <c r="S269" s="394"/>
      <c r="T269" s="430"/>
    </row>
    <row r="270" spans="2:20" x14ac:dyDescent="0.2">
      <c r="B270" s="307" t="s">
        <v>143</v>
      </c>
      <c r="C270" s="5"/>
      <c r="D270" s="5"/>
      <c r="E270" s="7"/>
      <c r="F270" s="7"/>
      <c r="G270" s="5"/>
      <c r="H270" s="393"/>
      <c r="I270" s="394"/>
      <c r="J270" s="394"/>
      <c r="K270" s="394"/>
      <c r="L270" s="394"/>
      <c r="M270" s="394"/>
      <c r="N270" s="394"/>
      <c r="O270" s="394"/>
      <c r="P270" s="394"/>
      <c r="Q270" s="394"/>
      <c r="R270" s="394"/>
      <c r="S270" s="394"/>
      <c r="T270" s="430"/>
    </row>
    <row r="271" spans="2:20" x14ac:dyDescent="0.2">
      <c r="B271" s="308"/>
      <c r="C271" s="457" t="s">
        <v>44</v>
      </c>
      <c r="D271" s="457"/>
      <c r="E271" s="457"/>
      <c r="F271" s="457"/>
      <c r="G271" s="457"/>
      <c r="H271" s="458">
        <v>0</v>
      </c>
      <c r="I271" s="459">
        <v>0</v>
      </c>
      <c r="J271" s="459">
        <v>0</v>
      </c>
      <c r="K271" s="459">
        <v>0</v>
      </c>
      <c r="L271" s="459">
        <v>0</v>
      </c>
      <c r="M271" s="459">
        <v>0</v>
      </c>
      <c r="N271" s="459">
        <v>0</v>
      </c>
      <c r="O271" s="459">
        <v>0</v>
      </c>
      <c r="P271" s="459">
        <v>0</v>
      </c>
      <c r="Q271" s="459">
        <v>0</v>
      </c>
      <c r="R271" s="459">
        <v>0</v>
      </c>
      <c r="S271" s="459">
        <v>0</v>
      </c>
      <c r="T271" s="417">
        <f t="shared" ref="T271:T283" si="165">SUM(H271:S271)</f>
        <v>0</v>
      </c>
    </row>
    <row r="272" spans="2:20" x14ac:dyDescent="0.2">
      <c r="B272" s="308"/>
      <c r="C272" t="s">
        <v>123</v>
      </c>
      <c r="H272" s="379">
        <f>IFERROR(INDEX('Financing Schedule'!$C$13:$E$17,MATCH(H$251,'Financing Schedule'!$B$13:$B$17,FALSE),3),0)</f>
        <v>0</v>
      </c>
      <c r="I272" s="380">
        <f>IFERROR(INDEX('Financing Schedule'!$C$13:$E$17,MATCH(I$251,'Financing Schedule'!$B$13:$B$17,FALSE),3),0)</f>
        <v>0</v>
      </c>
      <c r="J272" s="380">
        <f>IFERROR(INDEX('Financing Schedule'!$C$13:$E$17,MATCH(J$251,'Financing Schedule'!$B$13:$B$17,FALSE),3),0)</f>
        <v>0</v>
      </c>
      <c r="K272" s="380">
        <f>IFERROR(INDEX('Financing Schedule'!$C$13:$E$17,MATCH(K$251,'Financing Schedule'!$B$13:$B$17,FALSE),3),0)</f>
        <v>0</v>
      </c>
      <c r="L272" s="380">
        <f>IFERROR(INDEX('Financing Schedule'!$C$13:$E$17,MATCH(L$251,'Financing Schedule'!$B$13:$B$17,FALSE),3),0)</f>
        <v>0</v>
      </c>
      <c r="M272" s="380">
        <f>IFERROR(INDEX('Financing Schedule'!$C$13:$E$17,MATCH(M$251,'Financing Schedule'!$B$13:$B$17,FALSE),3),0)</f>
        <v>0</v>
      </c>
      <c r="N272" s="380">
        <f>IFERROR(INDEX('Financing Schedule'!$C$13:$E$17,MATCH(N$251,'Financing Schedule'!$B$13:$B$17,FALSE),3),0)</f>
        <v>0</v>
      </c>
      <c r="O272" s="380">
        <f>IFERROR(INDEX('Financing Schedule'!$C$13:$E$17,MATCH(O$251,'Financing Schedule'!$B$13:$B$17,FALSE),3),0)</f>
        <v>0</v>
      </c>
      <c r="P272" s="380">
        <f>IFERROR(INDEX('Financing Schedule'!$C$13:$E$17,MATCH(P$251,'Financing Schedule'!$B$13:$B$17,FALSE),3),0)</f>
        <v>0</v>
      </c>
      <c r="Q272" s="380">
        <f>IFERROR(INDEX('Financing Schedule'!$C$13:$E$17,MATCH(Q$251,'Financing Schedule'!$B$13:$B$17,FALSE),3),0)</f>
        <v>0</v>
      </c>
      <c r="R272" s="380">
        <f>IFERROR(INDEX('Financing Schedule'!$C$13:$E$17,MATCH(R$251,'Financing Schedule'!$B$13:$B$17,FALSE),3),0)</f>
        <v>0</v>
      </c>
      <c r="S272" s="380">
        <f>IFERROR(INDEX('Financing Schedule'!$C$13:$E$17,MATCH(S$251,'Financing Schedule'!$B$13:$B$17,FALSE),3),0)</f>
        <v>0</v>
      </c>
      <c r="T272" s="417">
        <f>SUM(H272:S272)</f>
        <v>0</v>
      </c>
    </row>
    <row r="273" spans="2:20" x14ac:dyDescent="0.2">
      <c r="B273" s="308"/>
      <c r="C273" s="457" t="s">
        <v>122</v>
      </c>
      <c r="D273" s="457"/>
      <c r="E273" s="457"/>
      <c r="F273" s="457"/>
      <c r="G273" s="457"/>
      <c r="H273" s="458">
        <v>0</v>
      </c>
      <c r="I273" s="459">
        <v>0</v>
      </c>
      <c r="J273" s="459">
        <v>0</v>
      </c>
      <c r="K273" s="459">
        <v>0</v>
      </c>
      <c r="L273" s="459">
        <v>0</v>
      </c>
      <c r="M273" s="459">
        <v>0</v>
      </c>
      <c r="N273" s="459">
        <v>0</v>
      </c>
      <c r="O273" s="459">
        <v>0</v>
      </c>
      <c r="P273" s="459">
        <v>0</v>
      </c>
      <c r="Q273" s="459">
        <v>0</v>
      </c>
      <c r="R273" s="459">
        <v>0</v>
      </c>
      <c r="S273" s="459">
        <v>0</v>
      </c>
      <c r="T273" s="417">
        <f>SUM(H273:S273)</f>
        <v>0</v>
      </c>
    </row>
    <row r="274" spans="2:20" x14ac:dyDescent="0.2">
      <c r="B274" s="308"/>
      <c r="C274" t="s">
        <v>125</v>
      </c>
      <c r="H274" s="379">
        <f>IFERROR(INDEX('Financing Schedule'!$H$13:$L$17,MATCH(H$251,'Financing Schedule'!$G$13:$G$17,FALSE),3),0)</f>
        <v>0</v>
      </c>
      <c r="I274" s="380">
        <f>IFERROR(INDEX('Financing Schedule'!$H$13:$L$17,MATCH(I$251,'Financing Schedule'!$G$13:$G$17,FALSE),3),0)</f>
        <v>0</v>
      </c>
      <c r="J274" s="380">
        <f>IFERROR(INDEX('Financing Schedule'!$H$13:$L$17,MATCH(J$251,'Financing Schedule'!$G$13:$G$17,FALSE),3),0)</f>
        <v>0</v>
      </c>
      <c r="K274" s="380">
        <f>IFERROR(INDEX('Financing Schedule'!$H$13:$L$17,MATCH(K$251,'Financing Schedule'!$G$13:$G$17,FALSE),3),0)</f>
        <v>0</v>
      </c>
      <c r="L274" s="380">
        <f>IFERROR(INDEX('Financing Schedule'!$H$13:$L$17,MATCH(L$251,'Financing Schedule'!$G$13:$G$17,FALSE),3),0)</f>
        <v>0</v>
      </c>
      <c r="M274" s="380">
        <f>IFERROR(INDEX('Financing Schedule'!$H$13:$L$17,MATCH(M$251,'Financing Schedule'!$G$13:$G$17,FALSE),3),0)</f>
        <v>0</v>
      </c>
      <c r="N274" s="380">
        <f>IFERROR(INDEX('Financing Schedule'!$H$13:$L$17,MATCH(N$251,'Financing Schedule'!$G$13:$G$17,FALSE),3),0)</f>
        <v>0</v>
      </c>
      <c r="O274" s="380">
        <f>IFERROR(INDEX('Financing Schedule'!$H$13:$L$17,MATCH(O$251,'Financing Schedule'!$G$13:$G$17,FALSE),3),0)</f>
        <v>0</v>
      </c>
      <c r="P274" s="380">
        <f>IFERROR(INDEX('Financing Schedule'!$H$13:$L$17,MATCH(P$251,'Financing Schedule'!$G$13:$G$17,FALSE),3),0)</f>
        <v>0</v>
      </c>
      <c r="Q274" s="380">
        <f>IFERROR(INDEX('Financing Schedule'!$H$13:$L$17,MATCH(Q$251,'Financing Schedule'!$G$13:$G$17,FALSE),3),0)</f>
        <v>0</v>
      </c>
      <c r="R274" s="380">
        <f>IFERROR(INDEX('Financing Schedule'!$H$13:$L$17,MATCH(R$251,'Financing Schedule'!$G$13:$G$17,FALSE),3),0)</f>
        <v>0</v>
      </c>
      <c r="S274" s="380">
        <f>IFERROR(INDEX('Financing Schedule'!$H$13:$L$17,MATCH(S$251,'Financing Schedule'!$G$13:$G$17,FALSE),3),0)</f>
        <v>0</v>
      </c>
      <c r="T274" s="417">
        <f>SUM(H274:S274)</f>
        <v>0</v>
      </c>
    </row>
    <row r="275" spans="2:20" x14ac:dyDescent="0.2">
      <c r="B275" s="308"/>
      <c r="C275" t="s">
        <v>126</v>
      </c>
      <c r="H275" s="379"/>
      <c r="I275" s="380"/>
      <c r="J275" s="380"/>
      <c r="K275" s="380"/>
      <c r="L275" s="380"/>
      <c r="M275" s="380"/>
      <c r="N275" s="380"/>
      <c r="O275" s="380"/>
      <c r="P275" s="380"/>
      <c r="Q275" s="380"/>
      <c r="R275" s="380"/>
      <c r="S275" s="380"/>
      <c r="T275" s="417"/>
    </row>
    <row r="276" spans="2:20" x14ac:dyDescent="0.2">
      <c r="B276" s="308"/>
      <c r="D276" s="457" t="s">
        <v>156</v>
      </c>
      <c r="E276" s="457"/>
      <c r="F276" s="457"/>
      <c r="G276" s="457"/>
      <c r="H276" s="458">
        <v>0</v>
      </c>
      <c r="I276" s="459">
        <v>0</v>
      </c>
      <c r="J276" s="459">
        <v>0</v>
      </c>
      <c r="K276" s="459">
        <v>0</v>
      </c>
      <c r="L276" s="459">
        <v>0</v>
      </c>
      <c r="M276" s="459">
        <v>0</v>
      </c>
      <c r="N276" s="459">
        <v>0</v>
      </c>
      <c r="O276" s="459">
        <v>0</v>
      </c>
      <c r="P276" s="459">
        <v>0</v>
      </c>
      <c r="Q276" s="459">
        <v>0</v>
      </c>
      <c r="R276" s="459">
        <v>0</v>
      </c>
      <c r="S276" s="459">
        <v>0</v>
      </c>
      <c r="T276" s="417">
        <f>SUM(H276:S276)</f>
        <v>0</v>
      </c>
    </row>
    <row r="277" spans="2:20" x14ac:dyDescent="0.2">
      <c r="B277" s="308"/>
      <c r="D277" t="s">
        <v>158</v>
      </c>
      <c r="H277" s="379">
        <f>IFERROR(IF(AND(H$251&gt;'Financing Schedule'!$G13,H$251&lt;='Financing Schedule'!$G13+'Financing Schedule'!$L13),'Financing Schedule'!$I13,0),0)</f>
        <v>4166.666666666667</v>
      </c>
      <c r="I277" s="380">
        <f>IFERROR(IF(AND(I$251&gt;'Financing Schedule'!$G13,I$251&lt;='Financing Schedule'!$G13+'Financing Schedule'!$L13),'Financing Schedule'!$I13,0),0)</f>
        <v>4166.666666666667</v>
      </c>
      <c r="J277" s="380">
        <f>IFERROR(IF(AND(J$251&gt;'Financing Schedule'!$G13,J$251&lt;='Financing Schedule'!$G13+'Financing Schedule'!$L13),'Financing Schedule'!$I13,0),0)</f>
        <v>4166.666666666667</v>
      </c>
      <c r="K277" s="380">
        <f>IFERROR(IF(AND(K$251&gt;'Financing Schedule'!$G13,K$251&lt;='Financing Schedule'!$G13+'Financing Schedule'!$L13),'Financing Schedule'!$I13,0),0)</f>
        <v>4166.666666666667</v>
      </c>
      <c r="L277" s="380">
        <f>IFERROR(IF(AND(L$251&gt;'Financing Schedule'!$G13,L$251&lt;='Financing Schedule'!$G13+'Financing Schedule'!$L13),'Financing Schedule'!$I13,0),0)</f>
        <v>4166.666666666667</v>
      </c>
      <c r="M277" s="380">
        <f>IFERROR(IF(AND(M$251&gt;'Financing Schedule'!$G13,M$251&lt;='Financing Schedule'!$G13+'Financing Schedule'!$L13),'Financing Schedule'!$I13,0),0)</f>
        <v>4166.666666666667</v>
      </c>
      <c r="N277" s="380">
        <f>IFERROR(IF(AND(N$251&gt;'Financing Schedule'!$G13,N$251&lt;='Financing Schedule'!$G13+'Financing Schedule'!$L13),'Financing Schedule'!$I13,0),0)</f>
        <v>4166.666666666667</v>
      </c>
      <c r="O277" s="380">
        <f>IFERROR(IF(AND(O$251&gt;'Financing Schedule'!$G13,O$251&lt;='Financing Schedule'!$G13+'Financing Schedule'!$L13),'Financing Schedule'!$I13,0),0)</f>
        <v>4166.666666666667</v>
      </c>
      <c r="P277" s="380">
        <f>IFERROR(IF(AND(P$251&gt;'Financing Schedule'!$G13,P$251&lt;='Financing Schedule'!$G13+'Financing Schedule'!$L13),'Financing Schedule'!$I13,0),0)</f>
        <v>4166.666666666667</v>
      </c>
      <c r="Q277" s="380">
        <f>IFERROR(IF(AND(Q$251&gt;'Financing Schedule'!$G13,Q$251&lt;='Financing Schedule'!$G13+'Financing Schedule'!$L13),'Financing Schedule'!$I13,0),0)</f>
        <v>4166.666666666667</v>
      </c>
      <c r="R277" s="380">
        <f>IFERROR(IF(AND(R$251&gt;'Financing Schedule'!$G13,R$251&lt;='Financing Schedule'!$G13+'Financing Schedule'!$L13),'Financing Schedule'!$I13,0),0)</f>
        <v>4166.666666666667</v>
      </c>
      <c r="S277" s="380">
        <f>IFERROR(IF(AND(S$251&gt;'Financing Schedule'!$G13,S$251&lt;='Financing Schedule'!$G13+'Financing Schedule'!$L13),'Financing Schedule'!$I13,0),0)</f>
        <v>4166.666666666667</v>
      </c>
      <c r="T277" s="417">
        <f>SUM(H277:S277)</f>
        <v>49999.999999999993</v>
      </c>
    </row>
    <row r="278" spans="2:20" x14ac:dyDescent="0.2">
      <c r="B278" s="308"/>
      <c r="D278" t="s">
        <v>159</v>
      </c>
      <c r="H278" s="379">
        <f>IFERROR(IF(AND(H$251&gt;'Financing Schedule'!$G14,H$251&lt;='Financing Schedule'!$G14+'Financing Schedule'!$L14),'Financing Schedule'!$I14,0),0)</f>
        <v>0</v>
      </c>
      <c r="I278" s="380">
        <f>IFERROR(IF(AND(I$251&gt;'Financing Schedule'!$G14,I$251&lt;='Financing Schedule'!$G14+'Financing Schedule'!$L14),'Financing Schedule'!$I14,0),0)</f>
        <v>0</v>
      </c>
      <c r="J278" s="380">
        <f>IFERROR(IF(AND(J$251&gt;'Financing Schedule'!$G14,J$251&lt;='Financing Schedule'!$G14+'Financing Schedule'!$L14),'Financing Schedule'!$I14,0),0)</f>
        <v>0</v>
      </c>
      <c r="K278" s="380">
        <f>IFERROR(IF(AND(K$251&gt;'Financing Schedule'!$G14,K$251&lt;='Financing Schedule'!$G14+'Financing Schedule'!$L14),'Financing Schedule'!$I14,0),0)</f>
        <v>0</v>
      </c>
      <c r="L278" s="380">
        <f>IFERROR(IF(AND(L$251&gt;'Financing Schedule'!$G14,L$251&lt;='Financing Schedule'!$G14+'Financing Schedule'!$L14),'Financing Schedule'!$I14,0),0)</f>
        <v>0</v>
      </c>
      <c r="M278" s="380">
        <f>IFERROR(IF(AND(M$251&gt;'Financing Schedule'!$G14,M$251&lt;='Financing Schedule'!$G14+'Financing Schedule'!$L14),'Financing Schedule'!$I14,0),0)</f>
        <v>0</v>
      </c>
      <c r="N278" s="380">
        <f>IFERROR(IF(AND(N$251&gt;'Financing Schedule'!$G14,N$251&lt;='Financing Schedule'!$G14+'Financing Schedule'!$L14),'Financing Schedule'!$I14,0),0)</f>
        <v>0</v>
      </c>
      <c r="O278" s="380">
        <f>IFERROR(IF(AND(O$251&gt;'Financing Schedule'!$G14,O$251&lt;='Financing Schedule'!$G14+'Financing Schedule'!$L14),'Financing Schedule'!$I14,0),0)</f>
        <v>0</v>
      </c>
      <c r="P278" s="380">
        <f>IFERROR(IF(AND(P$251&gt;'Financing Schedule'!$G14,P$251&lt;='Financing Schedule'!$G14+'Financing Schedule'!$L14),'Financing Schedule'!$I14,0),0)</f>
        <v>0</v>
      </c>
      <c r="Q278" s="380">
        <f>IFERROR(IF(AND(Q$251&gt;'Financing Schedule'!$G14,Q$251&lt;='Financing Schedule'!$G14+'Financing Schedule'!$L14),'Financing Schedule'!$I14,0),0)</f>
        <v>0</v>
      </c>
      <c r="R278" s="380">
        <f>IFERROR(IF(AND(R$251&gt;'Financing Schedule'!$G14,R$251&lt;='Financing Schedule'!$G14+'Financing Schedule'!$L14),'Financing Schedule'!$I14,0),0)</f>
        <v>0</v>
      </c>
      <c r="S278" s="380">
        <f>IFERROR(IF(AND(S$251&gt;'Financing Schedule'!$G14,S$251&lt;='Financing Schedule'!$G14+'Financing Schedule'!$L14),'Financing Schedule'!$I14,0),0)</f>
        <v>0</v>
      </c>
      <c r="T278" s="417">
        <f t="shared" ref="T278:T281" si="166">SUM(H278:S278)</f>
        <v>0</v>
      </c>
    </row>
    <row r="279" spans="2:20" x14ac:dyDescent="0.2">
      <c r="B279" s="308"/>
      <c r="D279" t="s">
        <v>160</v>
      </c>
      <c r="H279" s="379">
        <f>IFERROR(IF(AND(H$251&gt;'Financing Schedule'!$G15,H$251&lt;='Financing Schedule'!$G15+'Financing Schedule'!$L15),'Financing Schedule'!$I15,0),0)</f>
        <v>0</v>
      </c>
      <c r="I279" s="380">
        <f>IFERROR(IF(AND(I$251&gt;'Financing Schedule'!$G15,I$251&lt;='Financing Schedule'!$G15+'Financing Schedule'!$L15),'Financing Schedule'!$I15,0),0)</f>
        <v>0</v>
      </c>
      <c r="J279" s="380">
        <f>IFERROR(IF(AND(J$251&gt;'Financing Schedule'!$G15,J$251&lt;='Financing Schedule'!$G15+'Financing Schedule'!$L15),'Financing Schedule'!$I15,0),0)</f>
        <v>0</v>
      </c>
      <c r="K279" s="380">
        <f>IFERROR(IF(AND(K$251&gt;'Financing Schedule'!$G15,K$251&lt;='Financing Schedule'!$G15+'Financing Schedule'!$L15),'Financing Schedule'!$I15,0),0)</f>
        <v>0</v>
      </c>
      <c r="L279" s="380">
        <f>IFERROR(IF(AND(L$251&gt;'Financing Schedule'!$G15,L$251&lt;='Financing Schedule'!$G15+'Financing Schedule'!$L15),'Financing Schedule'!$I15,0),0)</f>
        <v>0</v>
      </c>
      <c r="M279" s="380">
        <f>IFERROR(IF(AND(M$251&gt;'Financing Schedule'!$G15,M$251&lt;='Financing Schedule'!$G15+'Financing Schedule'!$L15),'Financing Schedule'!$I15,0),0)</f>
        <v>0</v>
      </c>
      <c r="N279" s="380">
        <f>IFERROR(IF(AND(N$251&gt;'Financing Schedule'!$G15,N$251&lt;='Financing Schedule'!$G15+'Financing Schedule'!$L15),'Financing Schedule'!$I15,0),0)</f>
        <v>0</v>
      </c>
      <c r="O279" s="380">
        <f>IFERROR(IF(AND(O$251&gt;'Financing Schedule'!$G15,O$251&lt;='Financing Schedule'!$G15+'Financing Schedule'!$L15),'Financing Schedule'!$I15,0),0)</f>
        <v>0</v>
      </c>
      <c r="P279" s="380">
        <f>IFERROR(IF(AND(P$251&gt;'Financing Schedule'!$G15,P$251&lt;='Financing Schedule'!$G15+'Financing Schedule'!$L15),'Financing Schedule'!$I15,0),0)</f>
        <v>0</v>
      </c>
      <c r="Q279" s="380">
        <f>IFERROR(IF(AND(Q$251&gt;'Financing Schedule'!$G15,Q$251&lt;='Financing Schedule'!$G15+'Financing Schedule'!$L15),'Financing Schedule'!$I15,0),0)</f>
        <v>0</v>
      </c>
      <c r="R279" s="380">
        <f>IFERROR(IF(AND(R$251&gt;'Financing Schedule'!$G15,R$251&lt;='Financing Schedule'!$G15+'Financing Schedule'!$L15),'Financing Schedule'!$I15,0),0)</f>
        <v>0</v>
      </c>
      <c r="S279" s="380">
        <f>IFERROR(IF(AND(S$251&gt;'Financing Schedule'!$G15,S$251&lt;='Financing Schedule'!$G15+'Financing Schedule'!$L15),'Financing Schedule'!$I15,0),0)</f>
        <v>0</v>
      </c>
      <c r="T279" s="417">
        <f t="shared" si="166"/>
        <v>0</v>
      </c>
    </row>
    <row r="280" spans="2:20" x14ac:dyDescent="0.2">
      <c r="B280" s="308"/>
      <c r="D280" t="s">
        <v>161</v>
      </c>
      <c r="H280" s="379">
        <f>IFERROR(IF(AND(H$251&gt;'Financing Schedule'!$G16,H$251&lt;='Financing Schedule'!$G16+'Financing Schedule'!$L16),'Financing Schedule'!$I16,0),0)</f>
        <v>0</v>
      </c>
      <c r="I280" s="380">
        <f>IFERROR(IF(AND(I$251&gt;'Financing Schedule'!$G16,I$251&lt;='Financing Schedule'!$G16+'Financing Schedule'!$L16),'Financing Schedule'!$I16,0),0)</f>
        <v>0</v>
      </c>
      <c r="J280" s="380">
        <f>IFERROR(IF(AND(J$251&gt;'Financing Schedule'!$G16,J$251&lt;='Financing Schedule'!$G16+'Financing Schedule'!$L16),'Financing Schedule'!$I16,0),0)</f>
        <v>0</v>
      </c>
      <c r="K280" s="380">
        <f>IFERROR(IF(AND(K$251&gt;'Financing Schedule'!$G16,K$251&lt;='Financing Schedule'!$G16+'Financing Schedule'!$L16),'Financing Schedule'!$I16,0),0)</f>
        <v>0</v>
      </c>
      <c r="L280" s="380">
        <f>IFERROR(IF(AND(L$251&gt;'Financing Schedule'!$G16,L$251&lt;='Financing Schedule'!$G16+'Financing Schedule'!$L16),'Financing Schedule'!$I16,0),0)</f>
        <v>0</v>
      </c>
      <c r="M280" s="380">
        <f>IFERROR(IF(AND(M$251&gt;'Financing Schedule'!$G16,M$251&lt;='Financing Schedule'!$G16+'Financing Schedule'!$L16),'Financing Schedule'!$I16,0),0)</f>
        <v>0</v>
      </c>
      <c r="N280" s="380">
        <f>IFERROR(IF(AND(N$251&gt;'Financing Schedule'!$G16,N$251&lt;='Financing Schedule'!$G16+'Financing Schedule'!$L16),'Financing Schedule'!$I16,0),0)</f>
        <v>0</v>
      </c>
      <c r="O280" s="380">
        <f>IFERROR(IF(AND(O$251&gt;'Financing Schedule'!$G16,O$251&lt;='Financing Schedule'!$G16+'Financing Schedule'!$L16),'Financing Schedule'!$I16,0),0)</f>
        <v>0</v>
      </c>
      <c r="P280" s="380">
        <f>IFERROR(IF(AND(P$251&gt;'Financing Schedule'!$G16,P$251&lt;='Financing Schedule'!$G16+'Financing Schedule'!$L16),'Financing Schedule'!$I16,0),0)</f>
        <v>0</v>
      </c>
      <c r="Q280" s="380">
        <f>IFERROR(IF(AND(Q$251&gt;'Financing Schedule'!$G16,Q$251&lt;='Financing Schedule'!$G16+'Financing Schedule'!$L16),'Financing Schedule'!$I16,0),0)</f>
        <v>0</v>
      </c>
      <c r="R280" s="380">
        <f>IFERROR(IF(AND(R$251&gt;'Financing Schedule'!$G16,R$251&lt;='Financing Schedule'!$G16+'Financing Schedule'!$L16),'Financing Schedule'!$I16,0),0)</f>
        <v>0</v>
      </c>
      <c r="S280" s="380">
        <f>IFERROR(IF(AND(S$251&gt;'Financing Schedule'!$G16,S$251&lt;='Financing Schedule'!$G16+'Financing Schedule'!$L16),'Financing Schedule'!$I16,0),0)</f>
        <v>0</v>
      </c>
      <c r="T280" s="417">
        <f t="shared" si="166"/>
        <v>0</v>
      </c>
    </row>
    <row r="281" spans="2:20" ht="17" thickBot="1" x14ac:dyDescent="0.25">
      <c r="B281" s="308"/>
      <c r="D281" t="s">
        <v>162</v>
      </c>
      <c r="H281" s="379">
        <f>IFERROR(IF(AND(H$251&gt;'Financing Schedule'!$G17,H$251&lt;='Financing Schedule'!$G17+'Financing Schedule'!$L17),'Financing Schedule'!$I17,0),0)</f>
        <v>0</v>
      </c>
      <c r="I281" s="380">
        <f>IFERROR(IF(AND(I$251&gt;'Financing Schedule'!$G17,I$251&lt;='Financing Schedule'!$G17+'Financing Schedule'!$L17),'Financing Schedule'!$I17,0),0)</f>
        <v>0</v>
      </c>
      <c r="J281" s="380">
        <f>IFERROR(IF(AND(J$251&gt;'Financing Schedule'!$G17,J$251&lt;='Financing Schedule'!$G17+'Financing Schedule'!$L17),'Financing Schedule'!$I17,0),0)</f>
        <v>0</v>
      </c>
      <c r="K281" s="380">
        <f>IFERROR(IF(AND(K$251&gt;'Financing Schedule'!$G17,K$251&lt;='Financing Schedule'!$G17+'Financing Schedule'!$L17),'Financing Schedule'!$I17,0),0)</f>
        <v>0</v>
      </c>
      <c r="L281" s="380">
        <f>IFERROR(IF(AND(L$251&gt;'Financing Schedule'!$G17,L$251&lt;='Financing Schedule'!$G17+'Financing Schedule'!$L17),'Financing Schedule'!$I17,0),0)</f>
        <v>0</v>
      </c>
      <c r="M281" s="380">
        <f>IFERROR(IF(AND(M$251&gt;'Financing Schedule'!$G17,M$251&lt;='Financing Schedule'!$G17+'Financing Schedule'!$L17),'Financing Schedule'!$I17,0),0)</f>
        <v>0</v>
      </c>
      <c r="N281" s="380">
        <f>IFERROR(IF(AND(N$251&gt;'Financing Schedule'!$G17,N$251&lt;='Financing Schedule'!$G17+'Financing Schedule'!$L17),'Financing Schedule'!$I17,0),0)</f>
        <v>0</v>
      </c>
      <c r="O281" s="380">
        <f>IFERROR(IF(AND(O$251&gt;'Financing Schedule'!$G17,O$251&lt;='Financing Schedule'!$G17+'Financing Schedule'!$L17),'Financing Schedule'!$I17,0),0)</f>
        <v>0</v>
      </c>
      <c r="P281" s="380">
        <f>IFERROR(IF(AND(P$251&gt;'Financing Schedule'!$G17,P$251&lt;='Financing Schedule'!$G17+'Financing Schedule'!$L17),'Financing Schedule'!$I17,0),0)</f>
        <v>0</v>
      </c>
      <c r="Q281" s="380">
        <f>IFERROR(IF(AND(Q$251&gt;'Financing Schedule'!$G17,Q$251&lt;='Financing Schedule'!$G17+'Financing Schedule'!$L17),'Financing Schedule'!$I17,0),0)</f>
        <v>0</v>
      </c>
      <c r="R281" s="380">
        <f>IFERROR(IF(AND(R$251&gt;'Financing Schedule'!$G17,R$251&lt;='Financing Schedule'!$G17+'Financing Schedule'!$L17),'Financing Schedule'!$I17,0),0)</f>
        <v>0</v>
      </c>
      <c r="S281" s="380">
        <f>IFERROR(IF(AND(S$251&gt;'Financing Schedule'!$G17,S$251&lt;='Financing Schedule'!$G17+'Financing Schedule'!$L17),'Financing Schedule'!$I17,0),0)</f>
        <v>0</v>
      </c>
      <c r="T281" s="417">
        <f t="shared" si="166"/>
        <v>0</v>
      </c>
    </row>
    <row r="282" spans="2:20" ht="18" thickTop="1" thickBot="1" x14ac:dyDescent="0.25">
      <c r="B282" s="308"/>
      <c r="C282" s="41" t="s">
        <v>124</v>
      </c>
      <c r="D282" s="42"/>
      <c r="E282" s="41"/>
      <c r="F282" s="43"/>
      <c r="G282" s="42"/>
      <c r="H282" s="391">
        <f>SUM(H276:H281)</f>
        <v>4166.666666666667</v>
      </c>
      <c r="I282" s="392">
        <f t="shared" ref="I282:S282" si="167">SUM(I276:I281)</f>
        <v>4166.666666666667</v>
      </c>
      <c r="J282" s="392">
        <f t="shared" si="167"/>
        <v>4166.666666666667</v>
      </c>
      <c r="K282" s="392">
        <f t="shared" si="167"/>
        <v>4166.666666666667</v>
      </c>
      <c r="L282" s="392">
        <f t="shared" si="167"/>
        <v>4166.666666666667</v>
      </c>
      <c r="M282" s="392">
        <f t="shared" si="167"/>
        <v>4166.666666666667</v>
      </c>
      <c r="N282" s="392">
        <f t="shared" si="167"/>
        <v>4166.666666666667</v>
      </c>
      <c r="O282" s="392">
        <f t="shared" si="167"/>
        <v>4166.666666666667</v>
      </c>
      <c r="P282" s="392">
        <f t="shared" si="167"/>
        <v>4166.666666666667</v>
      </c>
      <c r="Q282" s="392">
        <f t="shared" si="167"/>
        <v>4166.666666666667</v>
      </c>
      <c r="R282" s="392">
        <f t="shared" si="167"/>
        <v>4166.666666666667</v>
      </c>
      <c r="S282" s="392">
        <f t="shared" si="167"/>
        <v>4166.666666666667</v>
      </c>
      <c r="T282" s="433">
        <f>SUM(H282:S282)</f>
        <v>49999.999999999993</v>
      </c>
    </row>
    <row r="283" spans="2:20" ht="17" thickTop="1" x14ac:dyDescent="0.2">
      <c r="B283" s="250" t="s">
        <v>145</v>
      </c>
      <c r="C283" s="237"/>
      <c r="D283" s="237"/>
      <c r="E283" s="237"/>
      <c r="F283" s="237"/>
      <c r="G283" s="237"/>
      <c r="H283" s="167">
        <f t="shared" ref="H283:S283" si="168">SUM(H271,H272,H274)-SUM(H273,H$282)</f>
        <v>-4166.666666666667</v>
      </c>
      <c r="I283" s="167">
        <f t="shared" si="168"/>
        <v>-4166.666666666667</v>
      </c>
      <c r="J283" s="167">
        <f t="shared" si="168"/>
        <v>-4166.666666666667</v>
      </c>
      <c r="K283" s="167">
        <f t="shared" si="168"/>
        <v>-4166.666666666667</v>
      </c>
      <c r="L283" s="167">
        <f t="shared" si="168"/>
        <v>-4166.666666666667</v>
      </c>
      <c r="M283" s="167">
        <f t="shared" si="168"/>
        <v>-4166.666666666667</v>
      </c>
      <c r="N283" s="167">
        <f t="shared" si="168"/>
        <v>-4166.666666666667</v>
      </c>
      <c r="O283" s="167">
        <f t="shared" si="168"/>
        <v>-4166.666666666667</v>
      </c>
      <c r="P283" s="167">
        <f t="shared" si="168"/>
        <v>-4166.666666666667</v>
      </c>
      <c r="Q283" s="167">
        <f t="shared" si="168"/>
        <v>-4166.666666666667</v>
      </c>
      <c r="R283" s="167">
        <f t="shared" si="168"/>
        <v>-4166.666666666667</v>
      </c>
      <c r="S283" s="167">
        <f t="shared" si="168"/>
        <v>-4166.666666666667</v>
      </c>
      <c r="T283" s="167">
        <f t="shared" si="165"/>
        <v>-49999.999999999993</v>
      </c>
    </row>
    <row r="284" spans="2:20" x14ac:dyDescent="0.2">
      <c r="B284" s="428"/>
      <c r="C284" s="5"/>
      <c r="D284" s="5"/>
      <c r="E284" s="7"/>
      <c r="F284" s="7"/>
      <c r="G284" s="5"/>
      <c r="H284" s="393"/>
      <c r="I284" s="394"/>
      <c r="J284" s="394"/>
      <c r="K284" s="394"/>
      <c r="L284" s="394"/>
      <c r="M284" s="394"/>
      <c r="N284" s="394"/>
      <c r="O284" s="394"/>
      <c r="P284" s="394"/>
      <c r="Q284" s="394"/>
      <c r="R284" s="394"/>
      <c r="S284" s="394"/>
      <c r="T284" s="430"/>
    </row>
    <row r="285" spans="2:20" x14ac:dyDescent="0.2">
      <c r="B285" s="308" t="s">
        <v>50</v>
      </c>
      <c r="H285" s="379">
        <f>'Financing Schedule'!D7</f>
        <v>250000</v>
      </c>
      <c r="I285" s="380">
        <f t="shared" ref="I285:S285" si="169">H287</f>
        <v>-124378.63333333336</v>
      </c>
      <c r="J285" s="380">
        <f t="shared" si="169"/>
        <v>-156295.84844444445</v>
      </c>
      <c r="K285" s="380">
        <f t="shared" si="169"/>
        <v>-186274.26666666669</v>
      </c>
      <c r="L285" s="380">
        <f t="shared" si="169"/>
        <v>-215268.28000000003</v>
      </c>
      <c r="M285" s="380">
        <f t="shared" si="169"/>
        <v>-243860.16777777779</v>
      </c>
      <c r="N285" s="380">
        <f t="shared" si="169"/>
        <v>-295206.12466666667</v>
      </c>
      <c r="O285" s="380">
        <f t="shared" si="169"/>
        <v>-326524.51533333334</v>
      </c>
      <c r="P285" s="380">
        <f t="shared" si="169"/>
        <v>-356661.36777777778</v>
      </c>
      <c r="Q285" s="380">
        <f t="shared" si="169"/>
        <v>-384367.78533333336</v>
      </c>
      <c r="R285" s="380">
        <f t="shared" si="169"/>
        <v>-411889.42933333333</v>
      </c>
      <c r="S285" s="380">
        <f t="shared" si="169"/>
        <v>-439038.60444444441</v>
      </c>
      <c r="T285" s="417">
        <f>H285</f>
        <v>250000</v>
      </c>
    </row>
    <row r="286" spans="2:20" x14ac:dyDescent="0.2">
      <c r="B286" s="308"/>
      <c r="C286" s="24" t="s">
        <v>49</v>
      </c>
      <c r="H286" s="379">
        <f>H263+H268+H283</f>
        <v>-374378.63333333336</v>
      </c>
      <c r="I286" s="380">
        <f t="shared" ref="I286:T286" si="170">I263+I268+I283</f>
        <v>-31917.215111111098</v>
      </c>
      <c r="J286" s="380">
        <f t="shared" si="170"/>
        <v>-29978.418222222233</v>
      </c>
      <c r="K286" s="380">
        <f t="shared" si="170"/>
        <v>-28994.013333333325</v>
      </c>
      <c r="L286" s="380">
        <f t="shared" si="170"/>
        <v>-28591.887777777771</v>
      </c>
      <c r="M286" s="380">
        <f t="shared" si="170"/>
        <v>-51345.95688888889</v>
      </c>
      <c r="N286" s="380">
        <f t="shared" si="170"/>
        <v>-31318.390666666666</v>
      </c>
      <c r="O286" s="380">
        <f t="shared" si="170"/>
        <v>-30136.852444444452</v>
      </c>
      <c r="P286" s="380">
        <f t="shared" si="170"/>
        <v>-27706.417555555559</v>
      </c>
      <c r="Q286" s="380">
        <f t="shared" si="170"/>
        <v>-27521.643999999997</v>
      </c>
      <c r="R286" s="380">
        <f t="shared" si="170"/>
        <v>-27149.175111111093</v>
      </c>
      <c r="S286" s="380">
        <f t="shared" si="170"/>
        <v>-26981.716222222236</v>
      </c>
      <c r="T286" s="417">
        <f t="shared" si="170"/>
        <v>-716020.32066666661</v>
      </c>
    </row>
    <row r="287" spans="2:20" ht="17" thickBot="1" x14ac:dyDescent="0.25">
      <c r="B287" s="308" t="s">
        <v>51</v>
      </c>
      <c r="H287" s="379">
        <f>H285+H286</f>
        <v>-124378.63333333336</v>
      </c>
      <c r="I287" s="380">
        <f t="shared" ref="I287:T287" si="171">I285+I286</f>
        <v>-156295.84844444445</v>
      </c>
      <c r="J287" s="380">
        <f t="shared" si="171"/>
        <v>-186274.26666666669</v>
      </c>
      <c r="K287" s="380">
        <f t="shared" si="171"/>
        <v>-215268.28000000003</v>
      </c>
      <c r="L287" s="380">
        <f t="shared" si="171"/>
        <v>-243860.16777777779</v>
      </c>
      <c r="M287" s="380">
        <f t="shared" si="171"/>
        <v>-295206.12466666667</v>
      </c>
      <c r="N287" s="380">
        <f t="shared" si="171"/>
        <v>-326524.51533333334</v>
      </c>
      <c r="O287" s="380">
        <f t="shared" si="171"/>
        <v>-356661.36777777778</v>
      </c>
      <c r="P287" s="380">
        <f t="shared" si="171"/>
        <v>-384367.78533333336</v>
      </c>
      <c r="Q287" s="380">
        <f t="shared" si="171"/>
        <v>-411889.42933333333</v>
      </c>
      <c r="R287" s="380">
        <f t="shared" si="171"/>
        <v>-439038.60444444441</v>
      </c>
      <c r="S287" s="380">
        <f t="shared" si="171"/>
        <v>-466020.32066666667</v>
      </c>
      <c r="T287" s="417">
        <f t="shared" si="171"/>
        <v>-466020.32066666661</v>
      </c>
    </row>
    <row r="288" spans="2:20" ht="17" thickTop="1" x14ac:dyDescent="0.2">
      <c r="B288" s="250" t="s">
        <v>54</v>
      </c>
      <c r="C288" s="237"/>
      <c r="D288" s="237"/>
      <c r="E288" s="237"/>
      <c r="F288" s="237"/>
      <c r="G288" s="237"/>
      <c r="H288" s="167">
        <f>H287</f>
        <v>-124378.63333333336</v>
      </c>
      <c r="I288" s="167">
        <f t="shared" ref="I288:T288" si="172">I287</f>
        <v>-156295.84844444445</v>
      </c>
      <c r="J288" s="167">
        <f t="shared" si="172"/>
        <v>-186274.26666666669</v>
      </c>
      <c r="K288" s="167">
        <f t="shared" si="172"/>
        <v>-215268.28000000003</v>
      </c>
      <c r="L288" s="167">
        <f t="shared" si="172"/>
        <v>-243860.16777777779</v>
      </c>
      <c r="M288" s="167">
        <f t="shared" si="172"/>
        <v>-295206.12466666667</v>
      </c>
      <c r="N288" s="167">
        <f t="shared" si="172"/>
        <v>-326524.51533333334</v>
      </c>
      <c r="O288" s="167">
        <f t="shared" si="172"/>
        <v>-356661.36777777778</v>
      </c>
      <c r="P288" s="167">
        <f t="shared" si="172"/>
        <v>-384367.78533333336</v>
      </c>
      <c r="Q288" s="167">
        <f t="shared" si="172"/>
        <v>-411889.42933333333</v>
      </c>
      <c r="R288" s="167">
        <f t="shared" si="172"/>
        <v>-439038.60444444441</v>
      </c>
      <c r="S288" s="167">
        <f t="shared" si="172"/>
        <v>-466020.32066666667</v>
      </c>
      <c r="T288" s="167">
        <f t="shared" si="172"/>
        <v>-466020.32066666661</v>
      </c>
    </row>
    <row r="289" spans="2:20" ht="17" thickBot="1" x14ac:dyDescent="0.25">
      <c r="B289" s="308"/>
      <c r="H289" s="367"/>
      <c r="I289" s="368"/>
      <c r="J289" s="368"/>
      <c r="K289" s="368"/>
      <c r="L289" s="368"/>
      <c r="M289" s="368"/>
      <c r="N289" s="368"/>
      <c r="O289" s="368"/>
      <c r="P289" s="368"/>
      <c r="Q289" s="368"/>
      <c r="R289" s="368"/>
      <c r="S289" s="368"/>
      <c r="T289" s="407"/>
    </row>
    <row r="290" spans="2:20" ht="17" thickTop="1" x14ac:dyDescent="0.2">
      <c r="B290" s="250" t="s">
        <v>48</v>
      </c>
      <c r="C290" s="237"/>
      <c r="D290" s="237"/>
      <c r="E290" s="237"/>
      <c r="F290" s="237"/>
      <c r="G290" s="237"/>
      <c r="H290" s="239">
        <f>IF(H288&lt;0,ABS(H288),0)</f>
        <v>124378.63333333336</v>
      </c>
      <c r="I290" s="240">
        <f t="shared" ref="I290:T290" si="173">IF(I288&lt;0,ABS(I288),0)</f>
        <v>156295.84844444445</v>
      </c>
      <c r="J290" s="240">
        <f t="shared" si="173"/>
        <v>186274.26666666669</v>
      </c>
      <c r="K290" s="240">
        <f t="shared" si="173"/>
        <v>215268.28000000003</v>
      </c>
      <c r="L290" s="240">
        <f t="shared" si="173"/>
        <v>243860.16777777779</v>
      </c>
      <c r="M290" s="240">
        <f t="shared" si="173"/>
        <v>295206.12466666667</v>
      </c>
      <c r="N290" s="240">
        <f t="shared" si="173"/>
        <v>326524.51533333334</v>
      </c>
      <c r="O290" s="240">
        <f t="shared" si="173"/>
        <v>356661.36777777778</v>
      </c>
      <c r="P290" s="240">
        <f t="shared" si="173"/>
        <v>384367.78533333336</v>
      </c>
      <c r="Q290" s="240">
        <f t="shared" si="173"/>
        <v>411889.42933333333</v>
      </c>
      <c r="R290" s="240">
        <f t="shared" si="173"/>
        <v>439038.60444444441</v>
      </c>
      <c r="S290" s="240">
        <f t="shared" si="173"/>
        <v>466020.32066666667</v>
      </c>
      <c r="T290" s="251">
        <f t="shared" si="173"/>
        <v>466020.32066666661</v>
      </c>
    </row>
  </sheetData>
  <mergeCells count="10">
    <mergeCell ref="C174:C175"/>
    <mergeCell ref="C176:C177"/>
    <mergeCell ref="F103:G104"/>
    <mergeCell ref="E103:E104"/>
    <mergeCell ref="E85:E86"/>
    <mergeCell ref="D1:H1"/>
    <mergeCell ref="G85:G86"/>
    <mergeCell ref="F168:G169"/>
    <mergeCell ref="C170:C171"/>
    <mergeCell ref="C172:C173"/>
  </mergeCells>
  <conditionalFormatting sqref="H257:T257">
    <cfRule type="cellIs" dxfId="25" priority="1" operator="lessThan">
      <formula>0</formula>
    </cfRule>
  </conditionalFormatting>
  <conditionalFormatting sqref="H263:T263">
    <cfRule type="cellIs" dxfId="24" priority="2" operator="lessThan">
      <formula>0</formula>
    </cfRule>
  </conditionalFormatting>
  <conditionalFormatting sqref="H268:T268">
    <cfRule type="cellIs" dxfId="23" priority="3" operator="lessThan">
      <formula>0</formula>
    </cfRule>
  </conditionalFormatting>
  <conditionalFormatting sqref="H283:T283">
    <cfRule type="cellIs" dxfId="22" priority="4" operator="lessThan">
      <formula>0</formula>
    </cfRule>
  </conditionalFormatting>
  <conditionalFormatting sqref="H288:T288">
    <cfRule type="cellIs" dxfId="21" priority="5" operator="lessThan">
      <formula>0</formula>
    </cfRule>
  </conditionalFormatting>
  <dataValidations count="3">
    <dataValidation type="whole" allowBlank="1" showInputMessage="1" showErrorMessage="1" errorTitle="Exceeds Year Period" error="Please enter a period that occurs within the first year (from 1 to 12)." sqref="D188:D191" xr:uid="{00000000-0002-0000-0200-000000000000}">
      <formula1>$H$4</formula1>
      <formula2>$S$4</formula2>
    </dataValidation>
    <dataValidation type="whole" allowBlank="1" showInputMessage="1" showErrorMessage="1" errorTitle="Exceeds Year Period" error="Please enter a period that occurs within the first year (from 1 to 12)." sqref="E70:E73 E194:E199" xr:uid="{00000000-0002-0000-0200-000001000000}">
      <formula1>1</formula1>
      <formula2>12</formula2>
    </dataValidation>
    <dataValidation type="list" showInputMessage="1" showErrorMessage="1" sqref="E181 E172 E174 E176 E178:E179" xr:uid="{00000000-0002-0000-0200-000002000000}">
      <formula1>$A$301:$A$304</formula1>
    </dataValidation>
  </dataValidations>
  <hyperlinks>
    <hyperlink ref="B1" location="Introduction!A1" display="Return to Introduction Page" xr:uid="{00000000-0004-0000-0200-000000000000}"/>
  </hyperlinks>
  <pageMargins left="0.7" right="0.7" top="0.75" bottom="0.75" header="0.3" footer="0.3"/>
  <pageSetup paperSize="9" orientation="portrait"/>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200-000003000000}">
          <x14:formula1>
            <xm:f>Introduction!$A$301:$A$304</xm:f>
          </x14:formula1>
          <xm:sqref>E170</xm:sqref>
        </x14:dataValidation>
      </x14:dataValidations>
    </ex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T290"/>
  <sheetViews>
    <sheetView showGridLines="0" workbookViewId="0">
      <pane xSplit="7" topLeftCell="I1" activePane="topRight" state="frozen"/>
      <selection pane="topRight" activeCell="E3" sqref="E3"/>
    </sheetView>
  </sheetViews>
  <sheetFormatPr baseColWidth="10" defaultColWidth="11.1640625" defaultRowHeight="16" x14ac:dyDescent="0.2"/>
  <cols>
    <col min="1" max="1" width="7" style="25" customWidth="1"/>
    <col min="2" max="2" width="11" style="309" customWidth="1"/>
    <col min="3" max="3" width="18.83203125" customWidth="1"/>
    <col min="4" max="4" width="27.6640625" customWidth="1"/>
    <col min="5" max="5" width="15.33203125" customWidth="1"/>
    <col min="6" max="7" width="13.83203125" customWidth="1"/>
    <col min="8" max="20" width="19.83203125" customWidth="1"/>
    <col min="21" max="26" width="11" customWidth="1"/>
    <col min="27" max="27" width="13.33203125" customWidth="1"/>
  </cols>
  <sheetData>
    <row r="1" spans="1:20" ht="25" x14ac:dyDescent="0.25">
      <c r="A1" s="56"/>
      <c r="B1" s="108" t="s">
        <v>88</v>
      </c>
      <c r="C1" s="108"/>
      <c r="D1" s="495"/>
      <c r="E1" s="495"/>
      <c r="F1" s="495"/>
      <c r="G1" s="495"/>
      <c r="H1" s="495"/>
      <c r="I1" s="309" t="str">
        <f>"tip: input your assumptions and forecast parameters for "&amp; $E$3&amp;" on the left or in the lightly green highlighted cells below."</f>
        <v>tip: input your assumptions and forecast parameters for Year 2 (2021) on the left or in the lightly green highlighted cells below.</v>
      </c>
      <c r="J1" s="47"/>
    </row>
    <row r="2" spans="1:20" x14ac:dyDescent="0.2">
      <c r="B2" s="304"/>
      <c r="C2" s="108"/>
    </row>
    <row r="3" spans="1:20" ht="20" x14ac:dyDescent="0.2">
      <c r="B3" s="116" t="s">
        <v>0</v>
      </c>
      <c r="C3" s="327"/>
      <c r="D3" s="327"/>
      <c r="E3" s="327" t="str">
        <f>"Year 2 ("&amp;'Financing Schedule'!$D$5+1&amp;")"</f>
        <v>Year 2 (2021)</v>
      </c>
      <c r="F3" s="327"/>
      <c r="G3" s="327"/>
      <c r="H3" s="360" t="s">
        <v>127</v>
      </c>
      <c r="I3" s="361" t="s">
        <v>128</v>
      </c>
      <c r="J3" s="361" t="s">
        <v>129</v>
      </c>
      <c r="K3" s="361" t="s">
        <v>130</v>
      </c>
      <c r="L3" s="361" t="s">
        <v>131</v>
      </c>
      <c r="M3" s="361" t="s">
        <v>132</v>
      </c>
      <c r="N3" s="361" t="s">
        <v>133</v>
      </c>
      <c r="O3" s="361" t="s">
        <v>134</v>
      </c>
      <c r="P3" s="361" t="s">
        <v>135</v>
      </c>
      <c r="Q3" s="361" t="s">
        <v>136</v>
      </c>
      <c r="R3" s="361" t="s">
        <v>137</v>
      </c>
      <c r="S3" s="361" t="s">
        <v>138</v>
      </c>
      <c r="T3" s="362" t="s">
        <v>179</v>
      </c>
    </row>
    <row r="4" spans="1:20" x14ac:dyDescent="0.2">
      <c r="B4" s="401"/>
      <c r="C4" s="402"/>
      <c r="D4" s="402"/>
      <c r="E4" s="402"/>
      <c r="F4" s="402"/>
      <c r="G4" s="403" t="s">
        <v>57</v>
      </c>
      <c r="H4" s="363">
        <v>13</v>
      </c>
      <c r="I4" s="364">
        <f t="shared" ref="I4:S4" si="0">H4+1</f>
        <v>14</v>
      </c>
      <c r="J4" s="364">
        <f t="shared" si="0"/>
        <v>15</v>
      </c>
      <c r="K4" s="364">
        <f t="shared" si="0"/>
        <v>16</v>
      </c>
      <c r="L4" s="364">
        <f t="shared" si="0"/>
        <v>17</v>
      </c>
      <c r="M4" s="364">
        <f t="shared" si="0"/>
        <v>18</v>
      </c>
      <c r="N4" s="364">
        <f t="shared" si="0"/>
        <v>19</v>
      </c>
      <c r="O4" s="364">
        <f t="shared" si="0"/>
        <v>20</v>
      </c>
      <c r="P4" s="364">
        <f t="shared" si="0"/>
        <v>21</v>
      </c>
      <c r="Q4" s="364">
        <f t="shared" si="0"/>
        <v>22</v>
      </c>
      <c r="R4" s="364">
        <f t="shared" si="0"/>
        <v>23</v>
      </c>
      <c r="S4" s="364">
        <f t="shared" si="0"/>
        <v>24</v>
      </c>
      <c r="T4" s="405" t="str">
        <f>"Total for " &amp; $E$3</f>
        <v>Total for Year 2 (2021)</v>
      </c>
    </row>
    <row r="5" spans="1:20" x14ac:dyDescent="0.2">
      <c r="B5" s="308"/>
      <c r="H5" s="365"/>
      <c r="I5" s="366"/>
      <c r="J5" s="366"/>
      <c r="K5" s="366"/>
      <c r="L5" s="366"/>
      <c r="M5" s="366"/>
      <c r="N5" s="366"/>
      <c r="O5" s="366"/>
      <c r="P5" s="366"/>
      <c r="Q5" s="366"/>
      <c r="R5" s="366"/>
      <c r="S5" s="366"/>
      <c r="T5" s="406"/>
    </row>
    <row r="6" spans="1:20" x14ac:dyDescent="0.2">
      <c r="B6" s="307" t="str">
        <f>'Year 1'!B6</f>
        <v>Product Revenue</v>
      </c>
      <c r="C6" s="9"/>
      <c r="D6" s="11"/>
      <c r="E6" s="12"/>
      <c r="H6" s="367"/>
      <c r="I6" s="368"/>
      <c r="J6" s="368"/>
      <c r="K6" s="368"/>
      <c r="L6" s="368"/>
      <c r="M6" s="368"/>
      <c r="N6" s="368"/>
      <c r="O6" s="368"/>
      <c r="P6" s="368"/>
      <c r="Q6" s="368"/>
      <c r="R6" s="368"/>
      <c r="S6" s="368"/>
      <c r="T6" s="407"/>
    </row>
    <row r="7" spans="1:20" x14ac:dyDescent="0.2">
      <c r="B7" s="308"/>
      <c r="C7" t="s">
        <v>188</v>
      </c>
      <c r="E7" s="452">
        <f>'Year 1'!E7</f>
        <v>120</v>
      </c>
      <c r="G7" s="13"/>
      <c r="H7" s="367"/>
      <c r="I7" s="369"/>
      <c r="J7" s="369"/>
      <c r="K7" s="369"/>
      <c r="L7" s="369"/>
      <c r="M7" s="369"/>
      <c r="N7" s="369"/>
      <c r="O7" s="369"/>
      <c r="P7" s="369"/>
      <c r="Q7" s="369"/>
      <c r="R7" s="369"/>
      <c r="S7" s="369"/>
      <c r="T7" s="408"/>
    </row>
    <row r="8" spans="1:20" x14ac:dyDescent="0.2">
      <c r="B8" s="308"/>
      <c r="C8" t="s">
        <v>189</v>
      </c>
      <c r="E8" s="453">
        <f>IF('Year 1'!S11="",'Year 1'!S10,'Year 1'!S11)</f>
        <v>115</v>
      </c>
      <c r="H8" s="367"/>
      <c r="I8" s="368"/>
      <c r="J8" s="368"/>
      <c r="K8" s="368"/>
      <c r="L8" s="368"/>
      <c r="M8" s="368"/>
      <c r="N8" s="368"/>
      <c r="O8" s="368"/>
      <c r="P8" s="368"/>
      <c r="Q8" s="368"/>
      <c r="R8" s="368"/>
      <c r="S8" s="368"/>
      <c r="T8" s="409"/>
    </row>
    <row r="9" spans="1:20" x14ac:dyDescent="0.2">
      <c r="B9" s="308"/>
      <c r="C9" t="str">
        <f>$E$3&amp;" Sales Growth"</f>
        <v>Year 2 (2021) Sales Growth</v>
      </c>
      <c r="E9" s="454">
        <v>0.4</v>
      </c>
      <c r="G9" s="13"/>
      <c r="H9" s="370"/>
      <c r="I9" s="371"/>
      <c r="J9" s="371"/>
      <c r="K9" s="371"/>
      <c r="L9" s="371"/>
      <c r="M9" s="371"/>
      <c r="N9" s="371"/>
      <c r="O9" s="371"/>
      <c r="P9" s="371"/>
      <c r="Q9" s="371"/>
      <c r="R9" s="371"/>
      <c r="S9" s="372"/>
      <c r="T9" s="410"/>
    </row>
    <row r="10" spans="1:20" x14ac:dyDescent="0.2">
      <c r="B10" s="307" t="s">
        <v>262</v>
      </c>
      <c r="G10" s="13"/>
      <c r="H10" s="455"/>
      <c r="I10" s="456"/>
      <c r="J10" s="456"/>
      <c r="K10" s="456"/>
      <c r="L10" s="456"/>
      <c r="M10" s="456"/>
      <c r="N10" s="456"/>
      <c r="O10" s="456"/>
      <c r="P10" s="456"/>
      <c r="Q10" s="456"/>
      <c r="R10" s="456"/>
      <c r="S10" s="456"/>
      <c r="T10" s="410" t="str">
        <f>IF(SUM(H10:S10)=0,"",SUM(H10:S10))</f>
        <v/>
      </c>
    </row>
    <row r="11" spans="1:20" ht="17" thickBot="1" x14ac:dyDescent="0.25">
      <c r="B11" s="307" t="s">
        <v>294</v>
      </c>
      <c r="H11" s="370">
        <f>IFERROR(IF(H10="",ROUNDDOWN($E8+((H$4-$H$4+1)/12)*($S11-$E8),0),""),"")</f>
        <v>118</v>
      </c>
      <c r="I11" s="371">
        <f t="shared" ref="I11:R11" si="1">IFERROR(IF(I10="",ROUNDDOWN($E$8+((I$4-$H$4+1)/12)*($S11-$E$8),0),""),"")</f>
        <v>122</v>
      </c>
      <c r="J11" s="371">
        <f t="shared" si="1"/>
        <v>126</v>
      </c>
      <c r="K11" s="371">
        <f t="shared" si="1"/>
        <v>130</v>
      </c>
      <c r="L11" s="371">
        <f t="shared" si="1"/>
        <v>134</v>
      </c>
      <c r="M11" s="371">
        <f t="shared" si="1"/>
        <v>138</v>
      </c>
      <c r="N11" s="371">
        <f t="shared" si="1"/>
        <v>141</v>
      </c>
      <c r="O11" s="371">
        <f t="shared" si="1"/>
        <v>145</v>
      </c>
      <c r="P11" s="371">
        <f t="shared" si="1"/>
        <v>149</v>
      </c>
      <c r="Q11" s="371">
        <f t="shared" si="1"/>
        <v>153</v>
      </c>
      <c r="R11" s="371">
        <f t="shared" si="1"/>
        <v>157</v>
      </c>
      <c r="S11" s="371">
        <f>IFERROR(IF(S10="",ROUNDDOWN($E8*(1+$E9),0),""),"")</f>
        <v>161</v>
      </c>
      <c r="T11" s="410">
        <f>IF(SUM(H11:S11)=0,"",SUM(H11:S11))</f>
        <v>1674</v>
      </c>
    </row>
    <row r="12" spans="1:20" ht="17" thickTop="1" x14ac:dyDescent="0.2">
      <c r="B12" s="418" t="s">
        <v>257</v>
      </c>
      <c r="C12" s="419"/>
      <c r="D12" s="419"/>
      <c r="E12" s="419"/>
      <c r="F12" s="419"/>
      <c r="G12" s="420"/>
      <c r="H12" s="421">
        <f>IF(H11="",H10*$E7,H11*$E7)</f>
        <v>14160</v>
      </c>
      <c r="I12" s="422">
        <f>IF(I11="",I10*$E7,I11*$E7)</f>
        <v>14640</v>
      </c>
      <c r="J12" s="422">
        <f t="shared" ref="J12:S12" si="2">IF(J11="",J10*$E7,J11*$E7)</f>
        <v>15120</v>
      </c>
      <c r="K12" s="422">
        <f t="shared" si="2"/>
        <v>15600</v>
      </c>
      <c r="L12" s="422">
        <f t="shared" si="2"/>
        <v>16080</v>
      </c>
      <c r="M12" s="422">
        <f t="shared" si="2"/>
        <v>16560</v>
      </c>
      <c r="N12" s="422">
        <f t="shared" si="2"/>
        <v>16920</v>
      </c>
      <c r="O12" s="422">
        <f t="shared" si="2"/>
        <v>17400</v>
      </c>
      <c r="P12" s="422">
        <f t="shared" si="2"/>
        <v>17880</v>
      </c>
      <c r="Q12" s="422">
        <f t="shared" si="2"/>
        <v>18360</v>
      </c>
      <c r="R12" s="422">
        <f t="shared" si="2"/>
        <v>18840</v>
      </c>
      <c r="S12" s="422">
        <f t="shared" si="2"/>
        <v>19320</v>
      </c>
      <c r="T12" s="423">
        <f>SUM(H12:S12)</f>
        <v>200880</v>
      </c>
    </row>
    <row r="13" spans="1:20" x14ac:dyDescent="0.2">
      <c r="B13" s="308"/>
      <c r="G13" s="14"/>
      <c r="H13" s="373"/>
      <c r="I13" s="374"/>
      <c r="J13" s="374"/>
      <c r="K13" s="374"/>
      <c r="L13" s="374"/>
      <c r="M13" s="374"/>
      <c r="N13" s="374"/>
      <c r="O13" s="374"/>
      <c r="P13" s="374"/>
      <c r="Q13" s="374"/>
      <c r="R13" s="374"/>
      <c r="S13" s="374"/>
      <c r="T13" s="411"/>
    </row>
    <row r="14" spans="1:20" x14ac:dyDescent="0.2">
      <c r="B14" s="307" t="str">
        <f>'Year 1'!B14</f>
        <v>Service Revenue</v>
      </c>
      <c r="C14" s="9"/>
      <c r="D14" s="11"/>
      <c r="E14" s="58"/>
      <c r="H14" s="367"/>
      <c r="I14" s="368"/>
      <c r="J14" s="368"/>
      <c r="K14" s="368"/>
      <c r="L14" s="368"/>
      <c r="M14" s="368"/>
      <c r="N14" s="368"/>
      <c r="O14" s="368"/>
      <c r="P14" s="368"/>
      <c r="Q14" s="368"/>
      <c r="R14" s="368"/>
      <c r="S14" s="368"/>
      <c r="T14" s="407"/>
    </row>
    <row r="15" spans="1:20" x14ac:dyDescent="0.2">
      <c r="B15" s="308"/>
      <c r="C15" t="s">
        <v>255</v>
      </c>
      <c r="E15" s="452">
        <f>'Year 1'!E15</f>
        <v>10</v>
      </c>
      <c r="G15" s="13"/>
      <c r="H15" s="367"/>
      <c r="I15" s="369"/>
      <c r="J15" s="369"/>
      <c r="K15" s="369"/>
      <c r="L15" s="369"/>
      <c r="M15" s="369"/>
      <c r="N15" s="369"/>
      <c r="O15" s="369"/>
      <c r="P15" s="369"/>
      <c r="Q15" s="369"/>
      <c r="R15" s="369"/>
      <c r="S15" s="369"/>
      <c r="T15" s="408"/>
    </row>
    <row r="16" spans="1:20" x14ac:dyDescent="0.2">
      <c r="B16" s="308"/>
      <c r="C16" t="s">
        <v>256</v>
      </c>
      <c r="E16" s="453">
        <f>IF('Year 1'!S19="",'Year 1'!S18,'Year 1'!S19)</f>
        <v>29</v>
      </c>
      <c r="F16" t="s">
        <v>14</v>
      </c>
      <c r="H16" s="367"/>
      <c r="I16" s="368"/>
      <c r="J16" s="368"/>
      <c r="K16" s="368"/>
      <c r="L16" s="368"/>
      <c r="M16" s="368"/>
      <c r="N16" s="368"/>
      <c r="O16" s="368"/>
      <c r="P16" s="368"/>
      <c r="Q16" s="368"/>
      <c r="R16" s="368"/>
      <c r="S16" s="368"/>
      <c r="T16" s="409"/>
    </row>
    <row r="17" spans="2:20" x14ac:dyDescent="0.2">
      <c r="B17" s="308"/>
      <c r="C17" t="str">
        <f>$E$3&amp;" Sales Growth"</f>
        <v>Year 2 (2021) Sales Growth</v>
      </c>
      <c r="E17" s="454">
        <v>0.6</v>
      </c>
      <c r="G17" s="13"/>
      <c r="H17" s="370"/>
      <c r="I17" s="371"/>
      <c r="J17" s="371"/>
      <c r="K17" s="371"/>
      <c r="L17" s="371"/>
      <c r="M17" s="371"/>
      <c r="N17" s="371"/>
      <c r="O17" s="371"/>
      <c r="P17" s="371"/>
      <c r="Q17" s="371"/>
      <c r="R17" s="371"/>
      <c r="S17" s="372"/>
      <c r="T17" s="410"/>
    </row>
    <row r="18" spans="2:20" x14ac:dyDescent="0.2">
      <c r="B18" s="307" t="s">
        <v>260</v>
      </c>
      <c r="G18" s="13"/>
      <c r="H18" s="455"/>
      <c r="I18" s="456"/>
      <c r="J18" s="456"/>
      <c r="K18" s="456"/>
      <c r="L18" s="456"/>
      <c r="M18" s="456"/>
      <c r="N18" s="456"/>
      <c r="O18" s="456"/>
      <c r="P18" s="456"/>
      <c r="Q18" s="456"/>
      <c r="R18" s="456"/>
      <c r="S18" s="456"/>
      <c r="T18" s="410" t="str">
        <f>IF(SUM(H18:S18)=0,"",SUM(H18:S18))</f>
        <v/>
      </c>
    </row>
    <row r="19" spans="2:20" ht="17" thickBot="1" x14ac:dyDescent="0.25">
      <c r="B19" s="307" t="s">
        <v>263</v>
      </c>
      <c r="H19" s="370">
        <f>IFERROR(IF(H18="",ROUNDDOWN($E16+((H$4-$H$4+1)/12)*($S19-$E16),0),""),"")</f>
        <v>30</v>
      </c>
      <c r="I19" s="371">
        <f t="shared" ref="I19:R19" si="3">IFERROR(IF(I18="",ROUNDDOWN($E16+((I$4-$H$4+1)/12)*($S19-$E16),0),""),"")</f>
        <v>31</v>
      </c>
      <c r="J19" s="371">
        <f t="shared" si="3"/>
        <v>33</v>
      </c>
      <c r="K19" s="371">
        <f t="shared" si="3"/>
        <v>34</v>
      </c>
      <c r="L19" s="371">
        <f t="shared" si="3"/>
        <v>36</v>
      </c>
      <c r="M19" s="371">
        <f t="shared" si="3"/>
        <v>37</v>
      </c>
      <c r="N19" s="371">
        <f t="shared" si="3"/>
        <v>38</v>
      </c>
      <c r="O19" s="371">
        <f t="shared" si="3"/>
        <v>40</v>
      </c>
      <c r="P19" s="371">
        <f t="shared" si="3"/>
        <v>41</v>
      </c>
      <c r="Q19" s="371">
        <f t="shared" si="3"/>
        <v>43</v>
      </c>
      <c r="R19" s="371">
        <f t="shared" si="3"/>
        <v>44</v>
      </c>
      <c r="S19" s="371">
        <f>IFERROR(IF(S18="",ROUNDDOWN($E16*(1+$E17),0),""),"")</f>
        <v>46</v>
      </c>
      <c r="T19" s="410">
        <f>IF(SUM(H19:S19)=0,"",SUM(H19:S19))</f>
        <v>453</v>
      </c>
    </row>
    <row r="20" spans="2:20" ht="17" thickTop="1" x14ac:dyDescent="0.2">
      <c r="B20" s="418" t="s">
        <v>258</v>
      </c>
      <c r="C20" s="419"/>
      <c r="D20" s="419"/>
      <c r="E20" s="419"/>
      <c r="F20" s="419"/>
      <c r="G20" s="420"/>
      <c r="H20" s="421">
        <f>IF(H19="",H18*$E15,H19*$E15)</f>
        <v>300</v>
      </c>
      <c r="I20" s="422">
        <f>IF(I19="",I18*$E15,I19*$E15)</f>
        <v>310</v>
      </c>
      <c r="J20" s="422">
        <f t="shared" ref="J20:S20" si="4">IF(J19="",J18*$E15,J19*$E15)</f>
        <v>330</v>
      </c>
      <c r="K20" s="422">
        <f t="shared" si="4"/>
        <v>340</v>
      </c>
      <c r="L20" s="422">
        <f t="shared" si="4"/>
        <v>360</v>
      </c>
      <c r="M20" s="422">
        <f t="shared" si="4"/>
        <v>370</v>
      </c>
      <c r="N20" s="422">
        <f t="shared" si="4"/>
        <v>380</v>
      </c>
      <c r="O20" s="422">
        <f t="shared" si="4"/>
        <v>400</v>
      </c>
      <c r="P20" s="422">
        <f t="shared" si="4"/>
        <v>410</v>
      </c>
      <c r="Q20" s="422">
        <f t="shared" si="4"/>
        <v>430</v>
      </c>
      <c r="R20" s="422">
        <f t="shared" si="4"/>
        <v>440</v>
      </c>
      <c r="S20" s="422">
        <f t="shared" si="4"/>
        <v>460</v>
      </c>
      <c r="T20" s="423">
        <f>SUM(H20:S20)</f>
        <v>4530</v>
      </c>
    </row>
    <row r="21" spans="2:20" x14ac:dyDescent="0.2">
      <c r="B21" s="307"/>
      <c r="E21" s="15"/>
      <c r="G21" s="13"/>
      <c r="H21" s="367"/>
      <c r="I21" s="368"/>
      <c r="J21" s="368"/>
      <c r="K21" s="368"/>
      <c r="L21" s="368"/>
      <c r="M21" s="368"/>
      <c r="N21" s="368"/>
      <c r="O21" s="368"/>
      <c r="P21" s="368"/>
      <c r="Q21" s="368"/>
      <c r="R21" s="368"/>
      <c r="S21" s="368"/>
      <c r="T21" s="412"/>
    </row>
    <row r="22" spans="2:20" x14ac:dyDescent="0.2">
      <c r="B22" s="307" t="str">
        <f>'Year 1'!B22</f>
        <v>Billable Hours Revenue</v>
      </c>
      <c r="C22" s="9"/>
      <c r="D22" s="11"/>
      <c r="E22" s="58"/>
      <c r="H22" s="367"/>
      <c r="I22" s="368"/>
      <c r="J22" s="368"/>
      <c r="K22" s="368"/>
      <c r="L22" s="368"/>
      <c r="M22" s="368"/>
      <c r="N22" s="368"/>
      <c r="O22" s="368"/>
      <c r="P22" s="368"/>
      <c r="Q22" s="368"/>
      <c r="R22" s="368"/>
      <c r="S22" s="368"/>
      <c r="T22" s="407"/>
    </row>
    <row r="23" spans="2:20" x14ac:dyDescent="0.2">
      <c r="B23" s="308"/>
      <c r="C23" t="s">
        <v>249</v>
      </c>
      <c r="E23" s="452">
        <f>'Year 1'!E23</f>
        <v>150</v>
      </c>
      <c r="G23" s="13"/>
      <c r="H23" s="367"/>
      <c r="I23" s="369"/>
      <c r="J23" s="369"/>
      <c r="K23" s="369"/>
      <c r="L23" s="369"/>
      <c r="M23" s="369"/>
      <c r="N23" s="369"/>
      <c r="O23" s="369"/>
      <c r="P23" s="369"/>
      <c r="Q23" s="369"/>
      <c r="R23" s="369"/>
      <c r="S23" s="369"/>
      <c r="T23" s="408"/>
    </row>
    <row r="24" spans="2:20" x14ac:dyDescent="0.2">
      <c r="B24" s="308"/>
      <c r="C24" t="s">
        <v>250</v>
      </c>
      <c r="E24" s="453">
        <f>IF('Year 1'!S27="",'Year 1'!S26,'Year 1'!S27)</f>
        <v>58.5</v>
      </c>
      <c r="H24" s="367"/>
      <c r="I24" s="368"/>
      <c r="J24" s="368"/>
      <c r="K24" s="368"/>
      <c r="L24" s="368"/>
      <c r="M24" s="368"/>
      <c r="N24" s="368"/>
      <c r="O24" s="368"/>
      <c r="P24" s="368"/>
      <c r="Q24" s="368"/>
      <c r="R24" s="368"/>
      <c r="S24" s="368"/>
      <c r="T24" s="409"/>
    </row>
    <row r="25" spans="2:20" x14ac:dyDescent="0.2">
      <c r="B25" s="308"/>
      <c r="C25" t="str">
        <f>$E$3&amp;" Billable Hours Growth"</f>
        <v>Year 2 (2021) Billable Hours Growth</v>
      </c>
      <c r="E25" s="454">
        <v>0.6</v>
      </c>
      <c r="G25" s="13"/>
      <c r="H25" s="370"/>
      <c r="I25" s="371"/>
      <c r="J25" s="371"/>
      <c r="K25" s="371"/>
      <c r="L25" s="371"/>
      <c r="M25" s="371"/>
      <c r="N25" s="371"/>
      <c r="O25" s="371"/>
      <c r="P25" s="371"/>
      <c r="Q25" s="371"/>
      <c r="R25" s="371"/>
      <c r="S25" s="372"/>
      <c r="T25" s="410"/>
    </row>
    <row r="26" spans="2:20" x14ac:dyDescent="0.2">
      <c r="B26" s="307" t="s">
        <v>261</v>
      </c>
      <c r="G26" s="13"/>
      <c r="H26" s="455"/>
      <c r="I26" s="456"/>
      <c r="J26" s="456"/>
      <c r="K26" s="456"/>
      <c r="L26" s="456"/>
      <c r="M26" s="456"/>
      <c r="N26" s="456"/>
      <c r="O26" s="456"/>
      <c r="P26" s="456"/>
      <c r="Q26" s="456"/>
      <c r="R26" s="456"/>
      <c r="S26" s="456"/>
      <c r="T26" s="410" t="str">
        <f>IF(SUM(H26:S26)=0,"",SUM(H26:S26))</f>
        <v/>
      </c>
    </row>
    <row r="27" spans="2:20" ht="17" thickBot="1" x14ac:dyDescent="0.25">
      <c r="B27" s="307" t="s">
        <v>251</v>
      </c>
      <c r="H27" s="375">
        <f>IFERROR(IF(H26="",ROUNDDOWN($E24+((H$4-$H$4+1)/12)*($S27-$E24),0),""),"")</f>
        <v>61</v>
      </c>
      <c r="I27" s="376">
        <f t="shared" ref="I27:R27" si="5">IFERROR(IF(I26="",ROUNDDOWN($E24+((I$4-$H$4+1)/12)*($S27-$E24),0),""),"")</f>
        <v>64</v>
      </c>
      <c r="J27" s="376">
        <f t="shared" si="5"/>
        <v>67</v>
      </c>
      <c r="K27" s="376">
        <f t="shared" si="5"/>
        <v>70</v>
      </c>
      <c r="L27" s="376">
        <f t="shared" si="5"/>
        <v>73</v>
      </c>
      <c r="M27" s="376">
        <f t="shared" si="5"/>
        <v>76</v>
      </c>
      <c r="N27" s="376">
        <f t="shared" si="5"/>
        <v>78</v>
      </c>
      <c r="O27" s="376">
        <f t="shared" si="5"/>
        <v>81</v>
      </c>
      <c r="P27" s="376">
        <f t="shared" si="5"/>
        <v>84</v>
      </c>
      <c r="Q27" s="376">
        <f t="shared" si="5"/>
        <v>87</v>
      </c>
      <c r="R27" s="376">
        <f t="shared" si="5"/>
        <v>90</v>
      </c>
      <c r="S27" s="376">
        <f>IFERROR(IF(S26="",ROUNDDOWN($E24*(1+$E25),1),""),"")</f>
        <v>93.6</v>
      </c>
      <c r="T27" s="410">
        <f>IF(SUM(H27:S27)=0,"",SUM(H27:S27))</f>
        <v>924.6</v>
      </c>
    </row>
    <row r="28" spans="2:20" ht="17" thickTop="1" x14ac:dyDescent="0.2">
      <c r="B28" s="418" t="s">
        <v>252</v>
      </c>
      <c r="C28" s="419"/>
      <c r="D28" s="419"/>
      <c r="E28" s="419"/>
      <c r="F28" s="419"/>
      <c r="G28" s="420"/>
      <c r="H28" s="421">
        <f>IF(H27="",H26*$E23,H27*$E23)</f>
        <v>9150</v>
      </c>
      <c r="I28" s="422">
        <f>IF(I27="",I26*$E23,I27*$E23)</f>
        <v>9600</v>
      </c>
      <c r="J28" s="422">
        <f t="shared" ref="J28:S28" si="6">IF(J27="",J26*$E23,J27*$E23)</f>
        <v>10050</v>
      </c>
      <c r="K28" s="422">
        <f t="shared" si="6"/>
        <v>10500</v>
      </c>
      <c r="L28" s="422">
        <f t="shared" si="6"/>
        <v>10950</v>
      </c>
      <c r="M28" s="422">
        <f t="shared" si="6"/>
        <v>11400</v>
      </c>
      <c r="N28" s="422">
        <f t="shared" si="6"/>
        <v>11700</v>
      </c>
      <c r="O28" s="422">
        <f t="shared" si="6"/>
        <v>12150</v>
      </c>
      <c r="P28" s="422">
        <f t="shared" si="6"/>
        <v>12600</v>
      </c>
      <c r="Q28" s="422">
        <f t="shared" si="6"/>
        <v>13050</v>
      </c>
      <c r="R28" s="422">
        <f t="shared" si="6"/>
        <v>13500</v>
      </c>
      <c r="S28" s="422">
        <f t="shared" si="6"/>
        <v>14040</v>
      </c>
      <c r="T28" s="423">
        <f>SUM(H28:S28)</f>
        <v>138690</v>
      </c>
    </row>
    <row r="29" spans="2:20" x14ac:dyDescent="0.2">
      <c r="B29" s="308"/>
      <c r="E29" s="59"/>
      <c r="G29" s="13"/>
      <c r="H29" s="367"/>
      <c r="I29" s="368"/>
      <c r="J29" s="368"/>
      <c r="K29" s="368"/>
      <c r="L29" s="368"/>
      <c r="M29" s="368"/>
      <c r="N29" s="368"/>
      <c r="O29" s="368"/>
      <c r="P29" s="368"/>
      <c r="Q29" s="368"/>
      <c r="R29" s="368"/>
      <c r="S29" s="368"/>
      <c r="T29" s="412"/>
    </row>
    <row r="30" spans="2:20" x14ac:dyDescent="0.2">
      <c r="B30" s="307" t="str">
        <f>'Year 1'!B30</f>
        <v>Subscription Revenue</v>
      </c>
      <c r="C30" s="9"/>
      <c r="D30" s="11"/>
      <c r="E30" s="58"/>
      <c r="H30" s="367"/>
      <c r="I30" s="368"/>
      <c r="J30" s="368"/>
      <c r="K30" s="368"/>
      <c r="L30" s="368"/>
      <c r="M30" s="368"/>
      <c r="N30" s="368"/>
      <c r="O30" s="368"/>
      <c r="P30" s="368"/>
      <c r="Q30" s="368"/>
      <c r="R30" s="368"/>
      <c r="S30" s="368"/>
      <c r="T30" s="407"/>
    </row>
    <row r="31" spans="2:20" x14ac:dyDescent="0.2">
      <c r="B31" s="308"/>
      <c r="C31" t="s">
        <v>245</v>
      </c>
      <c r="E31" s="452">
        <f>'Year 1'!E31</f>
        <v>20</v>
      </c>
      <c r="G31" s="13"/>
      <c r="H31" s="367"/>
      <c r="I31" s="369"/>
      <c r="J31" s="369"/>
      <c r="K31" s="369"/>
      <c r="L31" s="369"/>
      <c r="M31" s="369"/>
      <c r="N31" s="369"/>
      <c r="O31" s="369"/>
      <c r="P31" s="369"/>
      <c r="Q31" s="369"/>
      <c r="R31" s="369"/>
      <c r="S31" s="369"/>
      <c r="T31" s="408"/>
    </row>
    <row r="32" spans="2:20" x14ac:dyDescent="0.2">
      <c r="B32" s="308"/>
      <c r="C32" t="s">
        <v>244</v>
      </c>
      <c r="E32" s="452">
        <f>'Year 1'!E32</f>
        <v>11</v>
      </c>
      <c r="H32" s="367"/>
      <c r="I32" s="368"/>
      <c r="J32" s="368"/>
      <c r="K32" s="368"/>
      <c r="L32" s="368"/>
      <c r="M32" s="368"/>
      <c r="N32" s="368"/>
      <c r="O32" s="368"/>
      <c r="P32" s="368"/>
      <c r="Q32" s="368"/>
      <c r="R32" s="368"/>
      <c r="S32" s="368"/>
      <c r="T32" s="409"/>
    </row>
    <row r="33" spans="2:20" x14ac:dyDescent="0.2">
      <c r="B33" s="308"/>
      <c r="C33" t="s">
        <v>259</v>
      </c>
      <c r="E33" s="453">
        <f>'Year 1'!S38</f>
        <v>31</v>
      </c>
      <c r="H33" s="367"/>
      <c r="I33" s="368"/>
      <c r="J33" s="368"/>
      <c r="K33" s="368"/>
      <c r="L33" s="368"/>
      <c r="M33" s="368"/>
      <c r="N33" s="368"/>
      <c r="O33" s="368"/>
      <c r="P33" s="368"/>
      <c r="Q33" s="368"/>
      <c r="R33" s="368"/>
      <c r="S33" s="368"/>
      <c r="T33" s="409"/>
    </row>
    <row r="34" spans="2:20" x14ac:dyDescent="0.2">
      <c r="B34" s="308"/>
      <c r="C34" t="str">
        <f>"Number of new customers per month "&amp;$E$3</f>
        <v>Number of new customers per month Year 2 (2021)</v>
      </c>
      <c r="E34" s="453">
        <v>15</v>
      </c>
      <c r="G34" s="13"/>
      <c r="H34" s="370"/>
      <c r="I34" s="371"/>
      <c r="J34" s="371"/>
      <c r="K34" s="371"/>
      <c r="L34" s="371"/>
      <c r="M34" s="371"/>
      <c r="N34" s="371"/>
      <c r="O34" s="371"/>
      <c r="P34" s="371"/>
      <c r="Q34" s="371"/>
      <c r="R34" s="371"/>
      <c r="S34" s="372"/>
      <c r="T34" s="410"/>
    </row>
    <row r="35" spans="2:20" x14ac:dyDescent="0.2">
      <c r="B35" s="308"/>
      <c r="C35" t="str">
        <f>$E$3&amp;" Churn rate"</f>
        <v>Year 2 (2021) Churn rate</v>
      </c>
      <c r="E35" s="454">
        <v>0.26</v>
      </c>
      <c r="G35" s="13"/>
      <c r="H35" s="370"/>
      <c r="I35" s="371"/>
      <c r="J35" s="371"/>
      <c r="K35" s="371"/>
      <c r="L35" s="371"/>
      <c r="M35" s="371"/>
      <c r="N35" s="371"/>
      <c r="O35" s="371"/>
      <c r="P35" s="371"/>
      <c r="Q35" s="371"/>
      <c r="R35" s="371"/>
      <c r="S35" s="372"/>
      <c r="T35" s="410"/>
    </row>
    <row r="36" spans="2:20" x14ac:dyDescent="0.2">
      <c r="B36" s="307" t="s">
        <v>273</v>
      </c>
      <c r="G36" s="13"/>
      <c r="H36" s="455"/>
      <c r="I36" s="456"/>
      <c r="J36" s="456"/>
      <c r="K36" s="456"/>
      <c r="L36" s="456"/>
      <c r="M36" s="456"/>
      <c r="N36" s="456"/>
      <c r="O36" s="456"/>
      <c r="P36" s="456"/>
      <c r="Q36" s="456"/>
      <c r="R36" s="456"/>
      <c r="S36" s="456"/>
      <c r="T36" s="410" t="str">
        <f>IF(SUM(H36:S36)=0,"",SUM(H36:S36))</f>
        <v/>
      </c>
    </row>
    <row r="37" spans="2:20" x14ac:dyDescent="0.2">
      <c r="B37" s="307" t="s">
        <v>272</v>
      </c>
      <c r="H37" s="370">
        <f>IF(H36="",$E$34,"")</f>
        <v>15</v>
      </c>
      <c r="I37" s="371">
        <f t="shared" ref="I37:S37" si="7">IF(I36="",$E$34,"")</f>
        <v>15</v>
      </c>
      <c r="J37" s="371">
        <f t="shared" si="7"/>
        <v>15</v>
      </c>
      <c r="K37" s="371">
        <f t="shared" si="7"/>
        <v>15</v>
      </c>
      <c r="L37" s="371">
        <f t="shared" si="7"/>
        <v>15</v>
      </c>
      <c r="M37" s="371">
        <f t="shared" si="7"/>
        <v>15</v>
      </c>
      <c r="N37" s="371">
        <f t="shared" si="7"/>
        <v>15</v>
      </c>
      <c r="O37" s="371">
        <f t="shared" si="7"/>
        <v>15</v>
      </c>
      <c r="P37" s="371">
        <f t="shared" si="7"/>
        <v>15</v>
      </c>
      <c r="Q37" s="371">
        <f t="shared" si="7"/>
        <v>15</v>
      </c>
      <c r="R37" s="371">
        <f t="shared" si="7"/>
        <v>15</v>
      </c>
      <c r="S37" s="371">
        <f t="shared" si="7"/>
        <v>15</v>
      </c>
      <c r="T37" s="410">
        <f>IF(SUM(H37:S37)=0,"",SUM(H37:S37))</f>
        <v>180</v>
      </c>
    </row>
    <row r="38" spans="2:20" ht="17" thickBot="1" x14ac:dyDescent="0.25">
      <c r="B38" s="307" t="s">
        <v>246</v>
      </c>
      <c r="H38" s="370">
        <f>ROUNDDOWN(IF(H$37="",H$36+$E$33-($E$33*$E$35),H$37+$E$33-($E$33*$E$35)),0)</f>
        <v>37</v>
      </c>
      <c r="I38" s="371">
        <f>ROUNDDOWN(IF(I37="",I$36+H$38-(H$38*$E$35),I$37+H$38-(H$38*$E$35)),0)</f>
        <v>42</v>
      </c>
      <c r="J38" s="371">
        <f t="shared" ref="J38:S38" si="8">ROUNDDOWN(IF(J37="",J$36+I$38-(I$38*$E$35),J$37+I$38-(I$38*$E$35)),0)</f>
        <v>46</v>
      </c>
      <c r="K38" s="371">
        <f t="shared" si="8"/>
        <v>49</v>
      </c>
      <c r="L38" s="371">
        <f t="shared" si="8"/>
        <v>51</v>
      </c>
      <c r="M38" s="371">
        <f t="shared" si="8"/>
        <v>52</v>
      </c>
      <c r="N38" s="371">
        <f t="shared" si="8"/>
        <v>53</v>
      </c>
      <c r="O38" s="371">
        <f t="shared" si="8"/>
        <v>54</v>
      </c>
      <c r="P38" s="371">
        <f t="shared" si="8"/>
        <v>54</v>
      </c>
      <c r="Q38" s="371">
        <f t="shared" si="8"/>
        <v>54</v>
      </c>
      <c r="R38" s="371">
        <f t="shared" si="8"/>
        <v>54</v>
      </c>
      <c r="S38" s="371">
        <f t="shared" si="8"/>
        <v>54</v>
      </c>
      <c r="T38" s="410">
        <f>S38</f>
        <v>54</v>
      </c>
    </row>
    <row r="39" spans="2:20" ht="17" thickTop="1" x14ac:dyDescent="0.2">
      <c r="B39" s="418" t="s">
        <v>247</v>
      </c>
      <c r="C39" s="419"/>
      <c r="D39" s="419"/>
      <c r="E39" s="419"/>
      <c r="F39" s="419"/>
      <c r="G39" s="420"/>
      <c r="H39" s="421">
        <f>IF(H$37="",H$38*$E$32+H$36*$E$31,H$38*$E$32+H$37*$E$31)</f>
        <v>707</v>
      </c>
      <c r="I39" s="422">
        <f t="shared" ref="I39:S39" si="9">IF(I$37="",I$38*$E$32+I$36*$E$31,I$38*$E$32+I$37*$E$31)</f>
        <v>762</v>
      </c>
      <c r="J39" s="422">
        <f t="shared" si="9"/>
        <v>806</v>
      </c>
      <c r="K39" s="422">
        <f t="shared" si="9"/>
        <v>839</v>
      </c>
      <c r="L39" s="422">
        <f t="shared" si="9"/>
        <v>861</v>
      </c>
      <c r="M39" s="422">
        <f t="shared" si="9"/>
        <v>872</v>
      </c>
      <c r="N39" s="422">
        <f t="shared" si="9"/>
        <v>883</v>
      </c>
      <c r="O39" s="422">
        <f t="shared" si="9"/>
        <v>894</v>
      </c>
      <c r="P39" s="422">
        <f t="shared" si="9"/>
        <v>894</v>
      </c>
      <c r="Q39" s="422">
        <f t="shared" si="9"/>
        <v>894</v>
      </c>
      <c r="R39" s="422">
        <f t="shared" si="9"/>
        <v>894</v>
      </c>
      <c r="S39" s="422">
        <f t="shared" si="9"/>
        <v>894</v>
      </c>
      <c r="T39" s="423">
        <f>SUM(H39:S39)</f>
        <v>10200</v>
      </c>
    </row>
    <row r="40" spans="2:20" ht="17" thickBot="1" x14ac:dyDescent="0.25">
      <c r="B40" s="404"/>
      <c r="C40" s="2"/>
      <c r="D40" s="2"/>
      <c r="E40" s="2"/>
      <c r="F40" s="2"/>
      <c r="G40" s="3"/>
      <c r="H40" s="377"/>
      <c r="I40" s="378"/>
      <c r="J40" s="378"/>
      <c r="K40" s="378"/>
      <c r="L40" s="378"/>
      <c r="M40" s="378"/>
      <c r="N40" s="378"/>
      <c r="O40" s="378"/>
      <c r="P40" s="378"/>
      <c r="Q40" s="378"/>
      <c r="R40" s="378"/>
      <c r="S40" s="368"/>
      <c r="T40" s="413"/>
    </row>
    <row r="41" spans="2:20" ht="17" thickTop="1" x14ac:dyDescent="0.2">
      <c r="B41" s="236" t="s">
        <v>208</v>
      </c>
      <c r="C41" s="237"/>
      <c r="D41" s="237"/>
      <c r="E41" s="237"/>
      <c r="F41" s="237"/>
      <c r="G41" s="237"/>
      <c r="H41" s="239">
        <f t="shared" ref="H41:S41" si="10">SUM(H12,H20,H28,H39)</f>
        <v>24317</v>
      </c>
      <c r="I41" s="240">
        <f t="shared" si="10"/>
        <v>25312</v>
      </c>
      <c r="J41" s="240">
        <f t="shared" si="10"/>
        <v>26306</v>
      </c>
      <c r="K41" s="240">
        <f t="shared" si="10"/>
        <v>27279</v>
      </c>
      <c r="L41" s="240">
        <f t="shared" si="10"/>
        <v>28251</v>
      </c>
      <c r="M41" s="240">
        <f t="shared" si="10"/>
        <v>29202</v>
      </c>
      <c r="N41" s="240">
        <f t="shared" si="10"/>
        <v>29883</v>
      </c>
      <c r="O41" s="240">
        <f t="shared" si="10"/>
        <v>30844</v>
      </c>
      <c r="P41" s="240">
        <f t="shared" si="10"/>
        <v>31784</v>
      </c>
      <c r="Q41" s="240">
        <f t="shared" si="10"/>
        <v>32734</v>
      </c>
      <c r="R41" s="240">
        <f t="shared" si="10"/>
        <v>33674</v>
      </c>
      <c r="S41" s="240">
        <f t="shared" si="10"/>
        <v>34714</v>
      </c>
      <c r="T41" s="240">
        <f>SUM(H41:S41)</f>
        <v>354300</v>
      </c>
    </row>
    <row r="42" spans="2:20" x14ac:dyDescent="0.2">
      <c r="B42" s="400"/>
      <c r="C42" s="5"/>
      <c r="D42" s="5"/>
      <c r="E42" s="5"/>
      <c r="F42" s="5"/>
      <c r="G42" s="5"/>
      <c r="H42" s="414"/>
      <c r="I42" s="415"/>
      <c r="J42" s="415"/>
      <c r="K42" s="415"/>
      <c r="L42" s="415"/>
      <c r="M42" s="415"/>
      <c r="N42" s="415"/>
      <c r="O42" s="415"/>
      <c r="P42" s="415"/>
      <c r="Q42" s="415"/>
      <c r="R42" s="415"/>
      <c r="S42" s="415"/>
      <c r="T42" s="416"/>
    </row>
    <row r="43" spans="2:20" ht="20" x14ac:dyDescent="0.2">
      <c r="B43" s="116" t="s">
        <v>365</v>
      </c>
      <c r="C43" s="327"/>
      <c r="D43" s="327"/>
      <c r="E43" s="327" t="str">
        <f>$E$3</f>
        <v>Year 2 (2021)</v>
      </c>
      <c r="F43" s="327"/>
      <c r="G43" s="327"/>
      <c r="H43" s="360" t="s">
        <v>127</v>
      </c>
      <c r="I43" s="361" t="s">
        <v>128</v>
      </c>
      <c r="J43" s="361" t="s">
        <v>129</v>
      </c>
      <c r="K43" s="361" t="s">
        <v>130</v>
      </c>
      <c r="L43" s="361" t="s">
        <v>131</v>
      </c>
      <c r="M43" s="361" t="s">
        <v>132</v>
      </c>
      <c r="N43" s="361" t="s">
        <v>133</v>
      </c>
      <c r="O43" s="361" t="s">
        <v>134</v>
      </c>
      <c r="P43" s="361" t="s">
        <v>135</v>
      </c>
      <c r="Q43" s="361" t="s">
        <v>136</v>
      </c>
      <c r="R43" s="361" t="s">
        <v>137</v>
      </c>
      <c r="S43" s="361" t="s">
        <v>138</v>
      </c>
      <c r="T43" s="362" t="s">
        <v>179</v>
      </c>
    </row>
    <row r="44" spans="2:20" x14ac:dyDescent="0.2">
      <c r="B44" s="401"/>
      <c r="C44" s="402"/>
      <c r="D44" s="402"/>
      <c r="E44" s="402"/>
      <c r="F44" s="402"/>
      <c r="G44" s="403" t="s">
        <v>57</v>
      </c>
      <c r="H44" s="363">
        <f>H$4</f>
        <v>13</v>
      </c>
      <c r="I44" s="364">
        <f t="shared" ref="I44:S44" si="11">I$4</f>
        <v>14</v>
      </c>
      <c r="J44" s="364">
        <f t="shared" si="11"/>
        <v>15</v>
      </c>
      <c r="K44" s="364">
        <f t="shared" si="11"/>
        <v>16</v>
      </c>
      <c r="L44" s="364">
        <f t="shared" si="11"/>
        <v>17</v>
      </c>
      <c r="M44" s="364">
        <f t="shared" si="11"/>
        <v>18</v>
      </c>
      <c r="N44" s="364">
        <f t="shared" si="11"/>
        <v>19</v>
      </c>
      <c r="O44" s="364">
        <f t="shared" si="11"/>
        <v>20</v>
      </c>
      <c r="P44" s="364">
        <f t="shared" si="11"/>
        <v>21</v>
      </c>
      <c r="Q44" s="364">
        <f t="shared" si="11"/>
        <v>22</v>
      </c>
      <c r="R44" s="364">
        <f t="shared" si="11"/>
        <v>23</v>
      </c>
      <c r="S44" s="364">
        <f t="shared" si="11"/>
        <v>24</v>
      </c>
      <c r="T44" s="405" t="str">
        <f>"Total for " &amp; $E$3</f>
        <v>Total for Year 2 (2021)</v>
      </c>
    </row>
    <row r="45" spans="2:20" x14ac:dyDescent="0.2">
      <c r="B45" s="308"/>
      <c r="E45" s="12" t="s">
        <v>312</v>
      </c>
      <c r="H45" s="367"/>
      <c r="I45" s="368"/>
      <c r="J45" s="368"/>
      <c r="K45" s="368"/>
      <c r="L45" s="368"/>
      <c r="M45" s="368"/>
      <c r="N45" s="368"/>
      <c r="O45" s="368"/>
      <c r="P45" s="368"/>
      <c r="Q45" s="368"/>
      <c r="R45" s="368"/>
      <c r="S45" s="368"/>
      <c r="T45" s="407"/>
    </row>
    <row r="46" spans="2:20" x14ac:dyDescent="0.2">
      <c r="B46" s="307" t="s">
        <v>367</v>
      </c>
      <c r="E46" s="454">
        <v>0.03</v>
      </c>
      <c r="H46" s="379">
        <f>H$12*$E46</f>
        <v>424.8</v>
      </c>
      <c r="I46" s="380">
        <f t="shared" ref="I46:S46" si="12">I$12*$E46</f>
        <v>439.2</v>
      </c>
      <c r="J46" s="380">
        <f t="shared" si="12"/>
        <v>453.59999999999997</v>
      </c>
      <c r="K46" s="380">
        <f t="shared" si="12"/>
        <v>468</v>
      </c>
      <c r="L46" s="380">
        <f t="shared" si="12"/>
        <v>482.4</v>
      </c>
      <c r="M46" s="380">
        <f t="shared" si="12"/>
        <v>496.79999999999995</v>
      </c>
      <c r="N46" s="380">
        <f t="shared" si="12"/>
        <v>507.59999999999997</v>
      </c>
      <c r="O46" s="380">
        <f t="shared" si="12"/>
        <v>522</v>
      </c>
      <c r="P46" s="380">
        <f t="shared" si="12"/>
        <v>536.4</v>
      </c>
      <c r="Q46" s="380">
        <f t="shared" si="12"/>
        <v>550.79999999999995</v>
      </c>
      <c r="R46" s="380">
        <f t="shared" si="12"/>
        <v>565.19999999999993</v>
      </c>
      <c r="S46" s="380">
        <f t="shared" si="12"/>
        <v>579.6</v>
      </c>
      <c r="T46" s="417">
        <f t="shared" ref="T46:T49" si="13">SUM(H46:S46)</f>
        <v>6026.4000000000005</v>
      </c>
    </row>
    <row r="47" spans="2:20" x14ac:dyDescent="0.2">
      <c r="B47" s="307" t="s">
        <v>368</v>
      </c>
      <c r="E47" s="454">
        <v>0.03</v>
      </c>
      <c r="H47" s="379">
        <f>H$20*$E47</f>
        <v>9</v>
      </c>
      <c r="I47" s="380">
        <f t="shared" ref="I47:S47" si="14">I$20*$E47</f>
        <v>9.2999999999999989</v>
      </c>
      <c r="J47" s="380">
        <f t="shared" si="14"/>
        <v>9.9</v>
      </c>
      <c r="K47" s="380">
        <f t="shared" si="14"/>
        <v>10.199999999999999</v>
      </c>
      <c r="L47" s="380">
        <f t="shared" si="14"/>
        <v>10.799999999999999</v>
      </c>
      <c r="M47" s="380">
        <f t="shared" si="14"/>
        <v>11.1</v>
      </c>
      <c r="N47" s="380">
        <f t="shared" si="14"/>
        <v>11.4</v>
      </c>
      <c r="O47" s="380">
        <f t="shared" si="14"/>
        <v>12</v>
      </c>
      <c r="P47" s="380">
        <f t="shared" si="14"/>
        <v>12.299999999999999</v>
      </c>
      <c r="Q47" s="380">
        <f t="shared" si="14"/>
        <v>12.9</v>
      </c>
      <c r="R47" s="380">
        <f t="shared" si="14"/>
        <v>13.2</v>
      </c>
      <c r="S47" s="380">
        <f t="shared" si="14"/>
        <v>13.799999999999999</v>
      </c>
      <c r="T47" s="417">
        <f t="shared" si="13"/>
        <v>135.9</v>
      </c>
    </row>
    <row r="48" spans="2:20" x14ac:dyDescent="0.2">
      <c r="B48" s="307" t="s">
        <v>369</v>
      </c>
      <c r="E48" s="454">
        <v>0.05</v>
      </c>
      <c r="H48" s="379">
        <f>H$28*$E48</f>
        <v>457.5</v>
      </c>
      <c r="I48" s="380">
        <f t="shared" ref="I48:S48" si="15">I$28*$E48</f>
        <v>480</v>
      </c>
      <c r="J48" s="380">
        <f t="shared" si="15"/>
        <v>502.5</v>
      </c>
      <c r="K48" s="380">
        <f t="shared" si="15"/>
        <v>525</v>
      </c>
      <c r="L48" s="380">
        <f t="shared" si="15"/>
        <v>547.5</v>
      </c>
      <c r="M48" s="380">
        <f t="shared" si="15"/>
        <v>570</v>
      </c>
      <c r="N48" s="380">
        <f t="shared" si="15"/>
        <v>585</v>
      </c>
      <c r="O48" s="380">
        <f t="shared" si="15"/>
        <v>607.5</v>
      </c>
      <c r="P48" s="380">
        <f t="shared" si="15"/>
        <v>630</v>
      </c>
      <c r="Q48" s="380">
        <f t="shared" si="15"/>
        <v>652.5</v>
      </c>
      <c r="R48" s="380">
        <f t="shared" si="15"/>
        <v>675</v>
      </c>
      <c r="S48" s="380">
        <f t="shared" si="15"/>
        <v>702</v>
      </c>
      <c r="T48" s="417">
        <f t="shared" si="13"/>
        <v>6934.5</v>
      </c>
    </row>
    <row r="49" spans="2:20" ht="17" thickBot="1" x14ac:dyDescent="0.25">
      <c r="B49" s="307" t="s">
        <v>370</v>
      </c>
      <c r="E49" s="454">
        <v>0.06</v>
      </c>
      <c r="H49" s="379">
        <f>H$39*$E49</f>
        <v>42.42</v>
      </c>
      <c r="I49" s="380">
        <f t="shared" ref="I49:S49" si="16">I$39*$E49</f>
        <v>45.72</v>
      </c>
      <c r="J49" s="380">
        <f t="shared" si="16"/>
        <v>48.36</v>
      </c>
      <c r="K49" s="380">
        <f t="shared" si="16"/>
        <v>50.339999999999996</v>
      </c>
      <c r="L49" s="380">
        <f t="shared" si="16"/>
        <v>51.66</v>
      </c>
      <c r="M49" s="380">
        <f t="shared" si="16"/>
        <v>52.32</v>
      </c>
      <c r="N49" s="380">
        <f t="shared" si="16"/>
        <v>52.98</v>
      </c>
      <c r="O49" s="380">
        <f t="shared" si="16"/>
        <v>53.64</v>
      </c>
      <c r="P49" s="380">
        <f t="shared" si="16"/>
        <v>53.64</v>
      </c>
      <c r="Q49" s="380">
        <f t="shared" si="16"/>
        <v>53.64</v>
      </c>
      <c r="R49" s="380">
        <f t="shared" si="16"/>
        <v>53.64</v>
      </c>
      <c r="S49" s="380">
        <f t="shared" si="16"/>
        <v>53.64</v>
      </c>
      <c r="T49" s="417">
        <f t="shared" si="13"/>
        <v>612</v>
      </c>
    </row>
    <row r="50" spans="2:20" ht="17" thickTop="1" x14ac:dyDescent="0.2">
      <c r="B50" s="250" t="s">
        <v>366</v>
      </c>
      <c r="C50" s="237"/>
      <c r="D50" s="237"/>
      <c r="E50" s="237"/>
      <c r="F50" s="237"/>
      <c r="G50" s="237"/>
      <c r="H50" s="239">
        <f>SUM(H46:H49)</f>
        <v>933.71999999999991</v>
      </c>
      <c r="I50" s="240">
        <f t="shared" ref="I50:S50" si="17">SUM(I46:I49)</f>
        <v>974.22</v>
      </c>
      <c r="J50" s="240">
        <f t="shared" si="17"/>
        <v>1014.36</v>
      </c>
      <c r="K50" s="240">
        <f t="shared" si="17"/>
        <v>1053.54</v>
      </c>
      <c r="L50" s="240">
        <f t="shared" si="17"/>
        <v>1092.3600000000001</v>
      </c>
      <c r="M50" s="240">
        <f t="shared" si="17"/>
        <v>1130.22</v>
      </c>
      <c r="N50" s="240">
        <f t="shared" si="17"/>
        <v>1156.98</v>
      </c>
      <c r="O50" s="240">
        <f t="shared" si="17"/>
        <v>1195.1400000000001</v>
      </c>
      <c r="P50" s="240">
        <f t="shared" si="17"/>
        <v>1232.3399999999999</v>
      </c>
      <c r="Q50" s="240">
        <f t="shared" si="17"/>
        <v>1269.8399999999999</v>
      </c>
      <c r="R50" s="240">
        <f t="shared" si="17"/>
        <v>1307.0400000000002</v>
      </c>
      <c r="S50" s="240">
        <f t="shared" si="17"/>
        <v>1349.0400000000002</v>
      </c>
      <c r="T50" s="251">
        <f>SUM(H50:S50)</f>
        <v>13708.800000000003</v>
      </c>
    </row>
    <row r="51" spans="2:20" x14ac:dyDescent="0.2">
      <c r="H51" s="367"/>
      <c r="I51" s="368"/>
      <c r="J51" s="368"/>
      <c r="K51" s="368"/>
      <c r="L51" s="368"/>
      <c r="M51" s="368"/>
      <c r="N51" s="368"/>
      <c r="O51" s="368"/>
      <c r="P51" s="368"/>
      <c r="Q51" s="368"/>
      <c r="R51" s="368"/>
      <c r="S51" s="368"/>
      <c r="T51" s="381"/>
    </row>
    <row r="52" spans="2:20" ht="20" x14ac:dyDescent="0.2">
      <c r="B52" s="116" t="s">
        <v>11</v>
      </c>
      <c r="C52" s="327"/>
      <c r="D52" s="327"/>
      <c r="E52" s="327" t="str">
        <f>$E$3</f>
        <v>Year 2 (2021)</v>
      </c>
      <c r="F52" s="327"/>
      <c r="G52" s="327"/>
      <c r="H52" s="360" t="s">
        <v>127</v>
      </c>
      <c r="I52" s="361" t="s">
        <v>128</v>
      </c>
      <c r="J52" s="361" t="s">
        <v>129</v>
      </c>
      <c r="K52" s="361" t="s">
        <v>130</v>
      </c>
      <c r="L52" s="361" t="s">
        <v>131</v>
      </c>
      <c r="M52" s="361" t="s">
        <v>132</v>
      </c>
      <c r="N52" s="361" t="s">
        <v>133</v>
      </c>
      <c r="O52" s="361" t="s">
        <v>134</v>
      </c>
      <c r="P52" s="361" t="s">
        <v>135</v>
      </c>
      <c r="Q52" s="361" t="s">
        <v>136</v>
      </c>
      <c r="R52" s="361" t="s">
        <v>137</v>
      </c>
      <c r="S52" s="361" t="s">
        <v>138</v>
      </c>
      <c r="T52" s="362" t="s">
        <v>179</v>
      </c>
    </row>
    <row r="53" spans="2:20" x14ac:dyDescent="0.2">
      <c r="B53" s="401"/>
      <c r="C53" s="402"/>
      <c r="D53" s="402"/>
      <c r="E53" s="402"/>
      <c r="F53" s="402"/>
      <c r="G53" s="403" t="s">
        <v>57</v>
      </c>
      <c r="H53" s="363">
        <f>H$4</f>
        <v>13</v>
      </c>
      <c r="I53" s="364">
        <f t="shared" ref="I53:S53" si="18">I$4</f>
        <v>14</v>
      </c>
      <c r="J53" s="364">
        <f t="shared" si="18"/>
        <v>15</v>
      </c>
      <c r="K53" s="364">
        <f t="shared" si="18"/>
        <v>16</v>
      </c>
      <c r="L53" s="364">
        <f t="shared" si="18"/>
        <v>17</v>
      </c>
      <c r="M53" s="364">
        <f t="shared" si="18"/>
        <v>18</v>
      </c>
      <c r="N53" s="364">
        <f t="shared" si="18"/>
        <v>19</v>
      </c>
      <c r="O53" s="364">
        <f t="shared" si="18"/>
        <v>20</v>
      </c>
      <c r="P53" s="364">
        <f t="shared" si="18"/>
        <v>21</v>
      </c>
      <c r="Q53" s="364">
        <f t="shared" si="18"/>
        <v>22</v>
      </c>
      <c r="R53" s="364">
        <f t="shared" si="18"/>
        <v>23</v>
      </c>
      <c r="S53" s="364">
        <f t="shared" si="18"/>
        <v>24</v>
      </c>
      <c r="T53" s="405" t="str">
        <f>"Total for " &amp; $E$3</f>
        <v>Total for Year 2 (2021)</v>
      </c>
    </row>
    <row r="54" spans="2:20" x14ac:dyDescent="0.2">
      <c r="B54" s="308"/>
      <c r="H54" s="367"/>
      <c r="I54" s="368"/>
      <c r="J54" s="368"/>
      <c r="K54" s="368"/>
      <c r="L54" s="368"/>
      <c r="M54" s="368"/>
      <c r="N54" s="368"/>
      <c r="O54" s="368"/>
      <c r="P54" s="368"/>
      <c r="Q54" s="368"/>
      <c r="R54" s="368"/>
      <c r="S54" s="368"/>
      <c r="T54" s="407"/>
    </row>
    <row r="55" spans="2:20" x14ac:dyDescent="0.2">
      <c r="B55" s="307" t="s">
        <v>267</v>
      </c>
      <c r="C55" s="10"/>
      <c r="D55" s="11"/>
      <c r="E55" s="12" t="s">
        <v>312</v>
      </c>
      <c r="H55" s="367"/>
      <c r="I55" s="368"/>
      <c r="J55" s="368"/>
      <c r="K55" s="368"/>
      <c r="L55" s="368"/>
      <c r="M55" s="368"/>
      <c r="N55" s="368"/>
      <c r="O55" s="368"/>
      <c r="P55" s="368"/>
      <c r="Q55" s="368"/>
      <c r="R55" s="368"/>
      <c r="S55" s="368"/>
      <c r="T55" s="407"/>
    </row>
    <row r="56" spans="2:20" x14ac:dyDescent="0.2">
      <c r="B56" s="307"/>
      <c r="C56" t="s">
        <v>264</v>
      </c>
      <c r="D56" s="11"/>
      <c r="E56" s="454">
        <f>'Year 1'!E56</f>
        <v>0.03</v>
      </c>
      <c r="H56" s="379">
        <f>H$12*$E56</f>
        <v>424.8</v>
      </c>
      <c r="I56" s="380">
        <f t="shared" ref="I56:S56" si="19">I$12*$E56</f>
        <v>439.2</v>
      </c>
      <c r="J56" s="380">
        <f t="shared" si="19"/>
        <v>453.59999999999997</v>
      </c>
      <c r="K56" s="380">
        <f t="shared" si="19"/>
        <v>468</v>
      </c>
      <c r="L56" s="380">
        <f t="shared" si="19"/>
        <v>482.4</v>
      </c>
      <c r="M56" s="380">
        <f t="shared" si="19"/>
        <v>496.79999999999995</v>
      </c>
      <c r="N56" s="380">
        <f t="shared" si="19"/>
        <v>507.59999999999997</v>
      </c>
      <c r="O56" s="380">
        <f t="shared" si="19"/>
        <v>522</v>
      </c>
      <c r="P56" s="380">
        <f t="shared" si="19"/>
        <v>536.4</v>
      </c>
      <c r="Q56" s="380">
        <f t="shared" si="19"/>
        <v>550.79999999999995</v>
      </c>
      <c r="R56" s="380">
        <f t="shared" si="19"/>
        <v>565.19999999999993</v>
      </c>
      <c r="S56" s="380">
        <f t="shared" si="19"/>
        <v>579.6</v>
      </c>
      <c r="T56" s="417">
        <f t="shared" ref="T56" si="20">SUM(H56:S56)</f>
        <v>6026.4000000000005</v>
      </c>
    </row>
    <row r="57" spans="2:20" x14ac:dyDescent="0.2">
      <c r="B57" s="307"/>
      <c r="C57" t="s">
        <v>265</v>
      </c>
      <c r="D57" s="11"/>
      <c r="E57" s="454">
        <f>'Year 1'!E57</f>
        <v>0.02</v>
      </c>
      <c r="H57" s="379">
        <f>H$20*$E57</f>
        <v>6</v>
      </c>
      <c r="I57" s="380">
        <f t="shared" ref="I57:S57" si="21">I$20*$E57</f>
        <v>6.2</v>
      </c>
      <c r="J57" s="380">
        <f t="shared" si="21"/>
        <v>6.6000000000000005</v>
      </c>
      <c r="K57" s="380">
        <f t="shared" si="21"/>
        <v>6.8</v>
      </c>
      <c r="L57" s="380">
        <f t="shared" si="21"/>
        <v>7.2</v>
      </c>
      <c r="M57" s="380">
        <f t="shared" si="21"/>
        <v>7.4</v>
      </c>
      <c r="N57" s="380">
        <f t="shared" si="21"/>
        <v>7.6000000000000005</v>
      </c>
      <c r="O57" s="380">
        <f t="shared" si="21"/>
        <v>8</v>
      </c>
      <c r="P57" s="380">
        <f t="shared" si="21"/>
        <v>8.1999999999999993</v>
      </c>
      <c r="Q57" s="380">
        <f t="shared" si="21"/>
        <v>8.6</v>
      </c>
      <c r="R57" s="380">
        <f t="shared" si="21"/>
        <v>8.8000000000000007</v>
      </c>
      <c r="S57" s="380">
        <f t="shared" si="21"/>
        <v>9.2000000000000011</v>
      </c>
      <c r="T57" s="417">
        <f t="shared" ref="T57:T60" si="22">SUM(H57:S57)</f>
        <v>90.6</v>
      </c>
    </row>
    <row r="58" spans="2:20" x14ac:dyDescent="0.2">
      <c r="B58" s="307"/>
      <c r="C58" t="s">
        <v>285</v>
      </c>
      <c r="D58" s="11"/>
      <c r="E58" s="454">
        <f>'Year 1'!E58</f>
        <v>0.01</v>
      </c>
      <c r="H58" s="379">
        <f>H$28*$E58</f>
        <v>91.5</v>
      </c>
      <c r="I58" s="380">
        <f t="shared" ref="I58:S58" si="23">I$28*$E58</f>
        <v>96</v>
      </c>
      <c r="J58" s="380">
        <f t="shared" si="23"/>
        <v>100.5</v>
      </c>
      <c r="K58" s="380">
        <f t="shared" si="23"/>
        <v>105</v>
      </c>
      <c r="L58" s="380">
        <f t="shared" si="23"/>
        <v>109.5</v>
      </c>
      <c r="M58" s="380">
        <f t="shared" si="23"/>
        <v>114</v>
      </c>
      <c r="N58" s="380">
        <f t="shared" si="23"/>
        <v>117</v>
      </c>
      <c r="O58" s="380">
        <f t="shared" si="23"/>
        <v>121.5</v>
      </c>
      <c r="P58" s="380">
        <f t="shared" si="23"/>
        <v>126</v>
      </c>
      <c r="Q58" s="380">
        <f t="shared" si="23"/>
        <v>130.5</v>
      </c>
      <c r="R58" s="380">
        <f t="shared" si="23"/>
        <v>135</v>
      </c>
      <c r="S58" s="380">
        <f t="shared" si="23"/>
        <v>140.4</v>
      </c>
      <c r="T58" s="417">
        <f t="shared" si="22"/>
        <v>1386.9</v>
      </c>
    </row>
    <row r="59" spans="2:20" ht="17" thickBot="1" x14ac:dyDescent="0.25">
      <c r="B59" s="308"/>
      <c r="C59" t="s">
        <v>266</v>
      </c>
      <c r="D59" s="11"/>
      <c r="E59" s="454">
        <f>'Year 1'!E59</f>
        <v>0.04</v>
      </c>
      <c r="H59" s="379">
        <f>H$39*$E59</f>
        <v>28.28</v>
      </c>
      <c r="I59" s="380">
        <f t="shared" ref="I59:S59" si="24">I$39*$E59</f>
        <v>30.48</v>
      </c>
      <c r="J59" s="380">
        <f t="shared" si="24"/>
        <v>32.24</v>
      </c>
      <c r="K59" s="380">
        <f t="shared" si="24"/>
        <v>33.56</v>
      </c>
      <c r="L59" s="380">
        <f t="shared" si="24"/>
        <v>34.44</v>
      </c>
      <c r="M59" s="380">
        <f t="shared" si="24"/>
        <v>34.880000000000003</v>
      </c>
      <c r="N59" s="380">
        <f t="shared" si="24"/>
        <v>35.32</v>
      </c>
      <c r="O59" s="380">
        <f t="shared" si="24"/>
        <v>35.76</v>
      </c>
      <c r="P59" s="380">
        <f t="shared" si="24"/>
        <v>35.76</v>
      </c>
      <c r="Q59" s="380">
        <f t="shared" si="24"/>
        <v>35.76</v>
      </c>
      <c r="R59" s="380">
        <f t="shared" si="24"/>
        <v>35.76</v>
      </c>
      <c r="S59" s="380">
        <f t="shared" si="24"/>
        <v>35.76</v>
      </c>
      <c r="T59" s="417">
        <f t="shared" si="22"/>
        <v>407.99999999999994</v>
      </c>
    </row>
    <row r="60" spans="2:20" ht="17" thickTop="1" x14ac:dyDescent="0.2">
      <c r="B60" s="418" t="s">
        <v>274</v>
      </c>
      <c r="C60" s="419"/>
      <c r="D60" s="419"/>
      <c r="E60" s="419"/>
      <c r="F60" s="419"/>
      <c r="G60" s="420"/>
      <c r="H60" s="421">
        <f>SUM(H56:H59)</f>
        <v>550.57999999999993</v>
      </c>
      <c r="I60" s="422">
        <f t="shared" ref="I60:S60" si="25">SUM(I56:I59)</f>
        <v>571.88</v>
      </c>
      <c r="J60" s="422">
        <f t="shared" si="25"/>
        <v>592.94000000000005</v>
      </c>
      <c r="K60" s="422">
        <f t="shared" si="25"/>
        <v>613.3599999999999</v>
      </c>
      <c r="L60" s="422">
        <f t="shared" si="25"/>
        <v>633.54</v>
      </c>
      <c r="M60" s="422">
        <f t="shared" si="25"/>
        <v>653.07999999999993</v>
      </c>
      <c r="N60" s="422">
        <f t="shared" si="25"/>
        <v>667.52</v>
      </c>
      <c r="O60" s="422">
        <f t="shared" si="25"/>
        <v>687.26</v>
      </c>
      <c r="P60" s="422">
        <f t="shared" si="25"/>
        <v>706.36</v>
      </c>
      <c r="Q60" s="422">
        <f t="shared" si="25"/>
        <v>725.66</v>
      </c>
      <c r="R60" s="422">
        <f t="shared" si="25"/>
        <v>744.75999999999988</v>
      </c>
      <c r="S60" s="422">
        <f t="shared" si="25"/>
        <v>764.96</v>
      </c>
      <c r="T60" s="423">
        <f t="shared" si="22"/>
        <v>7911.9</v>
      </c>
    </row>
    <row r="61" spans="2:20" x14ac:dyDescent="0.2">
      <c r="B61" s="424"/>
      <c r="C61" s="10"/>
      <c r="D61" s="11"/>
      <c r="E61" s="16"/>
      <c r="F61" s="57"/>
      <c r="G61" s="57"/>
      <c r="H61" s="382"/>
      <c r="I61" s="383"/>
      <c r="J61" s="383"/>
      <c r="K61" s="383"/>
      <c r="L61" s="383"/>
      <c r="M61" s="383"/>
      <c r="N61" s="383"/>
      <c r="O61" s="383"/>
      <c r="P61" s="383"/>
      <c r="Q61" s="383"/>
      <c r="R61" s="383"/>
      <c r="S61" s="383"/>
      <c r="T61" s="407"/>
    </row>
    <row r="62" spans="2:20" x14ac:dyDescent="0.2">
      <c r="B62" s="307" t="s">
        <v>209</v>
      </c>
      <c r="C62" s="10"/>
      <c r="D62" s="11"/>
      <c r="E62" s="12" t="s">
        <v>312</v>
      </c>
      <c r="F62" s="57"/>
      <c r="G62" s="57"/>
      <c r="H62" s="367"/>
      <c r="I62" s="368"/>
      <c r="J62" s="368"/>
      <c r="K62" s="368"/>
      <c r="L62" s="368" t="s">
        <v>14</v>
      </c>
      <c r="M62" s="368"/>
      <c r="N62" s="368"/>
      <c r="O62" s="368"/>
      <c r="P62" s="368"/>
      <c r="Q62" s="368"/>
      <c r="R62" s="368"/>
      <c r="S62" s="368"/>
      <c r="T62" s="407"/>
    </row>
    <row r="63" spans="2:20" x14ac:dyDescent="0.2">
      <c r="B63" s="307"/>
      <c r="C63" t="s">
        <v>268</v>
      </c>
      <c r="D63" s="11"/>
      <c r="E63" s="454">
        <f>'Year 1'!E63</f>
        <v>0.02</v>
      </c>
      <c r="F63" s="37"/>
      <c r="H63" s="382">
        <f>$E63*H$12</f>
        <v>283.2</v>
      </c>
      <c r="I63" s="383">
        <f t="shared" ref="I63:S63" si="26">$E63*I$12</f>
        <v>292.8</v>
      </c>
      <c r="J63" s="383">
        <f t="shared" si="26"/>
        <v>302.40000000000003</v>
      </c>
      <c r="K63" s="383">
        <f t="shared" si="26"/>
        <v>312</v>
      </c>
      <c r="L63" s="383">
        <f t="shared" si="26"/>
        <v>321.60000000000002</v>
      </c>
      <c r="M63" s="383">
        <f t="shared" si="26"/>
        <v>331.2</v>
      </c>
      <c r="N63" s="383">
        <f t="shared" si="26"/>
        <v>338.40000000000003</v>
      </c>
      <c r="O63" s="383">
        <f t="shared" si="26"/>
        <v>348</v>
      </c>
      <c r="P63" s="383">
        <f t="shared" si="26"/>
        <v>357.6</v>
      </c>
      <c r="Q63" s="383">
        <f t="shared" si="26"/>
        <v>367.2</v>
      </c>
      <c r="R63" s="383">
        <f t="shared" si="26"/>
        <v>376.8</v>
      </c>
      <c r="S63" s="383">
        <f t="shared" si="26"/>
        <v>386.40000000000003</v>
      </c>
      <c r="T63" s="417">
        <f t="shared" ref="T63:T67" si="27">SUM(H63:S63)</f>
        <v>4017.6</v>
      </c>
    </row>
    <row r="64" spans="2:20" x14ac:dyDescent="0.2">
      <c r="B64" s="307"/>
      <c r="C64" t="s">
        <v>269</v>
      </c>
      <c r="D64" s="11"/>
      <c r="E64" s="454">
        <f>'Year 1'!E64</f>
        <v>0</v>
      </c>
      <c r="F64" s="37"/>
      <c r="H64" s="382">
        <f>$E64*H$20</f>
        <v>0</v>
      </c>
      <c r="I64" s="383">
        <f t="shared" ref="I64:S64" si="28">$E64*I$20</f>
        <v>0</v>
      </c>
      <c r="J64" s="383">
        <f t="shared" si="28"/>
        <v>0</v>
      </c>
      <c r="K64" s="383">
        <f t="shared" si="28"/>
        <v>0</v>
      </c>
      <c r="L64" s="383">
        <f t="shared" si="28"/>
        <v>0</v>
      </c>
      <c r="M64" s="383">
        <f t="shared" si="28"/>
        <v>0</v>
      </c>
      <c r="N64" s="383">
        <f t="shared" si="28"/>
        <v>0</v>
      </c>
      <c r="O64" s="383">
        <f t="shared" si="28"/>
        <v>0</v>
      </c>
      <c r="P64" s="383">
        <f t="shared" si="28"/>
        <v>0</v>
      </c>
      <c r="Q64" s="383">
        <f t="shared" si="28"/>
        <v>0</v>
      </c>
      <c r="R64" s="383">
        <f t="shared" si="28"/>
        <v>0</v>
      </c>
      <c r="S64" s="383">
        <f t="shared" si="28"/>
        <v>0</v>
      </c>
      <c r="T64" s="417">
        <f t="shared" si="27"/>
        <v>0</v>
      </c>
    </row>
    <row r="65" spans="2:20" x14ac:dyDescent="0.2">
      <c r="B65" s="307"/>
      <c r="C65" t="s">
        <v>270</v>
      </c>
      <c r="D65" s="11"/>
      <c r="E65" s="454">
        <f>'Year 1'!E65</f>
        <v>0.3</v>
      </c>
      <c r="F65" s="37"/>
      <c r="H65" s="382">
        <f>$E65*H$28</f>
        <v>2745</v>
      </c>
      <c r="I65" s="383">
        <f t="shared" ref="I65:S65" si="29">$E65*I$28</f>
        <v>2880</v>
      </c>
      <c r="J65" s="383">
        <f t="shared" si="29"/>
        <v>3015</v>
      </c>
      <c r="K65" s="383">
        <f t="shared" si="29"/>
        <v>3150</v>
      </c>
      <c r="L65" s="383">
        <f t="shared" si="29"/>
        <v>3285</v>
      </c>
      <c r="M65" s="383">
        <f t="shared" si="29"/>
        <v>3420</v>
      </c>
      <c r="N65" s="383">
        <f t="shared" si="29"/>
        <v>3510</v>
      </c>
      <c r="O65" s="383">
        <f t="shared" si="29"/>
        <v>3645</v>
      </c>
      <c r="P65" s="383">
        <f t="shared" si="29"/>
        <v>3780</v>
      </c>
      <c r="Q65" s="383">
        <f t="shared" si="29"/>
        <v>3915</v>
      </c>
      <c r="R65" s="383">
        <f t="shared" si="29"/>
        <v>4050</v>
      </c>
      <c r="S65" s="383">
        <f t="shared" si="29"/>
        <v>4212</v>
      </c>
      <c r="T65" s="417">
        <f t="shared" si="27"/>
        <v>41607</v>
      </c>
    </row>
    <row r="66" spans="2:20" ht="17" thickBot="1" x14ac:dyDescent="0.25">
      <c r="B66" s="307"/>
      <c r="C66" t="s">
        <v>271</v>
      </c>
      <c r="D66" s="11"/>
      <c r="E66" s="454">
        <f>'Year 1'!E66</f>
        <v>0.12</v>
      </c>
      <c r="F66" s="37"/>
      <c r="H66" s="382">
        <f>IF(H$37="",$E66*H$36*($E$31+$E$32),$E66*$E$34*($E$31+$E$32))</f>
        <v>55.8</v>
      </c>
      <c r="I66" s="383">
        <f t="shared" ref="I66:S66" si="30">IF(I$37="",$E66*I$36*($E$31+$E$32),$E66*$E$34*($E$31+$E$32))</f>
        <v>55.8</v>
      </c>
      <c r="J66" s="383">
        <f t="shared" si="30"/>
        <v>55.8</v>
      </c>
      <c r="K66" s="383">
        <f t="shared" si="30"/>
        <v>55.8</v>
      </c>
      <c r="L66" s="383">
        <f t="shared" si="30"/>
        <v>55.8</v>
      </c>
      <c r="M66" s="383">
        <f t="shared" si="30"/>
        <v>55.8</v>
      </c>
      <c r="N66" s="383">
        <f t="shared" si="30"/>
        <v>55.8</v>
      </c>
      <c r="O66" s="383">
        <f t="shared" si="30"/>
        <v>55.8</v>
      </c>
      <c r="P66" s="383">
        <f t="shared" si="30"/>
        <v>55.8</v>
      </c>
      <c r="Q66" s="383">
        <f t="shared" si="30"/>
        <v>55.8</v>
      </c>
      <c r="R66" s="383">
        <f t="shared" si="30"/>
        <v>55.8</v>
      </c>
      <c r="S66" s="383">
        <f t="shared" si="30"/>
        <v>55.8</v>
      </c>
      <c r="T66" s="417">
        <f t="shared" si="27"/>
        <v>669.59999999999991</v>
      </c>
    </row>
    <row r="67" spans="2:20" ht="17" thickTop="1" x14ac:dyDescent="0.2">
      <c r="B67" s="418" t="s">
        <v>275</v>
      </c>
      <c r="C67" s="419"/>
      <c r="D67" s="419"/>
      <c r="E67" s="419"/>
      <c r="F67" s="419"/>
      <c r="G67" s="420"/>
      <c r="H67" s="421">
        <f t="shared" ref="H67:S67" si="31">SUM(H63:H66)</f>
        <v>3084</v>
      </c>
      <c r="I67" s="422">
        <f t="shared" si="31"/>
        <v>3228.6000000000004</v>
      </c>
      <c r="J67" s="422">
        <f t="shared" si="31"/>
        <v>3373.2000000000003</v>
      </c>
      <c r="K67" s="422">
        <f t="shared" si="31"/>
        <v>3517.8</v>
      </c>
      <c r="L67" s="422">
        <f t="shared" si="31"/>
        <v>3662.4</v>
      </c>
      <c r="M67" s="422">
        <f t="shared" si="31"/>
        <v>3807</v>
      </c>
      <c r="N67" s="422">
        <f t="shared" si="31"/>
        <v>3904.2000000000003</v>
      </c>
      <c r="O67" s="422">
        <f t="shared" si="31"/>
        <v>4048.8</v>
      </c>
      <c r="P67" s="422">
        <f t="shared" si="31"/>
        <v>4193.4000000000005</v>
      </c>
      <c r="Q67" s="422">
        <f t="shared" si="31"/>
        <v>4338</v>
      </c>
      <c r="R67" s="422">
        <f t="shared" si="31"/>
        <v>4482.6000000000004</v>
      </c>
      <c r="S67" s="422">
        <f t="shared" si="31"/>
        <v>4654.2</v>
      </c>
      <c r="T67" s="423">
        <f t="shared" si="27"/>
        <v>46294.2</v>
      </c>
    </row>
    <row r="68" spans="2:20" x14ac:dyDescent="0.2">
      <c r="B68" s="307"/>
      <c r="C68" s="10"/>
      <c r="D68" s="11"/>
      <c r="E68" s="16"/>
      <c r="H68" s="382"/>
      <c r="I68" s="384"/>
      <c r="J68" s="384"/>
      <c r="K68" s="384"/>
      <c r="L68" s="384"/>
      <c r="M68" s="384"/>
      <c r="N68" s="384"/>
      <c r="O68" s="384"/>
      <c r="P68" s="384"/>
      <c r="Q68" s="384"/>
      <c r="R68" s="384"/>
      <c r="S68" s="383"/>
      <c r="T68" s="407"/>
    </row>
    <row r="69" spans="2:20" x14ac:dyDescent="0.2">
      <c r="B69" s="307" t="s">
        <v>277</v>
      </c>
      <c r="C69" s="10"/>
      <c r="D69" s="11"/>
      <c r="E69" s="16" t="s">
        <v>180</v>
      </c>
      <c r="F69" s="16" t="s">
        <v>283</v>
      </c>
      <c r="G69" s="17" t="s">
        <v>16</v>
      </c>
      <c r="H69" s="367"/>
      <c r="I69" s="368"/>
      <c r="J69" s="368"/>
      <c r="K69" s="368"/>
      <c r="L69" s="368"/>
      <c r="M69" s="368"/>
      <c r="N69" s="368"/>
      <c r="O69" s="368"/>
      <c r="P69" s="368"/>
      <c r="Q69" s="368"/>
      <c r="R69" s="368"/>
      <c r="S69" s="368"/>
      <c r="T69" s="407"/>
    </row>
    <row r="70" spans="2:20" x14ac:dyDescent="0.2">
      <c r="B70" s="308"/>
      <c r="C70" t="s">
        <v>278</v>
      </c>
      <c r="E70" s="453" t="str">
        <f>IF(AND('Year 1'!$F70&lt;&gt;"",'Year 1'!$F70&gt;'Year 1'!$S$53),'Year 2'!$H$53,"")</f>
        <v/>
      </c>
      <c r="F70" s="453" t="str">
        <f>IF(AND('Year 1'!$F70&lt;&gt;"",'Year 1'!$F70&gt;'Year 1'!$S$53),'Year 1'!$F70,"")</f>
        <v/>
      </c>
      <c r="G70" s="452" t="str">
        <f>IF(AND('Year 1'!$F70&lt;&gt;"",'Year 1'!$F70&gt;'Year 1'!$S$53),'Year 1'!$G70,"")</f>
        <v/>
      </c>
      <c r="H70" s="382">
        <f>IF(AND($E70&lt;=H$53,$F70&gt;=H$53),$G70,0)</f>
        <v>0</v>
      </c>
      <c r="I70" s="383">
        <f t="shared" ref="I70:S70" si="32">IF(AND($E70&lt;=I$53,$F70&gt;=I$53),$G70,0)</f>
        <v>0</v>
      </c>
      <c r="J70" s="383">
        <f t="shared" si="32"/>
        <v>0</v>
      </c>
      <c r="K70" s="383">
        <f t="shared" si="32"/>
        <v>0</v>
      </c>
      <c r="L70" s="383">
        <f t="shared" si="32"/>
        <v>0</v>
      </c>
      <c r="M70" s="383">
        <f t="shared" si="32"/>
        <v>0</v>
      </c>
      <c r="N70" s="383">
        <f t="shared" si="32"/>
        <v>0</v>
      </c>
      <c r="O70" s="383">
        <f t="shared" si="32"/>
        <v>0</v>
      </c>
      <c r="P70" s="383">
        <f t="shared" si="32"/>
        <v>0</v>
      </c>
      <c r="Q70" s="383">
        <f t="shared" si="32"/>
        <v>0</v>
      </c>
      <c r="R70" s="383">
        <f t="shared" si="32"/>
        <v>0</v>
      </c>
      <c r="S70" s="383">
        <f t="shared" si="32"/>
        <v>0</v>
      </c>
      <c r="T70" s="417">
        <f t="shared" ref="T70:T73" si="33">SUM(H70:S70)</f>
        <v>0</v>
      </c>
    </row>
    <row r="71" spans="2:20" x14ac:dyDescent="0.2">
      <c r="B71" s="308"/>
      <c r="C71" t="s">
        <v>279</v>
      </c>
      <c r="E71" s="453" t="str">
        <f>IF(AND('Year 1'!$F71&lt;&gt;"",'Year 1'!$F71&gt;'Year 1'!$S$53),'Year 2'!$H$53,"")</f>
        <v/>
      </c>
      <c r="F71" s="453" t="str">
        <f>IF(AND('Year 1'!$F71&lt;&gt;"",'Year 1'!$F71&gt;'Year 1'!$S$53),'Year 1'!$F71,"")</f>
        <v/>
      </c>
      <c r="G71" s="452" t="str">
        <f>IF(AND('Year 1'!$F71&lt;&gt;"",'Year 1'!$F71&gt;'Year 1'!$S$53),'Year 1'!$G71,"")</f>
        <v/>
      </c>
      <c r="H71" s="382">
        <f t="shared" ref="H71:S73" si="34">IF(AND($E71&lt;=H$53,$F71&gt;=H$53),$G71,0)</f>
        <v>0</v>
      </c>
      <c r="I71" s="383">
        <f t="shared" si="34"/>
        <v>0</v>
      </c>
      <c r="J71" s="383">
        <f t="shared" si="34"/>
        <v>0</v>
      </c>
      <c r="K71" s="383">
        <f t="shared" si="34"/>
        <v>0</v>
      </c>
      <c r="L71" s="383">
        <f t="shared" si="34"/>
        <v>0</v>
      </c>
      <c r="M71" s="383">
        <f t="shared" si="34"/>
        <v>0</v>
      </c>
      <c r="N71" s="383">
        <f t="shared" si="34"/>
        <v>0</v>
      </c>
      <c r="O71" s="383">
        <f t="shared" si="34"/>
        <v>0</v>
      </c>
      <c r="P71" s="383">
        <f t="shared" si="34"/>
        <v>0</v>
      </c>
      <c r="Q71" s="383">
        <f t="shared" si="34"/>
        <v>0</v>
      </c>
      <c r="R71" s="383">
        <f t="shared" si="34"/>
        <v>0</v>
      </c>
      <c r="S71" s="383">
        <f t="shared" si="34"/>
        <v>0</v>
      </c>
      <c r="T71" s="417">
        <f t="shared" si="33"/>
        <v>0</v>
      </c>
    </row>
    <row r="72" spans="2:20" x14ac:dyDescent="0.2">
      <c r="B72" s="308"/>
      <c r="C72" t="s">
        <v>280</v>
      </c>
      <c r="E72" s="453">
        <f>IF(AND('Year 1'!$F72&lt;&gt;"",'Year 1'!$F72&gt;'Year 1'!$S$53),'Year 2'!$H$53,"")</f>
        <v>13</v>
      </c>
      <c r="F72" s="453">
        <f>IF(AND('Year 1'!$F72&lt;&gt;"",'Year 1'!$F72&gt;'Year 1'!$S$53),'Year 1'!$F72,"")</f>
        <v>45</v>
      </c>
      <c r="G72" s="452">
        <f>IF(AND('Year 1'!$F72&lt;&gt;"",'Year 1'!$F72&gt;'Year 1'!$S$53),'Year 1'!$G72,"")</f>
        <v>20</v>
      </c>
      <c r="H72" s="382">
        <f t="shared" si="34"/>
        <v>20</v>
      </c>
      <c r="I72" s="383">
        <f t="shared" si="34"/>
        <v>20</v>
      </c>
      <c r="J72" s="383">
        <f t="shared" si="34"/>
        <v>20</v>
      </c>
      <c r="K72" s="383">
        <f t="shared" si="34"/>
        <v>20</v>
      </c>
      <c r="L72" s="383">
        <f t="shared" si="34"/>
        <v>20</v>
      </c>
      <c r="M72" s="383">
        <f t="shared" si="34"/>
        <v>20</v>
      </c>
      <c r="N72" s="383">
        <f t="shared" si="34"/>
        <v>20</v>
      </c>
      <c r="O72" s="383">
        <f t="shared" si="34"/>
        <v>20</v>
      </c>
      <c r="P72" s="383">
        <f t="shared" si="34"/>
        <v>20</v>
      </c>
      <c r="Q72" s="383">
        <f t="shared" si="34"/>
        <v>20</v>
      </c>
      <c r="R72" s="383">
        <f t="shared" si="34"/>
        <v>20</v>
      </c>
      <c r="S72" s="383">
        <f t="shared" si="34"/>
        <v>20</v>
      </c>
      <c r="T72" s="417">
        <f t="shared" si="33"/>
        <v>240</v>
      </c>
    </row>
    <row r="73" spans="2:20" ht="17" thickBot="1" x14ac:dyDescent="0.25">
      <c r="B73" s="308"/>
      <c r="C73" t="s">
        <v>281</v>
      </c>
      <c r="E73" s="453">
        <f>IF(AND('Year 1'!$F73&lt;&gt;"",'Year 1'!$F73&gt;'Year 1'!$S$53),'Year 2'!$H$53,"")</f>
        <v>13</v>
      </c>
      <c r="F73" s="453">
        <f>IF(AND('Year 1'!$F73&lt;&gt;"",'Year 1'!$F73&gt;'Year 1'!$S$53),'Year 1'!$F73,"")</f>
        <v>27</v>
      </c>
      <c r="G73" s="452">
        <f>IF(AND('Year 1'!$F73&lt;&gt;"",'Year 1'!$F73&gt;'Year 1'!$S$53),'Year 1'!$G73,"")</f>
        <v>400</v>
      </c>
      <c r="H73" s="382">
        <f t="shared" si="34"/>
        <v>400</v>
      </c>
      <c r="I73" s="383">
        <f t="shared" si="34"/>
        <v>400</v>
      </c>
      <c r="J73" s="383">
        <f t="shared" si="34"/>
        <v>400</v>
      </c>
      <c r="K73" s="383">
        <f t="shared" si="34"/>
        <v>400</v>
      </c>
      <c r="L73" s="383">
        <f t="shared" si="34"/>
        <v>400</v>
      </c>
      <c r="M73" s="383">
        <f t="shared" si="34"/>
        <v>400</v>
      </c>
      <c r="N73" s="383">
        <f t="shared" si="34"/>
        <v>400</v>
      </c>
      <c r="O73" s="383">
        <f t="shared" si="34"/>
        <v>400</v>
      </c>
      <c r="P73" s="383">
        <f t="shared" si="34"/>
        <v>400</v>
      </c>
      <c r="Q73" s="383">
        <f t="shared" si="34"/>
        <v>400</v>
      </c>
      <c r="R73" s="383">
        <f t="shared" si="34"/>
        <v>400</v>
      </c>
      <c r="S73" s="383">
        <f t="shared" si="34"/>
        <v>400</v>
      </c>
      <c r="T73" s="417">
        <f t="shared" si="33"/>
        <v>4800</v>
      </c>
    </row>
    <row r="74" spans="2:20" ht="17" thickTop="1" x14ac:dyDescent="0.2">
      <c r="B74" s="418" t="s">
        <v>282</v>
      </c>
      <c r="C74" s="419"/>
      <c r="D74" s="419"/>
      <c r="E74" s="419"/>
      <c r="F74" s="419"/>
      <c r="G74" s="420"/>
      <c r="H74" s="421">
        <f>SUM(H70:H73)</f>
        <v>420</v>
      </c>
      <c r="I74" s="422">
        <f t="shared" ref="I74:S74" si="35">SUM(I70:I73)</f>
        <v>420</v>
      </c>
      <c r="J74" s="422">
        <f t="shared" si="35"/>
        <v>420</v>
      </c>
      <c r="K74" s="422">
        <f t="shared" si="35"/>
        <v>420</v>
      </c>
      <c r="L74" s="422">
        <f t="shared" si="35"/>
        <v>420</v>
      </c>
      <c r="M74" s="422">
        <f t="shared" si="35"/>
        <v>420</v>
      </c>
      <c r="N74" s="422">
        <f t="shared" si="35"/>
        <v>420</v>
      </c>
      <c r="O74" s="422">
        <f t="shared" si="35"/>
        <v>420</v>
      </c>
      <c r="P74" s="422">
        <f t="shared" si="35"/>
        <v>420</v>
      </c>
      <c r="Q74" s="422">
        <f t="shared" si="35"/>
        <v>420</v>
      </c>
      <c r="R74" s="422">
        <f t="shared" si="35"/>
        <v>420</v>
      </c>
      <c r="S74" s="422">
        <f t="shared" si="35"/>
        <v>420</v>
      </c>
      <c r="T74" s="423">
        <f>SUM(H74:S74)</f>
        <v>5040</v>
      </c>
    </row>
    <row r="75" spans="2:20" x14ac:dyDescent="0.2">
      <c r="B75" s="308"/>
      <c r="H75" s="367"/>
      <c r="I75" s="383"/>
      <c r="J75" s="383"/>
      <c r="K75" s="383"/>
      <c r="L75" s="383"/>
      <c r="M75" s="383"/>
      <c r="N75" s="383"/>
      <c r="O75" s="383"/>
      <c r="P75" s="383"/>
      <c r="Q75" s="383"/>
      <c r="R75" s="383"/>
      <c r="S75" s="383"/>
      <c r="T75" s="407"/>
    </row>
    <row r="76" spans="2:20" x14ac:dyDescent="0.2">
      <c r="B76" s="307" t="s">
        <v>25</v>
      </c>
      <c r="C76" s="10"/>
      <c r="D76" s="11"/>
      <c r="E76" s="17" t="s">
        <v>12</v>
      </c>
      <c r="G76" s="32"/>
      <c r="H76" s="367"/>
      <c r="I76" s="368"/>
      <c r="J76" s="368"/>
      <c r="K76" s="368"/>
      <c r="L76" s="368"/>
      <c r="M76" s="368"/>
      <c r="N76" s="368"/>
      <c r="O76" s="368"/>
      <c r="P76" s="368"/>
      <c r="Q76" s="368"/>
      <c r="R76" s="368"/>
      <c r="S76" s="368"/>
      <c r="T76" s="407"/>
    </row>
    <row r="77" spans="2:20" x14ac:dyDescent="0.2">
      <c r="B77" s="308"/>
      <c r="C77" t="s">
        <v>26</v>
      </c>
      <c r="D77" s="11"/>
      <c r="E77" s="454">
        <v>3.4000000000000002E-2</v>
      </c>
      <c r="H77" s="379">
        <f t="shared" ref="H77:S78" si="36">H$41*$E77</f>
        <v>826.77800000000002</v>
      </c>
      <c r="I77" s="380">
        <f t="shared" si="36"/>
        <v>860.60800000000006</v>
      </c>
      <c r="J77" s="380">
        <f t="shared" si="36"/>
        <v>894.40400000000011</v>
      </c>
      <c r="K77" s="380">
        <f t="shared" si="36"/>
        <v>927.4860000000001</v>
      </c>
      <c r="L77" s="380">
        <f t="shared" si="36"/>
        <v>960.53400000000011</v>
      </c>
      <c r="M77" s="380">
        <f t="shared" si="36"/>
        <v>992.86800000000005</v>
      </c>
      <c r="N77" s="380">
        <f t="shared" si="36"/>
        <v>1016.022</v>
      </c>
      <c r="O77" s="380">
        <f t="shared" si="36"/>
        <v>1048.6960000000001</v>
      </c>
      <c r="P77" s="380">
        <f t="shared" si="36"/>
        <v>1080.6560000000002</v>
      </c>
      <c r="Q77" s="380">
        <f t="shared" si="36"/>
        <v>1112.9560000000001</v>
      </c>
      <c r="R77" s="380">
        <f t="shared" si="36"/>
        <v>1144.9160000000002</v>
      </c>
      <c r="S77" s="380">
        <f t="shared" si="36"/>
        <v>1180.2760000000001</v>
      </c>
      <c r="T77" s="417"/>
    </row>
    <row r="78" spans="2:20" ht="17" thickBot="1" x14ac:dyDescent="0.25">
      <c r="B78" s="404"/>
      <c r="C78" s="2" t="s">
        <v>27</v>
      </c>
      <c r="D78" s="4"/>
      <c r="E78" s="454">
        <v>0.05</v>
      </c>
      <c r="F78" s="2"/>
      <c r="G78" s="2"/>
      <c r="H78" s="379">
        <f t="shared" si="36"/>
        <v>1215.8500000000001</v>
      </c>
      <c r="I78" s="380">
        <f t="shared" si="36"/>
        <v>1265.6000000000001</v>
      </c>
      <c r="J78" s="380">
        <f t="shared" si="36"/>
        <v>1315.3000000000002</v>
      </c>
      <c r="K78" s="380">
        <f t="shared" si="36"/>
        <v>1363.95</v>
      </c>
      <c r="L78" s="380">
        <f t="shared" si="36"/>
        <v>1412.5500000000002</v>
      </c>
      <c r="M78" s="380">
        <f t="shared" si="36"/>
        <v>1460.1000000000001</v>
      </c>
      <c r="N78" s="380">
        <f t="shared" si="36"/>
        <v>1494.15</v>
      </c>
      <c r="O78" s="380">
        <f t="shared" si="36"/>
        <v>1542.2</v>
      </c>
      <c r="P78" s="380">
        <f t="shared" si="36"/>
        <v>1589.2</v>
      </c>
      <c r="Q78" s="380">
        <f t="shared" si="36"/>
        <v>1636.7</v>
      </c>
      <c r="R78" s="380">
        <f t="shared" si="36"/>
        <v>1683.7</v>
      </c>
      <c r="S78" s="380">
        <f t="shared" si="36"/>
        <v>1735.7</v>
      </c>
      <c r="T78" s="417"/>
    </row>
    <row r="79" spans="2:20" ht="17" thickTop="1" x14ac:dyDescent="0.2">
      <c r="B79" s="418" t="s">
        <v>13</v>
      </c>
      <c r="C79" s="419"/>
      <c r="D79" s="419"/>
      <c r="E79" s="419"/>
      <c r="F79" s="419"/>
      <c r="G79" s="420"/>
      <c r="H79" s="421">
        <f t="shared" ref="H79:S79" si="37">SUM(H77:H78)</f>
        <v>2042.6280000000002</v>
      </c>
      <c r="I79" s="422">
        <f t="shared" si="37"/>
        <v>2126.2080000000001</v>
      </c>
      <c r="J79" s="422">
        <f t="shared" si="37"/>
        <v>2209.7040000000002</v>
      </c>
      <c r="K79" s="422">
        <f t="shared" si="37"/>
        <v>2291.4360000000001</v>
      </c>
      <c r="L79" s="422">
        <f t="shared" si="37"/>
        <v>2373.0840000000003</v>
      </c>
      <c r="M79" s="422">
        <f t="shared" si="37"/>
        <v>2452.9680000000003</v>
      </c>
      <c r="N79" s="422">
        <f t="shared" si="37"/>
        <v>2510.172</v>
      </c>
      <c r="O79" s="422">
        <f t="shared" si="37"/>
        <v>2590.8960000000002</v>
      </c>
      <c r="P79" s="422">
        <f t="shared" si="37"/>
        <v>2669.8560000000002</v>
      </c>
      <c r="Q79" s="422">
        <f t="shared" si="37"/>
        <v>2749.6559999999999</v>
      </c>
      <c r="R79" s="422">
        <f t="shared" si="37"/>
        <v>2828.616</v>
      </c>
      <c r="S79" s="422">
        <f t="shared" si="37"/>
        <v>2915.9760000000001</v>
      </c>
      <c r="T79" s="423">
        <f>SUM(H79:S79)</f>
        <v>29761.200000000001</v>
      </c>
    </row>
    <row r="80" spans="2:20" ht="17" thickBot="1" x14ac:dyDescent="0.25">
      <c r="B80" s="308"/>
      <c r="C80" s="10"/>
      <c r="D80" s="11"/>
      <c r="E80" s="16"/>
      <c r="H80" s="385"/>
      <c r="I80" s="386"/>
      <c r="J80" s="386"/>
      <c r="K80" s="386"/>
      <c r="L80" s="386"/>
      <c r="M80" s="386"/>
      <c r="N80" s="386"/>
      <c r="O80" s="386"/>
      <c r="P80" s="386"/>
      <c r="Q80" s="386"/>
      <c r="R80" s="386"/>
      <c r="S80" s="386"/>
      <c r="T80" s="425"/>
    </row>
    <row r="81" spans="2:20" ht="17" thickTop="1" x14ac:dyDescent="0.2">
      <c r="B81" s="250" t="s">
        <v>28</v>
      </c>
      <c r="C81" s="237"/>
      <c r="D81" s="237"/>
      <c r="E81" s="237"/>
      <c r="F81" s="237"/>
      <c r="G81" s="237"/>
      <c r="H81" s="239">
        <f>SUM(H60,H67,H74,H79)</f>
        <v>6097.2080000000005</v>
      </c>
      <c r="I81" s="240">
        <f t="shared" ref="I81:S81" si="38">SUM(I60,I67,I74,I79)</f>
        <v>6346.6880000000001</v>
      </c>
      <c r="J81" s="240">
        <f t="shared" si="38"/>
        <v>6595.844000000001</v>
      </c>
      <c r="K81" s="240">
        <f t="shared" si="38"/>
        <v>6842.5959999999995</v>
      </c>
      <c r="L81" s="240">
        <f t="shared" si="38"/>
        <v>7089.0240000000013</v>
      </c>
      <c r="M81" s="240">
        <f t="shared" si="38"/>
        <v>7333.0480000000007</v>
      </c>
      <c r="N81" s="240">
        <f t="shared" si="38"/>
        <v>7501.8919999999998</v>
      </c>
      <c r="O81" s="240">
        <f t="shared" si="38"/>
        <v>7746.9560000000001</v>
      </c>
      <c r="P81" s="240">
        <f t="shared" si="38"/>
        <v>7989.616</v>
      </c>
      <c r="Q81" s="240">
        <f t="shared" si="38"/>
        <v>8233.3159999999989</v>
      </c>
      <c r="R81" s="240">
        <f t="shared" si="38"/>
        <v>8475.9760000000006</v>
      </c>
      <c r="S81" s="240">
        <f t="shared" si="38"/>
        <v>8755.1360000000004</v>
      </c>
      <c r="T81" s="251">
        <f>SUM(H81:S81)</f>
        <v>89007.299999999988</v>
      </c>
    </row>
    <row r="82" spans="2:20" x14ac:dyDescent="0.2">
      <c r="H82" s="367"/>
      <c r="I82" s="368"/>
      <c r="J82" s="368"/>
      <c r="K82" s="368"/>
      <c r="L82" s="368"/>
      <c r="M82" s="368"/>
      <c r="N82" s="368"/>
      <c r="O82" s="368"/>
      <c r="P82" s="368"/>
      <c r="Q82" s="368"/>
      <c r="R82" s="368"/>
      <c r="S82" s="368"/>
      <c r="T82" s="381"/>
    </row>
    <row r="83" spans="2:20" ht="20" x14ac:dyDescent="0.2">
      <c r="B83" s="116" t="s">
        <v>237</v>
      </c>
      <c r="C83" s="327"/>
      <c r="D83" s="327"/>
      <c r="E83" s="327" t="str">
        <f>$E$3</f>
        <v>Year 2 (2021)</v>
      </c>
      <c r="F83" s="327"/>
      <c r="G83" s="327"/>
      <c r="H83" s="360" t="s">
        <v>127</v>
      </c>
      <c r="I83" s="361" t="s">
        <v>128</v>
      </c>
      <c r="J83" s="361" t="s">
        <v>129</v>
      </c>
      <c r="K83" s="361" t="s">
        <v>130</v>
      </c>
      <c r="L83" s="361" t="s">
        <v>131</v>
      </c>
      <c r="M83" s="361" t="s">
        <v>132</v>
      </c>
      <c r="N83" s="361" t="s">
        <v>133</v>
      </c>
      <c r="O83" s="361" t="s">
        <v>134</v>
      </c>
      <c r="P83" s="361" t="s">
        <v>135</v>
      </c>
      <c r="Q83" s="361" t="s">
        <v>136</v>
      </c>
      <c r="R83" s="361" t="s">
        <v>137</v>
      </c>
      <c r="S83" s="361" t="s">
        <v>138</v>
      </c>
      <c r="T83" s="362" t="s">
        <v>179</v>
      </c>
    </row>
    <row r="84" spans="2:20" x14ac:dyDescent="0.2">
      <c r="B84" s="401"/>
      <c r="C84" s="402"/>
      <c r="D84" s="402"/>
      <c r="E84" s="402"/>
      <c r="F84" s="402"/>
      <c r="G84" s="403" t="s">
        <v>57</v>
      </c>
      <c r="H84" s="363">
        <f>H$4</f>
        <v>13</v>
      </c>
      <c r="I84" s="364">
        <f t="shared" ref="I84:S84" si="39">I$4</f>
        <v>14</v>
      </c>
      <c r="J84" s="364">
        <f t="shared" si="39"/>
        <v>15</v>
      </c>
      <c r="K84" s="364">
        <f t="shared" si="39"/>
        <v>16</v>
      </c>
      <c r="L84" s="364">
        <f t="shared" si="39"/>
        <v>17</v>
      </c>
      <c r="M84" s="364">
        <f t="shared" si="39"/>
        <v>18</v>
      </c>
      <c r="N84" s="364">
        <f t="shared" si="39"/>
        <v>19</v>
      </c>
      <c r="O84" s="364">
        <f t="shared" si="39"/>
        <v>20</v>
      </c>
      <c r="P84" s="364">
        <f t="shared" si="39"/>
        <v>21</v>
      </c>
      <c r="Q84" s="364">
        <f t="shared" si="39"/>
        <v>22</v>
      </c>
      <c r="R84" s="364">
        <f t="shared" si="39"/>
        <v>23</v>
      </c>
      <c r="S84" s="364">
        <f t="shared" si="39"/>
        <v>24</v>
      </c>
      <c r="T84" s="405" t="str">
        <f>"Total for " &amp; $E$3</f>
        <v>Total for Year 2 (2021)</v>
      </c>
    </row>
    <row r="85" spans="2:20" x14ac:dyDescent="0.2">
      <c r="B85" s="308"/>
      <c r="E85" s="499" t="s">
        <v>291</v>
      </c>
      <c r="G85" s="496" t="s">
        <v>292</v>
      </c>
      <c r="H85" s="367"/>
      <c r="I85" s="368"/>
      <c r="J85" s="368"/>
      <c r="K85" s="368"/>
      <c r="L85" s="368"/>
      <c r="M85" s="368"/>
      <c r="N85" s="368"/>
      <c r="O85" s="368"/>
      <c r="P85" s="368"/>
      <c r="Q85" s="368"/>
      <c r="R85" s="368"/>
      <c r="S85" s="368"/>
      <c r="T85" s="407"/>
    </row>
    <row r="86" spans="2:20" x14ac:dyDescent="0.2">
      <c r="B86" s="307" t="s">
        <v>224</v>
      </c>
      <c r="C86" s="10"/>
      <c r="D86" s="11"/>
      <c r="E86" s="499"/>
      <c r="F86" s="18" t="s">
        <v>276</v>
      </c>
      <c r="G86" s="496"/>
      <c r="H86" s="367"/>
      <c r="I86" s="368"/>
      <c r="J86" s="368"/>
      <c r="K86" s="368"/>
      <c r="L86" s="368"/>
      <c r="M86" s="368"/>
      <c r="N86" s="368"/>
      <c r="O86" s="368"/>
      <c r="P86" s="368"/>
      <c r="Q86" s="368"/>
      <c r="R86" s="368"/>
      <c r="S86" s="368"/>
      <c r="T86" s="407"/>
    </row>
    <row r="87" spans="2:20" x14ac:dyDescent="0.2">
      <c r="B87" s="308"/>
      <c r="C87" t="s">
        <v>210</v>
      </c>
      <c r="D87" s="11"/>
      <c r="E87" s="452">
        <f>(1+'Year 1'!$G87)*'Year 1'!$E87</f>
        <v>6720</v>
      </c>
      <c r="F87" s="453">
        <f>'Year 1'!$F87</f>
        <v>2</v>
      </c>
      <c r="G87" s="454">
        <f>'Year 1'!$G87</f>
        <v>0.05</v>
      </c>
      <c r="H87" s="379">
        <f t="shared" ref="H87:S95" si="40">$E87*$F87</f>
        <v>13440</v>
      </c>
      <c r="I87" s="380">
        <f t="shared" si="40"/>
        <v>13440</v>
      </c>
      <c r="J87" s="380">
        <f t="shared" si="40"/>
        <v>13440</v>
      </c>
      <c r="K87" s="380">
        <f t="shared" si="40"/>
        <v>13440</v>
      </c>
      <c r="L87" s="380">
        <f t="shared" si="40"/>
        <v>13440</v>
      </c>
      <c r="M87" s="380">
        <f t="shared" si="40"/>
        <v>13440</v>
      </c>
      <c r="N87" s="380">
        <f t="shared" si="40"/>
        <v>13440</v>
      </c>
      <c r="O87" s="380">
        <f t="shared" si="40"/>
        <v>13440</v>
      </c>
      <c r="P87" s="380">
        <f t="shared" si="40"/>
        <v>13440</v>
      </c>
      <c r="Q87" s="380">
        <f t="shared" si="40"/>
        <v>13440</v>
      </c>
      <c r="R87" s="380">
        <f t="shared" si="40"/>
        <v>13440</v>
      </c>
      <c r="S87" s="380">
        <f t="shared" si="40"/>
        <v>13440</v>
      </c>
      <c r="T87" s="417">
        <f t="shared" ref="T87:T100" si="41">SUM(H87:S87)</f>
        <v>161280</v>
      </c>
    </row>
    <row r="88" spans="2:20" x14ac:dyDescent="0.2">
      <c r="B88" s="308"/>
      <c r="C88" t="s">
        <v>211</v>
      </c>
      <c r="D88" s="11"/>
      <c r="E88" s="452">
        <f>(1+'Year 1'!$G88)*'Year 1'!$E88</f>
        <v>0</v>
      </c>
      <c r="F88" s="453">
        <f>'Year 1'!$F88</f>
        <v>0</v>
      </c>
      <c r="G88" s="454">
        <f>'Year 1'!$G88</f>
        <v>0.02</v>
      </c>
      <c r="H88" s="379">
        <f t="shared" si="40"/>
        <v>0</v>
      </c>
      <c r="I88" s="380">
        <f t="shared" si="40"/>
        <v>0</v>
      </c>
      <c r="J88" s="380">
        <f t="shared" si="40"/>
        <v>0</v>
      </c>
      <c r="K88" s="380">
        <f t="shared" si="40"/>
        <v>0</v>
      </c>
      <c r="L88" s="380">
        <f t="shared" si="40"/>
        <v>0</v>
      </c>
      <c r="M88" s="380">
        <f t="shared" si="40"/>
        <v>0</v>
      </c>
      <c r="N88" s="380">
        <f t="shared" si="40"/>
        <v>0</v>
      </c>
      <c r="O88" s="380">
        <f t="shared" si="40"/>
        <v>0</v>
      </c>
      <c r="P88" s="380">
        <f t="shared" si="40"/>
        <v>0</v>
      </c>
      <c r="Q88" s="380">
        <f t="shared" si="40"/>
        <v>0</v>
      </c>
      <c r="R88" s="380">
        <f t="shared" si="40"/>
        <v>0</v>
      </c>
      <c r="S88" s="380">
        <f t="shared" si="40"/>
        <v>0</v>
      </c>
      <c r="T88" s="417">
        <f t="shared" si="41"/>
        <v>0</v>
      </c>
    </row>
    <row r="89" spans="2:20" x14ac:dyDescent="0.2">
      <c r="B89" s="308"/>
      <c r="C89" t="s">
        <v>212</v>
      </c>
      <c r="D89" s="11"/>
      <c r="E89" s="452">
        <f>(1+'Year 1'!$G89)*'Year 1'!$E89</f>
        <v>0</v>
      </c>
      <c r="F89" s="453">
        <f>'Year 1'!$F89</f>
        <v>0</v>
      </c>
      <c r="G89" s="454">
        <f>'Year 1'!$G89</f>
        <v>0.02</v>
      </c>
      <c r="H89" s="379">
        <f t="shared" si="40"/>
        <v>0</v>
      </c>
      <c r="I89" s="380">
        <f t="shared" si="40"/>
        <v>0</v>
      </c>
      <c r="J89" s="380">
        <f t="shared" si="40"/>
        <v>0</v>
      </c>
      <c r="K89" s="380">
        <f t="shared" si="40"/>
        <v>0</v>
      </c>
      <c r="L89" s="380">
        <f t="shared" si="40"/>
        <v>0</v>
      </c>
      <c r="M89" s="380">
        <f t="shared" si="40"/>
        <v>0</v>
      </c>
      <c r="N89" s="380">
        <f t="shared" si="40"/>
        <v>0</v>
      </c>
      <c r="O89" s="380">
        <f t="shared" si="40"/>
        <v>0</v>
      </c>
      <c r="P89" s="380">
        <f t="shared" si="40"/>
        <v>0</v>
      </c>
      <c r="Q89" s="380">
        <f t="shared" si="40"/>
        <v>0</v>
      </c>
      <c r="R89" s="380">
        <f t="shared" si="40"/>
        <v>0</v>
      </c>
      <c r="S89" s="380">
        <f t="shared" si="40"/>
        <v>0</v>
      </c>
      <c r="T89" s="417">
        <f t="shared" si="41"/>
        <v>0</v>
      </c>
    </row>
    <row r="90" spans="2:20" x14ac:dyDescent="0.2">
      <c r="B90" s="308"/>
      <c r="C90" t="s">
        <v>213</v>
      </c>
      <c r="D90" s="11"/>
      <c r="E90" s="452">
        <f>(1+'Year 1'!$G90)*'Year 1'!$E90</f>
        <v>3264</v>
      </c>
      <c r="F90" s="453">
        <f>'Year 1'!$F90</f>
        <v>1</v>
      </c>
      <c r="G90" s="454">
        <f>'Year 1'!$G90</f>
        <v>0.02</v>
      </c>
      <c r="H90" s="379">
        <f t="shared" si="40"/>
        <v>3264</v>
      </c>
      <c r="I90" s="380">
        <f t="shared" si="40"/>
        <v>3264</v>
      </c>
      <c r="J90" s="380">
        <f t="shared" si="40"/>
        <v>3264</v>
      </c>
      <c r="K90" s="380">
        <f t="shared" si="40"/>
        <v>3264</v>
      </c>
      <c r="L90" s="380">
        <f t="shared" si="40"/>
        <v>3264</v>
      </c>
      <c r="M90" s="380">
        <f t="shared" si="40"/>
        <v>3264</v>
      </c>
      <c r="N90" s="380">
        <f t="shared" si="40"/>
        <v>3264</v>
      </c>
      <c r="O90" s="380">
        <f t="shared" si="40"/>
        <v>3264</v>
      </c>
      <c r="P90" s="380">
        <f t="shared" si="40"/>
        <v>3264</v>
      </c>
      <c r="Q90" s="380">
        <f t="shared" si="40"/>
        <v>3264</v>
      </c>
      <c r="R90" s="380">
        <f t="shared" si="40"/>
        <v>3264</v>
      </c>
      <c r="S90" s="380">
        <f t="shared" si="40"/>
        <v>3264</v>
      </c>
      <c r="T90" s="417">
        <f t="shared" si="41"/>
        <v>39168</v>
      </c>
    </row>
    <row r="91" spans="2:20" x14ac:dyDescent="0.2">
      <c r="B91" s="308"/>
      <c r="C91" t="s">
        <v>236</v>
      </c>
      <c r="D91" s="11"/>
      <c r="E91" s="452">
        <f>(1+'Year 1'!$G91)*'Year 1'!$E91</f>
        <v>0</v>
      </c>
      <c r="F91" s="453">
        <f>'Year 1'!$F91</f>
        <v>0</v>
      </c>
      <c r="G91" s="454">
        <f>'Year 1'!$G91</f>
        <v>0.02</v>
      </c>
      <c r="H91" s="379">
        <f t="shared" si="40"/>
        <v>0</v>
      </c>
      <c r="I91" s="380">
        <f t="shared" si="40"/>
        <v>0</v>
      </c>
      <c r="J91" s="380">
        <f t="shared" si="40"/>
        <v>0</v>
      </c>
      <c r="K91" s="380">
        <f t="shared" si="40"/>
        <v>0</v>
      </c>
      <c r="L91" s="380">
        <f t="shared" si="40"/>
        <v>0</v>
      </c>
      <c r="M91" s="380">
        <f t="shared" si="40"/>
        <v>0</v>
      </c>
      <c r="N91" s="380">
        <f t="shared" si="40"/>
        <v>0</v>
      </c>
      <c r="O91" s="380">
        <f t="shared" si="40"/>
        <v>0</v>
      </c>
      <c r="P91" s="380">
        <f t="shared" si="40"/>
        <v>0</v>
      </c>
      <c r="Q91" s="380">
        <f t="shared" si="40"/>
        <v>0</v>
      </c>
      <c r="R91" s="380">
        <f t="shared" si="40"/>
        <v>0</v>
      </c>
      <c r="S91" s="380">
        <f t="shared" si="40"/>
        <v>0</v>
      </c>
      <c r="T91" s="417">
        <f t="shared" si="41"/>
        <v>0</v>
      </c>
    </row>
    <row r="92" spans="2:20" x14ac:dyDescent="0.2">
      <c r="B92" s="308"/>
      <c r="C92" t="s">
        <v>217</v>
      </c>
      <c r="D92" s="11"/>
      <c r="E92" s="452">
        <f>(1+'Year 1'!$G92)*'Year 1'!$E92</f>
        <v>1800</v>
      </c>
      <c r="F92" s="453">
        <f>'Year 1'!$F92</f>
        <v>1</v>
      </c>
      <c r="G92" s="454">
        <f>'Year 1'!$G92</f>
        <v>0</v>
      </c>
      <c r="H92" s="379">
        <f t="shared" si="40"/>
        <v>1800</v>
      </c>
      <c r="I92" s="380">
        <f t="shared" si="40"/>
        <v>1800</v>
      </c>
      <c r="J92" s="380">
        <f t="shared" si="40"/>
        <v>1800</v>
      </c>
      <c r="K92" s="380">
        <f t="shared" si="40"/>
        <v>1800</v>
      </c>
      <c r="L92" s="380">
        <f t="shared" si="40"/>
        <v>1800</v>
      </c>
      <c r="M92" s="380">
        <f t="shared" si="40"/>
        <v>1800</v>
      </c>
      <c r="N92" s="380">
        <f t="shared" si="40"/>
        <v>1800</v>
      </c>
      <c r="O92" s="380">
        <f t="shared" si="40"/>
        <v>1800</v>
      </c>
      <c r="P92" s="380">
        <f t="shared" si="40"/>
        <v>1800</v>
      </c>
      <c r="Q92" s="380">
        <f t="shared" si="40"/>
        <v>1800</v>
      </c>
      <c r="R92" s="380">
        <f t="shared" si="40"/>
        <v>1800</v>
      </c>
      <c r="S92" s="380">
        <f t="shared" si="40"/>
        <v>1800</v>
      </c>
      <c r="T92" s="417">
        <f t="shared" si="41"/>
        <v>21600</v>
      </c>
    </row>
    <row r="93" spans="2:20" x14ac:dyDescent="0.2">
      <c r="B93" s="308"/>
      <c r="C93" t="s">
        <v>218</v>
      </c>
      <c r="D93" s="11"/>
      <c r="E93" s="452">
        <f>(1+'Year 1'!$G93)*'Year 1'!$E93</f>
        <v>0</v>
      </c>
      <c r="F93" s="453">
        <f>'Year 1'!$F93</f>
        <v>0</v>
      </c>
      <c r="G93" s="454">
        <f>'Year 1'!$G93</f>
        <v>0</v>
      </c>
      <c r="H93" s="379">
        <f t="shared" si="40"/>
        <v>0</v>
      </c>
      <c r="I93" s="380">
        <f t="shared" si="40"/>
        <v>0</v>
      </c>
      <c r="J93" s="380">
        <f t="shared" si="40"/>
        <v>0</v>
      </c>
      <c r="K93" s="380">
        <f t="shared" si="40"/>
        <v>0</v>
      </c>
      <c r="L93" s="380">
        <f t="shared" si="40"/>
        <v>0</v>
      </c>
      <c r="M93" s="380">
        <f t="shared" si="40"/>
        <v>0</v>
      </c>
      <c r="N93" s="380">
        <f t="shared" si="40"/>
        <v>0</v>
      </c>
      <c r="O93" s="380">
        <f t="shared" si="40"/>
        <v>0</v>
      </c>
      <c r="P93" s="380">
        <f t="shared" si="40"/>
        <v>0</v>
      </c>
      <c r="Q93" s="380">
        <f t="shared" si="40"/>
        <v>0</v>
      </c>
      <c r="R93" s="380">
        <f t="shared" si="40"/>
        <v>0</v>
      </c>
      <c r="S93" s="380">
        <f t="shared" si="40"/>
        <v>0</v>
      </c>
      <c r="T93" s="417">
        <f t="shared" si="41"/>
        <v>0</v>
      </c>
    </row>
    <row r="94" spans="2:20" x14ac:dyDescent="0.2">
      <c r="B94" s="308"/>
      <c r="C94" t="s">
        <v>219</v>
      </c>
      <c r="D94" s="11"/>
      <c r="E94" s="452">
        <f>(1+'Year 1'!$G94)*'Year 1'!$E94</f>
        <v>0</v>
      </c>
      <c r="F94" s="453">
        <f>'Year 1'!$F94</f>
        <v>0</v>
      </c>
      <c r="G94" s="454">
        <f>'Year 1'!$G94</f>
        <v>0</v>
      </c>
      <c r="H94" s="379">
        <f t="shared" si="40"/>
        <v>0</v>
      </c>
      <c r="I94" s="380">
        <f t="shared" si="40"/>
        <v>0</v>
      </c>
      <c r="J94" s="380">
        <f t="shared" si="40"/>
        <v>0</v>
      </c>
      <c r="K94" s="380">
        <f t="shared" si="40"/>
        <v>0</v>
      </c>
      <c r="L94" s="380">
        <f t="shared" si="40"/>
        <v>0</v>
      </c>
      <c r="M94" s="380">
        <f t="shared" si="40"/>
        <v>0</v>
      </c>
      <c r="N94" s="380">
        <f t="shared" si="40"/>
        <v>0</v>
      </c>
      <c r="O94" s="380">
        <f t="shared" si="40"/>
        <v>0</v>
      </c>
      <c r="P94" s="380">
        <f t="shared" si="40"/>
        <v>0</v>
      </c>
      <c r="Q94" s="380">
        <f t="shared" si="40"/>
        <v>0</v>
      </c>
      <c r="R94" s="380">
        <f t="shared" si="40"/>
        <v>0</v>
      </c>
      <c r="S94" s="380">
        <f t="shared" si="40"/>
        <v>0</v>
      </c>
      <c r="T94" s="417">
        <f t="shared" si="41"/>
        <v>0</v>
      </c>
    </row>
    <row r="95" spans="2:20" x14ac:dyDescent="0.2">
      <c r="B95" s="308"/>
      <c r="C95" t="s">
        <v>220</v>
      </c>
      <c r="D95" s="11"/>
      <c r="E95" s="452">
        <f>(1+'Year 1'!$G95)*'Year 1'!$E95</f>
        <v>0</v>
      </c>
      <c r="F95" s="453">
        <f>'Year 1'!$F95</f>
        <v>0</v>
      </c>
      <c r="G95" s="454">
        <f>'Year 1'!$G95</f>
        <v>0</v>
      </c>
      <c r="H95" s="379">
        <f t="shared" si="40"/>
        <v>0</v>
      </c>
      <c r="I95" s="380">
        <f t="shared" si="40"/>
        <v>0</v>
      </c>
      <c r="J95" s="380">
        <f t="shared" si="40"/>
        <v>0</v>
      </c>
      <c r="K95" s="380">
        <f t="shared" si="40"/>
        <v>0</v>
      </c>
      <c r="L95" s="380">
        <f t="shared" si="40"/>
        <v>0</v>
      </c>
      <c r="M95" s="380">
        <f t="shared" si="40"/>
        <v>0</v>
      </c>
      <c r="N95" s="380">
        <f t="shared" si="40"/>
        <v>0</v>
      </c>
      <c r="O95" s="380">
        <f t="shared" si="40"/>
        <v>0</v>
      </c>
      <c r="P95" s="380">
        <f t="shared" si="40"/>
        <v>0</v>
      </c>
      <c r="Q95" s="380">
        <f t="shared" si="40"/>
        <v>0</v>
      </c>
      <c r="R95" s="380">
        <f t="shared" si="40"/>
        <v>0</v>
      </c>
      <c r="S95" s="380">
        <f t="shared" si="40"/>
        <v>0</v>
      </c>
      <c r="T95" s="417">
        <f t="shared" si="41"/>
        <v>0</v>
      </c>
    </row>
    <row r="96" spans="2:20" x14ac:dyDescent="0.2">
      <c r="B96" s="308"/>
      <c r="D96" s="11"/>
      <c r="E96" s="37"/>
      <c r="F96" s="21">
        <f>SUM(F87:F95)</f>
        <v>4</v>
      </c>
      <c r="G96" s="19"/>
      <c r="H96" s="379"/>
      <c r="I96" s="380"/>
      <c r="J96" s="380"/>
      <c r="K96" s="380"/>
      <c r="L96" s="380"/>
      <c r="M96" s="380"/>
      <c r="N96" s="380"/>
      <c r="O96" s="380"/>
      <c r="P96" s="380"/>
      <c r="Q96" s="380"/>
      <c r="R96" s="380"/>
      <c r="S96" s="380"/>
      <c r="T96" s="417"/>
    </row>
    <row r="97" spans="2:20" x14ac:dyDescent="0.2">
      <c r="B97" s="308"/>
      <c r="D97" s="11" t="s">
        <v>222</v>
      </c>
      <c r="E97" s="18" t="s">
        <v>221</v>
      </c>
      <c r="F97" s="50" t="s">
        <v>216</v>
      </c>
      <c r="G97" s="19"/>
      <c r="H97" s="379"/>
      <c r="I97" s="380"/>
      <c r="J97" s="380"/>
      <c r="K97" s="380"/>
      <c r="L97" s="380"/>
      <c r="M97" s="380"/>
      <c r="N97" s="380"/>
      <c r="O97" s="380"/>
      <c r="P97" s="380"/>
      <c r="Q97" s="380"/>
      <c r="R97" s="380"/>
      <c r="S97" s="380"/>
      <c r="T97" s="417"/>
    </row>
    <row r="98" spans="2:20" x14ac:dyDescent="0.2">
      <c r="B98" s="308"/>
      <c r="C98" t="s">
        <v>214</v>
      </c>
      <c r="D98" s="453">
        <f>'Year 1'!D98</f>
        <v>3</v>
      </c>
      <c r="E98" s="452">
        <f>'Year 1'!E98</f>
        <v>10</v>
      </c>
      <c r="F98" s="453">
        <f>'Year 1'!F98</f>
        <v>40</v>
      </c>
      <c r="G98" s="19"/>
      <c r="H98" s="379">
        <f>(($E98*$F98*52)/12)*$D98</f>
        <v>5200</v>
      </c>
      <c r="I98" s="380">
        <f t="shared" ref="I98:S98" si="42">(($E98*$F98*52)/12)*$D98</f>
        <v>5200</v>
      </c>
      <c r="J98" s="380">
        <f t="shared" si="42"/>
        <v>5200</v>
      </c>
      <c r="K98" s="380">
        <f t="shared" si="42"/>
        <v>5200</v>
      </c>
      <c r="L98" s="380">
        <f t="shared" si="42"/>
        <v>5200</v>
      </c>
      <c r="M98" s="380">
        <f t="shared" si="42"/>
        <v>5200</v>
      </c>
      <c r="N98" s="380">
        <f t="shared" si="42"/>
        <v>5200</v>
      </c>
      <c r="O98" s="380">
        <f t="shared" si="42"/>
        <v>5200</v>
      </c>
      <c r="P98" s="380">
        <f t="shared" si="42"/>
        <v>5200</v>
      </c>
      <c r="Q98" s="380">
        <f t="shared" si="42"/>
        <v>5200</v>
      </c>
      <c r="R98" s="380">
        <f t="shared" si="42"/>
        <v>5200</v>
      </c>
      <c r="S98" s="380">
        <f t="shared" si="42"/>
        <v>5200</v>
      </c>
      <c r="T98" s="417">
        <f t="shared" si="41"/>
        <v>62400</v>
      </c>
    </row>
    <row r="99" spans="2:20" x14ac:dyDescent="0.2">
      <c r="B99" s="308"/>
      <c r="C99" t="s">
        <v>215</v>
      </c>
      <c r="D99" s="453">
        <f>'Year 1'!D99</f>
        <v>2</v>
      </c>
      <c r="E99" s="452">
        <f>'Year 1'!E99</f>
        <v>9</v>
      </c>
      <c r="F99" s="453">
        <f>'Year 1'!F99</f>
        <v>20</v>
      </c>
      <c r="G99" s="19"/>
      <c r="H99" s="379">
        <f t="shared" ref="H99:S100" si="43">(($E99*$F99*52)/12)*$D99</f>
        <v>1560</v>
      </c>
      <c r="I99" s="380">
        <f t="shared" si="43"/>
        <v>1560</v>
      </c>
      <c r="J99" s="380">
        <f t="shared" si="43"/>
        <v>1560</v>
      </c>
      <c r="K99" s="380">
        <f t="shared" si="43"/>
        <v>1560</v>
      </c>
      <c r="L99" s="380">
        <f t="shared" si="43"/>
        <v>1560</v>
      </c>
      <c r="M99" s="380">
        <f t="shared" si="43"/>
        <v>1560</v>
      </c>
      <c r="N99" s="380">
        <f t="shared" si="43"/>
        <v>1560</v>
      </c>
      <c r="O99" s="380">
        <f t="shared" si="43"/>
        <v>1560</v>
      </c>
      <c r="P99" s="380">
        <f t="shared" si="43"/>
        <v>1560</v>
      </c>
      <c r="Q99" s="380">
        <f t="shared" si="43"/>
        <v>1560</v>
      </c>
      <c r="R99" s="380">
        <f t="shared" si="43"/>
        <v>1560</v>
      </c>
      <c r="S99" s="380">
        <f t="shared" si="43"/>
        <v>1560</v>
      </c>
      <c r="T99" s="417">
        <f t="shared" si="41"/>
        <v>18720</v>
      </c>
    </row>
    <row r="100" spans="2:20" x14ac:dyDescent="0.2">
      <c r="B100" s="308"/>
      <c r="C100" t="s">
        <v>24</v>
      </c>
      <c r="D100" s="453">
        <f>'Year 1'!D100</f>
        <v>0</v>
      </c>
      <c r="E100" s="452">
        <f>'Year 1'!E100</f>
        <v>0</v>
      </c>
      <c r="F100" s="453">
        <f>'Year 1'!F100</f>
        <v>0</v>
      </c>
      <c r="G100" s="19"/>
      <c r="H100" s="379">
        <f t="shared" si="43"/>
        <v>0</v>
      </c>
      <c r="I100" s="380">
        <f t="shared" si="43"/>
        <v>0</v>
      </c>
      <c r="J100" s="380">
        <f t="shared" si="43"/>
        <v>0</v>
      </c>
      <c r="K100" s="380">
        <f t="shared" si="43"/>
        <v>0</v>
      </c>
      <c r="L100" s="380">
        <f t="shared" si="43"/>
        <v>0</v>
      </c>
      <c r="M100" s="380">
        <f t="shared" si="43"/>
        <v>0</v>
      </c>
      <c r="N100" s="380">
        <f t="shared" si="43"/>
        <v>0</v>
      </c>
      <c r="O100" s="380">
        <f t="shared" si="43"/>
        <v>0</v>
      </c>
      <c r="P100" s="380">
        <f t="shared" si="43"/>
        <v>0</v>
      </c>
      <c r="Q100" s="380">
        <f t="shared" si="43"/>
        <v>0</v>
      </c>
      <c r="R100" s="380">
        <f t="shared" si="43"/>
        <v>0</v>
      </c>
      <c r="S100" s="380">
        <f t="shared" si="43"/>
        <v>0</v>
      </c>
      <c r="T100" s="417">
        <f t="shared" si="41"/>
        <v>0</v>
      </c>
    </row>
    <row r="101" spans="2:20" ht="17" thickBot="1" x14ac:dyDescent="0.25">
      <c r="B101" s="308"/>
      <c r="D101" s="21">
        <f>SUM(D98:D100)</f>
        <v>5</v>
      </c>
      <c r="E101" s="37"/>
      <c r="F101" s="51"/>
      <c r="G101" s="19"/>
      <c r="H101" s="379"/>
      <c r="I101" s="380"/>
      <c r="J101" s="380"/>
      <c r="K101" s="380"/>
      <c r="L101" s="380"/>
      <c r="M101" s="380"/>
      <c r="N101" s="380"/>
      <c r="O101" s="380"/>
      <c r="P101" s="380"/>
      <c r="Q101" s="380"/>
      <c r="R101" s="380"/>
      <c r="S101" s="380"/>
      <c r="T101" s="417"/>
    </row>
    <row r="102" spans="2:20" ht="17" thickTop="1" x14ac:dyDescent="0.2">
      <c r="B102" s="418" t="s">
        <v>223</v>
      </c>
      <c r="C102" s="419"/>
      <c r="D102" s="419"/>
      <c r="E102" s="419"/>
      <c r="F102" s="419"/>
      <c r="G102" s="420"/>
      <c r="H102" s="421">
        <f>SUM(H87:H100)</f>
        <v>25264</v>
      </c>
      <c r="I102" s="422">
        <f t="shared" ref="I102:S102" si="44">SUM(I87:I100)</f>
        <v>25264</v>
      </c>
      <c r="J102" s="422">
        <f t="shared" si="44"/>
        <v>25264</v>
      </c>
      <c r="K102" s="422">
        <f t="shared" si="44"/>
        <v>25264</v>
      </c>
      <c r="L102" s="422">
        <f t="shared" si="44"/>
        <v>25264</v>
      </c>
      <c r="M102" s="422">
        <f t="shared" si="44"/>
        <v>25264</v>
      </c>
      <c r="N102" s="422">
        <f t="shared" si="44"/>
        <v>25264</v>
      </c>
      <c r="O102" s="422">
        <f t="shared" si="44"/>
        <v>25264</v>
      </c>
      <c r="P102" s="422">
        <f t="shared" si="44"/>
        <v>25264</v>
      </c>
      <c r="Q102" s="422">
        <f t="shared" si="44"/>
        <v>25264</v>
      </c>
      <c r="R102" s="422">
        <f t="shared" si="44"/>
        <v>25264</v>
      </c>
      <c r="S102" s="422">
        <f t="shared" si="44"/>
        <v>25264</v>
      </c>
      <c r="T102" s="423">
        <f>SUM(H102:S102)</f>
        <v>303168</v>
      </c>
    </row>
    <row r="103" spans="2:20" ht="16" customHeight="1" x14ac:dyDescent="0.2">
      <c r="B103" s="308"/>
      <c r="D103" s="51"/>
      <c r="E103" s="498" t="s">
        <v>317</v>
      </c>
      <c r="F103" s="498" t="s">
        <v>316</v>
      </c>
      <c r="G103" s="498"/>
      <c r="H103" s="379"/>
      <c r="I103" s="380"/>
      <c r="J103" s="380"/>
      <c r="K103" s="380"/>
      <c r="L103" s="380"/>
      <c r="M103" s="380"/>
      <c r="N103" s="380"/>
      <c r="O103" s="380"/>
      <c r="P103" s="380"/>
      <c r="Q103" s="380"/>
      <c r="R103" s="380"/>
      <c r="S103" s="380"/>
      <c r="T103" s="417"/>
    </row>
    <row r="104" spans="2:20" x14ac:dyDescent="0.2">
      <c r="B104" s="307" t="s">
        <v>225</v>
      </c>
      <c r="C104" s="49"/>
      <c r="D104" s="49"/>
      <c r="E104" s="498"/>
      <c r="F104" s="498"/>
      <c r="G104" s="498"/>
      <c r="H104" s="379"/>
      <c r="I104" s="380"/>
      <c r="J104" s="380"/>
      <c r="K104" s="380"/>
      <c r="L104" s="380"/>
      <c r="M104" s="380"/>
      <c r="N104" s="380"/>
      <c r="O104" s="380"/>
      <c r="P104" s="380"/>
      <c r="Q104" s="380"/>
      <c r="R104" s="380"/>
      <c r="S104" s="380"/>
      <c r="T104" s="417"/>
    </row>
    <row r="105" spans="2:20" x14ac:dyDescent="0.2">
      <c r="B105" s="426"/>
      <c r="C105" t="s">
        <v>226</v>
      </c>
      <c r="D105" s="49"/>
      <c r="E105" s="454">
        <f>'Year 1'!E105</f>
        <v>6.2E-2</v>
      </c>
      <c r="F105" s="452">
        <f>IF('Year 1'!F105="","",'Year 1'!F105)</f>
        <v>102000</v>
      </c>
      <c r="H105" s="379">
        <f>IF($F105="",$E105*H$102,$E105*$F105)</f>
        <v>6324</v>
      </c>
      <c r="I105" s="380">
        <f t="shared" ref="I105:S105" si="45">IF($F105="",$E105*I$102,$E105*$F105)</f>
        <v>6324</v>
      </c>
      <c r="J105" s="380">
        <f t="shared" si="45"/>
        <v>6324</v>
      </c>
      <c r="K105" s="380">
        <f t="shared" si="45"/>
        <v>6324</v>
      </c>
      <c r="L105" s="380">
        <f t="shared" si="45"/>
        <v>6324</v>
      </c>
      <c r="M105" s="380">
        <f t="shared" si="45"/>
        <v>6324</v>
      </c>
      <c r="N105" s="380">
        <f t="shared" si="45"/>
        <v>6324</v>
      </c>
      <c r="O105" s="380">
        <f t="shared" si="45"/>
        <v>6324</v>
      </c>
      <c r="P105" s="380">
        <f t="shared" si="45"/>
        <v>6324</v>
      </c>
      <c r="Q105" s="380">
        <f t="shared" si="45"/>
        <v>6324</v>
      </c>
      <c r="R105" s="380">
        <f t="shared" si="45"/>
        <v>6324</v>
      </c>
      <c r="S105" s="380">
        <f t="shared" si="45"/>
        <v>6324</v>
      </c>
      <c r="T105" s="417">
        <f t="shared" ref="T105:T112" si="46">SUM(H105:S105)</f>
        <v>75888</v>
      </c>
    </row>
    <row r="106" spans="2:20" x14ac:dyDescent="0.2">
      <c r="B106" s="426"/>
      <c r="C106" t="s">
        <v>227</v>
      </c>
      <c r="D106" s="49"/>
      <c r="E106" s="454">
        <f>'Year 1'!E106</f>
        <v>1.4500000000000001E-2</v>
      </c>
      <c r="F106" s="452" t="str">
        <f>IF('Year 1'!F106="","",'Year 1'!F106)</f>
        <v/>
      </c>
      <c r="H106" s="379">
        <f t="shared" ref="H106:S112" si="47">IF($F106="",$E106*H$102,$E106*$F106)</f>
        <v>366.32800000000003</v>
      </c>
      <c r="I106" s="380">
        <f t="shared" si="47"/>
        <v>366.32800000000003</v>
      </c>
      <c r="J106" s="380">
        <f t="shared" si="47"/>
        <v>366.32800000000003</v>
      </c>
      <c r="K106" s="380">
        <f t="shared" si="47"/>
        <v>366.32800000000003</v>
      </c>
      <c r="L106" s="380">
        <f t="shared" si="47"/>
        <v>366.32800000000003</v>
      </c>
      <c r="M106" s="380">
        <f t="shared" si="47"/>
        <v>366.32800000000003</v>
      </c>
      <c r="N106" s="380">
        <f t="shared" si="47"/>
        <v>366.32800000000003</v>
      </c>
      <c r="O106" s="380">
        <f t="shared" si="47"/>
        <v>366.32800000000003</v>
      </c>
      <c r="P106" s="380">
        <f t="shared" si="47"/>
        <v>366.32800000000003</v>
      </c>
      <c r="Q106" s="380">
        <f t="shared" si="47"/>
        <v>366.32800000000003</v>
      </c>
      <c r="R106" s="380">
        <f t="shared" si="47"/>
        <v>366.32800000000003</v>
      </c>
      <c r="S106" s="380">
        <f t="shared" si="47"/>
        <v>366.32800000000003</v>
      </c>
      <c r="T106" s="417">
        <f t="shared" si="46"/>
        <v>4395.9360000000006</v>
      </c>
    </row>
    <row r="107" spans="2:20" x14ac:dyDescent="0.2">
      <c r="B107" s="426"/>
      <c r="C107" t="s">
        <v>233</v>
      </c>
      <c r="D107" s="49"/>
      <c r="E107" s="454">
        <f>'Year 1'!E107</f>
        <v>8.0000000000000002E-3</v>
      </c>
      <c r="F107" s="452">
        <f>IF('Year 1'!F107="","",'Year 1'!F107)</f>
        <v>7000</v>
      </c>
      <c r="H107" s="379">
        <f t="shared" si="47"/>
        <v>56</v>
      </c>
      <c r="I107" s="380">
        <f t="shared" si="47"/>
        <v>56</v>
      </c>
      <c r="J107" s="380">
        <f t="shared" si="47"/>
        <v>56</v>
      </c>
      <c r="K107" s="380">
        <f t="shared" si="47"/>
        <v>56</v>
      </c>
      <c r="L107" s="380">
        <f t="shared" si="47"/>
        <v>56</v>
      </c>
      <c r="M107" s="380">
        <f t="shared" si="47"/>
        <v>56</v>
      </c>
      <c r="N107" s="380">
        <f t="shared" si="47"/>
        <v>56</v>
      </c>
      <c r="O107" s="380">
        <f t="shared" si="47"/>
        <v>56</v>
      </c>
      <c r="P107" s="380">
        <f t="shared" si="47"/>
        <v>56</v>
      </c>
      <c r="Q107" s="380">
        <f t="shared" si="47"/>
        <v>56</v>
      </c>
      <c r="R107" s="380">
        <f t="shared" si="47"/>
        <v>56</v>
      </c>
      <c r="S107" s="380">
        <f t="shared" si="47"/>
        <v>56</v>
      </c>
      <c r="T107" s="417">
        <f t="shared" si="46"/>
        <v>672</v>
      </c>
    </row>
    <row r="108" spans="2:20" x14ac:dyDescent="0.2">
      <c r="B108" s="426"/>
      <c r="C108" t="s">
        <v>234</v>
      </c>
      <c r="D108" s="49"/>
      <c r="E108" s="454">
        <f>'Year 1'!E108</f>
        <v>2.7E-2</v>
      </c>
      <c r="F108" s="452">
        <f>IF('Year 1'!F108="","",'Year 1'!F108)</f>
        <v>7000</v>
      </c>
      <c r="H108" s="379">
        <f t="shared" si="47"/>
        <v>189</v>
      </c>
      <c r="I108" s="380">
        <f t="shared" si="47"/>
        <v>189</v>
      </c>
      <c r="J108" s="380">
        <f t="shared" si="47"/>
        <v>189</v>
      </c>
      <c r="K108" s="380">
        <f t="shared" si="47"/>
        <v>189</v>
      </c>
      <c r="L108" s="380">
        <f t="shared" si="47"/>
        <v>189</v>
      </c>
      <c r="M108" s="380">
        <f t="shared" si="47"/>
        <v>189</v>
      </c>
      <c r="N108" s="380">
        <f t="shared" si="47"/>
        <v>189</v>
      </c>
      <c r="O108" s="380">
        <f t="shared" si="47"/>
        <v>189</v>
      </c>
      <c r="P108" s="380">
        <f t="shared" si="47"/>
        <v>189</v>
      </c>
      <c r="Q108" s="380">
        <f t="shared" si="47"/>
        <v>189</v>
      </c>
      <c r="R108" s="380">
        <f t="shared" si="47"/>
        <v>189</v>
      </c>
      <c r="S108" s="380">
        <f t="shared" si="47"/>
        <v>189</v>
      </c>
      <c r="T108" s="417">
        <f t="shared" si="46"/>
        <v>2268</v>
      </c>
    </row>
    <row r="109" spans="2:20" x14ac:dyDescent="0.2">
      <c r="B109" s="426"/>
      <c r="C109" t="s">
        <v>228</v>
      </c>
      <c r="D109" s="49"/>
      <c r="E109" s="454">
        <f>'Year 1'!E109</f>
        <v>1.4999999999999999E-2</v>
      </c>
      <c r="F109" s="452" t="str">
        <f>IF('Year 1'!F109="","",'Year 1'!F109)</f>
        <v/>
      </c>
      <c r="H109" s="379">
        <f t="shared" si="47"/>
        <v>378.96</v>
      </c>
      <c r="I109" s="380">
        <f t="shared" si="47"/>
        <v>378.96</v>
      </c>
      <c r="J109" s="380">
        <f t="shared" si="47"/>
        <v>378.96</v>
      </c>
      <c r="K109" s="380">
        <f t="shared" si="47"/>
        <v>378.96</v>
      </c>
      <c r="L109" s="380">
        <f t="shared" si="47"/>
        <v>378.96</v>
      </c>
      <c r="M109" s="380">
        <f t="shared" si="47"/>
        <v>378.96</v>
      </c>
      <c r="N109" s="380">
        <f t="shared" si="47"/>
        <v>378.96</v>
      </c>
      <c r="O109" s="380">
        <f t="shared" si="47"/>
        <v>378.96</v>
      </c>
      <c r="P109" s="380">
        <f t="shared" si="47"/>
        <v>378.96</v>
      </c>
      <c r="Q109" s="380">
        <f t="shared" si="47"/>
        <v>378.96</v>
      </c>
      <c r="R109" s="380">
        <f t="shared" si="47"/>
        <v>378.96</v>
      </c>
      <c r="S109" s="380">
        <f t="shared" si="47"/>
        <v>378.96</v>
      </c>
      <c r="T109" s="417">
        <f t="shared" si="46"/>
        <v>4547.5199999999995</v>
      </c>
    </row>
    <row r="110" spans="2:20" x14ac:dyDescent="0.2">
      <c r="B110" s="426"/>
      <c r="C110" t="s">
        <v>229</v>
      </c>
      <c r="D110" s="49"/>
      <c r="E110" s="454">
        <f>'Year 1'!E110</f>
        <v>0</v>
      </c>
      <c r="F110" s="452" t="str">
        <f>IF('Year 1'!F110="","",'Year 1'!F110)</f>
        <v/>
      </c>
      <c r="H110" s="379">
        <f t="shared" si="47"/>
        <v>0</v>
      </c>
      <c r="I110" s="380">
        <f t="shared" si="47"/>
        <v>0</v>
      </c>
      <c r="J110" s="380">
        <f t="shared" si="47"/>
        <v>0</v>
      </c>
      <c r="K110" s="380">
        <f t="shared" si="47"/>
        <v>0</v>
      </c>
      <c r="L110" s="380">
        <f t="shared" si="47"/>
        <v>0</v>
      </c>
      <c r="M110" s="380">
        <f t="shared" si="47"/>
        <v>0</v>
      </c>
      <c r="N110" s="380">
        <f t="shared" si="47"/>
        <v>0</v>
      </c>
      <c r="O110" s="380">
        <f t="shared" si="47"/>
        <v>0</v>
      </c>
      <c r="P110" s="380">
        <f t="shared" si="47"/>
        <v>0</v>
      </c>
      <c r="Q110" s="380">
        <f t="shared" si="47"/>
        <v>0</v>
      </c>
      <c r="R110" s="380">
        <f t="shared" si="47"/>
        <v>0</v>
      </c>
      <c r="S110" s="380">
        <f t="shared" si="47"/>
        <v>0</v>
      </c>
      <c r="T110" s="417">
        <f t="shared" si="46"/>
        <v>0</v>
      </c>
    </row>
    <row r="111" spans="2:20" x14ac:dyDescent="0.2">
      <c r="B111" s="426"/>
      <c r="C111" t="s">
        <v>230</v>
      </c>
      <c r="D111" s="49"/>
      <c r="E111" s="454">
        <f>'Year 1'!E111</f>
        <v>0</v>
      </c>
      <c r="F111" s="452" t="str">
        <f>IF('Year 1'!F111="","",'Year 1'!F111)</f>
        <v/>
      </c>
      <c r="H111" s="379">
        <f t="shared" si="47"/>
        <v>0</v>
      </c>
      <c r="I111" s="380">
        <f t="shared" si="47"/>
        <v>0</v>
      </c>
      <c r="J111" s="380">
        <f t="shared" si="47"/>
        <v>0</v>
      </c>
      <c r="K111" s="380">
        <f t="shared" si="47"/>
        <v>0</v>
      </c>
      <c r="L111" s="380">
        <f t="shared" si="47"/>
        <v>0</v>
      </c>
      <c r="M111" s="380">
        <f t="shared" si="47"/>
        <v>0</v>
      </c>
      <c r="N111" s="380">
        <f t="shared" si="47"/>
        <v>0</v>
      </c>
      <c r="O111" s="380">
        <f t="shared" si="47"/>
        <v>0</v>
      </c>
      <c r="P111" s="380">
        <f t="shared" si="47"/>
        <v>0</v>
      </c>
      <c r="Q111" s="380">
        <f t="shared" si="47"/>
        <v>0</v>
      </c>
      <c r="R111" s="380">
        <f t="shared" si="47"/>
        <v>0</v>
      </c>
      <c r="S111" s="380">
        <f t="shared" si="47"/>
        <v>0</v>
      </c>
      <c r="T111" s="417">
        <f t="shared" si="46"/>
        <v>0</v>
      </c>
    </row>
    <row r="112" spans="2:20" ht="17" thickBot="1" x14ac:dyDescent="0.25">
      <c r="B112" s="426"/>
      <c r="C112" t="s">
        <v>231</v>
      </c>
      <c r="D112" s="49"/>
      <c r="E112" s="454">
        <f>'Year 1'!E112</f>
        <v>0.04</v>
      </c>
      <c r="F112" s="452" t="str">
        <f>IF('Year 1'!F112="","",'Year 1'!F112)</f>
        <v/>
      </c>
      <c r="H112" s="379">
        <f t="shared" si="47"/>
        <v>1010.5600000000001</v>
      </c>
      <c r="I112" s="380">
        <f t="shared" si="47"/>
        <v>1010.5600000000001</v>
      </c>
      <c r="J112" s="380">
        <f t="shared" si="47"/>
        <v>1010.5600000000001</v>
      </c>
      <c r="K112" s="380">
        <f t="shared" si="47"/>
        <v>1010.5600000000001</v>
      </c>
      <c r="L112" s="380">
        <f t="shared" si="47"/>
        <v>1010.5600000000001</v>
      </c>
      <c r="M112" s="380">
        <f t="shared" si="47"/>
        <v>1010.5600000000001</v>
      </c>
      <c r="N112" s="380">
        <f t="shared" si="47"/>
        <v>1010.5600000000001</v>
      </c>
      <c r="O112" s="380">
        <f t="shared" si="47"/>
        <v>1010.5600000000001</v>
      </c>
      <c r="P112" s="380">
        <f t="shared" si="47"/>
        <v>1010.5600000000001</v>
      </c>
      <c r="Q112" s="380">
        <f t="shared" si="47"/>
        <v>1010.5600000000001</v>
      </c>
      <c r="R112" s="380">
        <f t="shared" si="47"/>
        <v>1010.5600000000001</v>
      </c>
      <c r="S112" s="380">
        <f t="shared" si="47"/>
        <v>1010.5600000000001</v>
      </c>
      <c r="T112" s="417">
        <f t="shared" si="46"/>
        <v>12126.72</v>
      </c>
    </row>
    <row r="113" spans="2:20" ht="17" thickTop="1" x14ac:dyDescent="0.2">
      <c r="B113" s="418" t="s">
        <v>232</v>
      </c>
      <c r="C113" s="419"/>
      <c r="D113" s="419"/>
      <c r="E113" s="419"/>
      <c r="F113" s="419"/>
      <c r="G113" s="420"/>
      <c r="H113" s="421">
        <f>SUM(H105:H112)</f>
        <v>8324.848</v>
      </c>
      <c r="I113" s="422">
        <f t="shared" ref="I113:S113" si="48">SUM(I105:I112)</f>
        <v>8324.848</v>
      </c>
      <c r="J113" s="422">
        <f t="shared" si="48"/>
        <v>8324.848</v>
      </c>
      <c r="K113" s="422">
        <f t="shared" si="48"/>
        <v>8324.848</v>
      </c>
      <c r="L113" s="422">
        <f t="shared" si="48"/>
        <v>8324.848</v>
      </c>
      <c r="M113" s="422">
        <f t="shared" si="48"/>
        <v>8324.848</v>
      </c>
      <c r="N113" s="422">
        <f t="shared" si="48"/>
        <v>8324.848</v>
      </c>
      <c r="O113" s="422">
        <f t="shared" si="48"/>
        <v>8324.848</v>
      </c>
      <c r="P113" s="422">
        <f t="shared" si="48"/>
        <v>8324.848</v>
      </c>
      <c r="Q113" s="422">
        <f t="shared" si="48"/>
        <v>8324.848</v>
      </c>
      <c r="R113" s="422">
        <f t="shared" si="48"/>
        <v>8324.848</v>
      </c>
      <c r="S113" s="422">
        <f t="shared" si="48"/>
        <v>8324.848</v>
      </c>
      <c r="T113" s="423">
        <f>SUM(H113:S113)</f>
        <v>99898.175999999992</v>
      </c>
    </row>
    <row r="114" spans="2:20" ht="17" thickBot="1" x14ac:dyDescent="0.25">
      <c r="B114" s="308"/>
      <c r="C114" s="10"/>
      <c r="E114" s="20"/>
      <c r="G114" s="19"/>
      <c r="H114" s="382"/>
      <c r="I114" s="383"/>
      <c r="J114" s="383"/>
      <c r="K114" s="383"/>
      <c r="L114" s="383"/>
      <c r="M114" s="383"/>
      <c r="N114" s="383"/>
      <c r="O114" s="383"/>
      <c r="P114" s="383"/>
      <c r="Q114" s="383"/>
      <c r="R114" s="383"/>
      <c r="S114" s="383"/>
      <c r="T114" s="425"/>
    </row>
    <row r="115" spans="2:20" ht="17" thickTop="1" x14ac:dyDescent="0.2">
      <c r="B115" s="250" t="s">
        <v>235</v>
      </c>
      <c r="C115" s="237"/>
      <c r="D115" s="237"/>
      <c r="E115" s="237"/>
      <c r="F115" s="237"/>
      <c r="G115" s="237"/>
      <c r="H115" s="239">
        <f t="shared" ref="H115:S115" si="49">H102+H113</f>
        <v>33588.847999999998</v>
      </c>
      <c r="I115" s="240">
        <f t="shared" si="49"/>
        <v>33588.847999999998</v>
      </c>
      <c r="J115" s="240">
        <f t="shared" si="49"/>
        <v>33588.847999999998</v>
      </c>
      <c r="K115" s="240">
        <f t="shared" si="49"/>
        <v>33588.847999999998</v>
      </c>
      <c r="L115" s="240">
        <f t="shared" si="49"/>
        <v>33588.847999999998</v>
      </c>
      <c r="M115" s="240">
        <f t="shared" si="49"/>
        <v>33588.847999999998</v>
      </c>
      <c r="N115" s="240">
        <f t="shared" si="49"/>
        <v>33588.847999999998</v>
      </c>
      <c r="O115" s="240">
        <f t="shared" si="49"/>
        <v>33588.847999999998</v>
      </c>
      <c r="P115" s="240">
        <f t="shared" si="49"/>
        <v>33588.847999999998</v>
      </c>
      <c r="Q115" s="240">
        <f t="shared" si="49"/>
        <v>33588.847999999998</v>
      </c>
      <c r="R115" s="240">
        <f t="shared" si="49"/>
        <v>33588.847999999998</v>
      </c>
      <c r="S115" s="240">
        <f t="shared" si="49"/>
        <v>33588.847999999998</v>
      </c>
      <c r="T115" s="251">
        <f>SUM(H115:S115)</f>
        <v>403066.17599999998</v>
      </c>
    </row>
    <row r="116" spans="2:20" x14ac:dyDescent="0.2">
      <c r="C116" s="10"/>
      <c r="D116" s="11"/>
      <c r="E116" s="20"/>
      <c r="F116" s="8"/>
      <c r="H116" s="387"/>
      <c r="I116" s="388"/>
      <c r="J116" s="388"/>
      <c r="K116" s="388"/>
      <c r="L116" s="388"/>
      <c r="M116" s="388"/>
      <c r="N116" s="388"/>
      <c r="O116" s="388"/>
      <c r="P116" s="388"/>
      <c r="Q116" s="388"/>
      <c r="R116" s="388"/>
      <c r="S116" s="388"/>
      <c r="T116" s="381"/>
    </row>
    <row r="117" spans="2:20" ht="20" x14ac:dyDescent="0.2">
      <c r="B117" s="116" t="s">
        <v>17</v>
      </c>
      <c r="C117" s="327"/>
      <c r="D117" s="327"/>
      <c r="E117" s="327" t="str">
        <f>$E$3</f>
        <v>Year 2 (2021)</v>
      </c>
      <c r="F117" s="327"/>
      <c r="G117" s="327"/>
      <c r="H117" s="360" t="s">
        <v>127</v>
      </c>
      <c r="I117" s="361" t="s">
        <v>128</v>
      </c>
      <c r="J117" s="361" t="s">
        <v>129</v>
      </c>
      <c r="K117" s="361" t="s">
        <v>130</v>
      </c>
      <c r="L117" s="361" t="s">
        <v>131</v>
      </c>
      <c r="M117" s="361" t="s">
        <v>132</v>
      </c>
      <c r="N117" s="361" t="s">
        <v>133</v>
      </c>
      <c r="O117" s="361" t="s">
        <v>134</v>
      </c>
      <c r="P117" s="361" t="s">
        <v>135</v>
      </c>
      <c r="Q117" s="361" t="s">
        <v>136</v>
      </c>
      <c r="R117" s="361" t="s">
        <v>137</v>
      </c>
      <c r="S117" s="361" t="s">
        <v>138</v>
      </c>
      <c r="T117" s="362" t="s">
        <v>179</v>
      </c>
    </row>
    <row r="118" spans="2:20" x14ac:dyDescent="0.2">
      <c r="B118" s="401"/>
      <c r="C118" s="402"/>
      <c r="D118" s="402"/>
      <c r="E118" s="402"/>
      <c r="F118" s="402"/>
      <c r="G118" s="403" t="s">
        <v>57</v>
      </c>
      <c r="H118" s="363">
        <f>H$4</f>
        <v>13</v>
      </c>
      <c r="I118" s="364">
        <f t="shared" ref="I118:S118" si="50">I$4</f>
        <v>14</v>
      </c>
      <c r="J118" s="364">
        <f t="shared" si="50"/>
        <v>15</v>
      </c>
      <c r="K118" s="364">
        <f t="shared" si="50"/>
        <v>16</v>
      </c>
      <c r="L118" s="364">
        <f t="shared" si="50"/>
        <v>17</v>
      </c>
      <c r="M118" s="364">
        <f t="shared" si="50"/>
        <v>18</v>
      </c>
      <c r="N118" s="364">
        <f t="shared" si="50"/>
        <v>19</v>
      </c>
      <c r="O118" s="364">
        <f t="shared" si="50"/>
        <v>20</v>
      </c>
      <c r="P118" s="364">
        <f t="shared" si="50"/>
        <v>21</v>
      </c>
      <c r="Q118" s="364">
        <f t="shared" si="50"/>
        <v>22</v>
      </c>
      <c r="R118" s="364">
        <f t="shared" si="50"/>
        <v>23</v>
      </c>
      <c r="S118" s="364">
        <f t="shared" si="50"/>
        <v>24</v>
      </c>
      <c r="T118" s="405" t="str">
        <f>"Total for " &amp; $E$3</f>
        <v>Total for Year 2 (2021)</v>
      </c>
    </row>
    <row r="119" spans="2:20" x14ac:dyDescent="0.2">
      <c r="B119" s="308"/>
      <c r="C119" s="10"/>
      <c r="D119" s="11"/>
      <c r="E119" s="20"/>
      <c r="F119" s="8"/>
      <c r="H119" s="367"/>
      <c r="I119" s="368"/>
      <c r="J119" s="368"/>
      <c r="K119" s="368"/>
      <c r="L119" s="368"/>
      <c r="M119" s="368"/>
      <c r="N119" s="368"/>
      <c r="O119" s="368"/>
      <c r="P119" s="368"/>
      <c r="Q119" s="368"/>
      <c r="R119" s="368"/>
      <c r="S119" s="368"/>
      <c r="T119" s="407"/>
    </row>
    <row r="120" spans="2:20" x14ac:dyDescent="0.2">
      <c r="B120" s="307" t="s">
        <v>31</v>
      </c>
      <c r="C120" s="10"/>
      <c r="D120" s="11"/>
      <c r="E120" s="22" t="s">
        <v>29</v>
      </c>
      <c r="F120" s="8" t="s">
        <v>30</v>
      </c>
      <c r="H120" s="367"/>
      <c r="I120" s="368"/>
      <c r="J120" s="368"/>
      <c r="K120" s="368"/>
      <c r="L120" s="368"/>
      <c r="M120" s="368"/>
      <c r="N120" s="368"/>
      <c r="O120" s="368"/>
      <c r="P120" s="368"/>
      <c r="Q120" s="368"/>
      <c r="R120" s="368"/>
      <c r="S120" s="368"/>
      <c r="T120" s="407"/>
    </row>
    <row r="121" spans="2:20" x14ac:dyDescent="0.2">
      <c r="B121" s="308"/>
      <c r="C121" t="s">
        <v>207</v>
      </c>
      <c r="D121" s="49"/>
      <c r="E121" s="452">
        <f>'Year 1'!E121</f>
        <v>500</v>
      </c>
      <c r="F121" s="453">
        <f>'Year 1'!F121</f>
        <v>1</v>
      </c>
      <c r="H121" s="379">
        <f>$E121*$F121</f>
        <v>500</v>
      </c>
      <c r="I121" s="380">
        <f t="shared" ref="I121:S136" si="51">$E121*$F121</f>
        <v>500</v>
      </c>
      <c r="J121" s="380">
        <f t="shared" si="51"/>
        <v>500</v>
      </c>
      <c r="K121" s="380">
        <f t="shared" si="51"/>
        <v>500</v>
      </c>
      <c r="L121" s="380">
        <f t="shared" si="51"/>
        <v>500</v>
      </c>
      <c r="M121" s="380">
        <f t="shared" si="51"/>
        <v>500</v>
      </c>
      <c r="N121" s="380">
        <f t="shared" si="51"/>
        <v>500</v>
      </c>
      <c r="O121" s="380">
        <f t="shared" si="51"/>
        <v>500</v>
      </c>
      <c r="P121" s="380">
        <f t="shared" si="51"/>
        <v>500</v>
      </c>
      <c r="Q121" s="380">
        <f t="shared" si="51"/>
        <v>500</v>
      </c>
      <c r="R121" s="380">
        <f t="shared" si="51"/>
        <v>500</v>
      </c>
      <c r="S121" s="380">
        <f t="shared" si="51"/>
        <v>500</v>
      </c>
      <c r="T121" s="417">
        <f>SUM(H121:S121)</f>
        <v>6000</v>
      </c>
    </row>
    <row r="122" spans="2:20" x14ac:dyDescent="0.2">
      <c r="B122" s="308"/>
      <c r="C122" t="s">
        <v>190</v>
      </c>
      <c r="D122" s="49"/>
      <c r="E122" s="452">
        <f>'Year 1'!E122</f>
        <v>300</v>
      </c>
      <c r="F122" s="453">
        <f>'Year 1'!F122</f>
        <v>2</v>
      </c>
      <c r="H122" s="379">
        <f t="shared" ref="H122:S139" si="52">$E122*$F122</f>
        <v>600</v>
      </c>
      <c r="I122" s="380">
        <f t="shared" si="51"/>
        <v>600</v>
      </c>
      <c r="J122" s="380">
        <f t="shared" si="51"/>
        <v>600</v>
      </c>
      <c r="K122" s="380">
        <f t="shared" si="51"/>
        <v>600</v>
      </c>
      <c r="L122" s="380">
        <f t="shared" si="51"/>
        <v>600</v>
      </c>
      <c r="M122" s="380">
        <f t="shared" si="51"/>
        <v>600</v>
      </c>
      <c r="N122" s="380">
        <f t="shared" si="51"/>
        <v>600</v>
      </c>
      <c r="O122" s="380">
        <f t="shared" si="51"/>
        <v>600</v>
      </c>
      <c r="P122" s="380">
        <f t="shared" si="51"/>
        <v>600</v>
      </c>
      <c r="Q122" s="380">
        <f t="shared" si="51"/>
        <v>600</v>
      </c>
      <c r="R122" s="380">
        <f t="shared" si="51"/>
        <v>600</v>
      </c>
      <c r="S122" s="380">
        <f t="shared" si="51"/>
        <v>600</v>
      </c>
      <c r="T122" s="417">
        <f t="shared" ref="T122:T139" si="53">SUM(H122:S122)</f>
        <v>7200</v>
      </c>
    </row>
    <row r="123" spans="2:20" x14ac:dyDescent="0.2">
      <c r="B123" s="308"/>
      <c r="C123" t="s">
        <v>191</v>
      </c>
      <c r="D123" s="49"/>
      <c r="E123" s="452">
        <f>'Year 1'!E123</f>
        <v>0</v>
      </c>
      <c r="F123" s="453">
        <f>'Year 1'!F123</f>
        <v>3</v>
      </c>
      <c r="H123" s="379">
        <f t="shared" si="52"/>
        <v>0</v>
      </c>
      <c r="I123" s="380">
        <f t="shared" si="51"/>
        <v>0</v>
      </c>
      <c r="J123" s="380">
        <f t="shared" si="51"/>
        <v>0</v>
      </c>
      <c r="K123" s="380">
        <f t="shared" si="51"/>
        <v>0</v>
      </c>
      <c r="L123" s="380">
        <f t="shared" si="51"/>
        <v>0</v>
      </c>
      <c r="M123" s="380">
        <f t="shared" si="51"/>
        <v>0</v>
      </c>
      <c r="N123" s="380">
        <f t="shared" si="51"/>
        <v>0</v>
      </c>
      <c r="O123" s="380">
        <f t="shared" si="51"/>
        <v>0</v>
      </c>
      <c r="P123" s="380">
        <f t="shared" si="51"/>
        <v>0</v>
      </c>
      <c r="Q123" s="380">
        <f t="shared" si="51"/>
        <v>0</v>
      </c>
      <c r="R123" s="380">
        <f t="shared" si="51"/>
        <v>0</v>
      </c>
      <c r="S123" s="380">
        <f t="shared" si="51"/>
        <v>0</v>
      </c>
      <c r="T123" s="417">
        <f t="shared" si="53"/>
        <v>0</v>
      </c>
    </row>
    <row r="124" spans="2:20" x14ac:dyDescent="0.2">
      <c r="B124" s="308"/>
      <c r="C124" t="s">
        <v>192</v>
      </c>
      <c r="D124" s="49"/>
      <c r="E124" s="452">
        <f>'Year 1'!E124</f>
        <v>0</v>
      </c>
      <c r="F124" s="453">
        <f>'Year 1'!F124</f>
        <v>1</v>
      </c>
      <c r="H124" s="379">
        <f t="shared" si="52"/>
        <v>0</v>
      </c>
      <c r="I124" s="380">
        <f t="shared" si="51"/>
        <v>0</v>
      </c>
      <c r="J124" s="380">
        <f t="shared" si="51"/>
        <v>0</v>
      </c>
      <c r="K124" s="380">
        <f t="shared" si="51"/>
        <v>0</v>
      </c>
      <c r="L124" s="380">
        <f t="shared" si="51"/>
        <v>0</v>
      </c>
      <c r="M124" s="380">
        <f t="shared" si="51"/>
        <v>0</v>
      </c>
      <c r="N124" s="380">
        <f t="shared" si="51"/>
        <v>0</v>
      </c>
      <c r="O124" s="380">
        <f t="shared" si="51"/>
        <v>0</v>
      </c>
      <c r="P124" s="380">
        <f t="shared" si="51"/>
        <v>0</v>
      </c>
      <c r="Q124" s="380">
        <f t="shared" si="51"/>
        <v>0</v>
      </c>
      <c r="R124" s="380">
        <f t="shared" si="51"/>
        <v>0</v>
      </c>
      <c r="S124" s="380">
        <f t="shared" si="51"/>
        <v>0</v>
      </c>
      <c r="T124" s="417">
        <f t="shared" si="53"/>
        <v>0</v>
      </c>
    </row>
    <row r="125" spans="2:20" x14ac:dyDescent="0.2">
      <c r="B125" s="308"/>
      <c r="C125" t="s">
        <v>193</v>
      </c>
      <c r="D125" s="49"/>
      <c r="E125" s="452">
        <f>'Year 1'!E125</f>
        <v>200</v>
      </c>
      <c r="F125" s="453">
        <f>'Year 1'!F125</f>
        <v>1</v>
      </c>
      <c r="H125" s="379">
        <f t="shared" si="52"/>
        <v>200</v>
      </c>
      <c r="I125" s="380">
        <f t="shared" si="51"/>
        <v>200</v>
      </c>
      <c r="J125" s="380">
        <f t="shared" si="51"/>
        <v>200</v>
      </c>
      <c r="K125" s="380">
        <f t="shared" si="51"/>
        <v>200</v>
      </c>
      <c r="L125" s="380">
        <f t="shared" si="51"/>
        <v>200</v>
      </c>
      <c r="M125" s="380">
        <f t="shared" si="51"/>
        <v>200</v>
      </c>
      <c r="N125" s="380">
        <f t="shared" si="51"/>
        <v>200</v>
      </c>
      <c r="O125" s="380">
        <f t="shared" si="51"/>
        <v>200</v>
      </c>
      <c r="P125" s="380">
        <f t="shared" si="51"/>
        <v>200</v>
      </c>
      <c r="Q125" s="380">
        <f t="shared" si="51"/>
        <v>200</v>
      </c>
      <c r="R125" s="380">
        <f t="shared" si="51"/>
        <v>200</v>
      </c>
      <c r="S125" s="380">
        <f t="shared" si="51"/>
        <v>200</v>
      </c>
      <c r="T125" s="417">
        <f t="shared" si="53"/>
        <v>2400</v>
      </c>
    </row>
    <row r="126" spans="2:20" x14ac:dyDescent="0.2">
      <c r="B126" s="308"/>
      <c r="C126" t="s">
        <v>194</v>
      </c>
      <c r="D126" s="49"/>
      <c r="E126" s="452">
        <f>'Year 1'!E126</f>
        <v>0</v>
      </c>
      <c r="F126" s="453">
        <f>'Year 1'!F126</f>
        <v>2</v>
      </c>
      <c r="H126" s="379">
        <f t="shared" si="52"/>
        <v>0</v>
      </c>
      <c r="I126" s="380">
        <f t="shared" si="51"/>
        <v>0</v>
      </c>
      <c r="J126" s="380">
        <f t="shared" si="51"/>
        <v>0</v>
      </c>
      <c r="K126" s="380">
        <f t="shared" si="51"/>
        <v>0</v>
      </c>
      <c r="L126" s="380">
        <f t="shared" si="51"/>
        <v>0</v>
      </c>
      <c r="M126" s="380">
        <f t="shared" si="51"/>
        <v>0</v>
      </c>
      <c r="N126" s="380">
        <f t="shared" si="51"/>
        <v>0</v>
      </c>
      <c r="O126" s="380">
        <f t="shared" si="51"/>
        <v>0</v>
      </c>
      <c r="P126" s="380">
        <f t="shared" si="51"/>
        <v>0</v>
      </c>
      <c r="Q126" s="380">
        <f t="shared" si="51"/>
        <v>0</v>
      </c>
      <c r="R126" s="380">
        <f t="shared" si="51"/>
        <v>0</v>
      </c>
      <c r="S126" s="380">
        <f t="shared" si="51"/>
        <v>0</v>
      </c>
      <c r="T126" s="417">
        <f t="shared" si="53"/>
        <v>0</v>
      </c>
    </row>
    <row r="127" spans="2:20" x14ac:dyDescent="0.2">
      <c r="B127" s="308"/>
      <c r="C127" t="s">
        <v>195</v>
      </c>
      <c r="D127" s="49"/>
      <c r="E127" s="452">
        <f>'Year 1'!E127</f>
        <v>0</v>
      </c>
      <c r="F127" s="453">
        <f>'Year 1'!F127</f>
        <v>1</v>
      </c>
      <c r="H127" s="379">
        <f t="shared" si="52"/>
        <v>0</v>
      </c>
      <c r="I127" s="380">
        <f t="shared" si="51"/>
        <v>0</v>
      </c>
      <c r="J127" s="380">
        <f t="shared" si="51"/>
        <v>0</v>
      </c>
      <c r="K127" s="380">
        <f t="shared" si="51"/>
        <v>0</v>
      </c>
      <c r="L127" s="380">
        <f t="shared" si="51"/>
        <v>0</v>
      </c>
      <c r="M127" s="380">
        <f t="shared" si="51"/>
        <v>0</v>
      </c>
      <c r="N127" s="380">
        <f t="shared" si="51"/>
        <v>0</v>
      </c>
      <c r="O127" s="380">
        <f t="shared" si="51"/>
        <v>0</v>
      </c>
      <c r="P127" s="380">
        <f t="shared" si="51"/>
        <v>0</v>
      </c>
      <c r="Q127" s="380">
        <f t="shared" si="51"/>
        <v>0</v>
      </c>
      <c r="R127" s="380">
        <f t="shared" si="51"/>
        <v>0</v>
      </c>
      <c r="S127" s="380">
        <f t="shared" si="51"/>
        <v>0</v>
      </c>
      <c r="T127" s="417">
        <f t="shared" si="53"/>
        <v>0</v>
      </c>
    </row>
    <row r="128" spans="2:20" x14ac:dyDescent="0.2">
      <c r="B128" s="308"/>
      <c r="C128" t="s">
        <v>196</v>
      </c>
      <c r="D128" s="49"/>
      <c r="E128" s="452">
        <f>'Year 1'!E128</f>
        <v>0</v>
      </c>
      <c r="F128" s="453">
        <f>'Year 1'!F128</f>
        <v>1</v>
      </c>
      <c r="H128" s="379">
        <f t="shared" si="52"/>
        <v>0</v>
      </c>
      <c r="I128" s="380">
        <f t="shared" si="51"/>
        <v>0</v>
      </c>
      <c r="J128" s="380">
        <f t="shared" si="51"/>
        <v>0</v>
      </c>
      <c r="K128" s="380">
        <f t="shared" si="51"/>
        <v>0</v>
      </c>
      <c r="L128" s="380">
        <f t="shared" si="51"/>
        <v>0</v>
      </c>
      <c r="M128" s="380">
        <f t="shared" si="51"/>
        <v>0</v>
      </c>
      <c r="N128" s="380">
        <f t="shared" si="51"/>
        <v>0</v>
      </c>
      <c r="O128" s="380">
        <f t="shared" si="51"/>
        <v>0</v>
      </c>
      <c r="P128" s="380">
        <f t="shared" si="51"/>
        <v>0</v>
      </c>
      <c r="Q128" s="380">
        <f t="shared" si="51"/>
        <v>0</v>
      </c>
      <c r="R128" s="380">
        <f t="shared" si="51"/>
        <v>0</v>
      </c>
      <c r="S128" s="380">
        <f t="shared" si="51"/>
        <v>0</v>
      </c>
      <c r="T128" s="417">
        <f t="shared" si="53"/>
        <v>0</v>
      </c>
    </row>
    <row r="129" spans="2:20" x14ac:dyDescent="0.2">
      <c r="B129" s="308"/>
      <c r="C129" t="s">
        <v>197</v>
      </c>
      <c r="D129" s="49"/>
      <c r="E129" s="452">
        <f>'Year 1'!E129</f>
        <v>0</v>
      </c>
      <c r="F129" s="453">
        <f>'Year 1'!F129</f>
        <v>1</v>
      </c>
      <c r="H129" s="379">
        <f t="shared" si="52"/>
        <v>0</v>
      </c>
      <c r="I129" s="380">
        <f t="shared" si="51"/>
        <v>0</v>
      </c>
      <c r="J129" s="380">
        <f t="shared" si="51"/>
        <v>0</v>
      </c>
      <c r="K129" s="380">
        <f t="shared" si="51"/>
        <v>0</v>
      </c>
      <c r="L129" s="380">
        <f t="shared" si="51"/>
        <v>0</v>
      </c>
      <c r="M129" s="380">
        <f t="shared" si="51"/>
        <v>0</v>
      </c>
      <c r="N129" s="380">
        <f t="shared" si="51"/>
        <v>0</v>
      </c>
      <c r="O129" s="380">
        <f t="shared" si="51"/>
        <v>0</v>
      </c>
      <c r="P129" s="380">
        <f t="shared" si="51"/>
        <v>0</v>
      </c>
      <c r="Q129" s="380">
        <f t="shared" si="51"/>
        <v>0</v>
      </c>
      <c r="R129" s="380">
        <f t="shared" si="51"/>
        <v>0</v>
      </c>
      <c r="S129" s="380">
        <f t="shared" si="51"/>
        <v>0</v>
      </c>
      <c r="T129" s="417">
        <f t="shared" si="53"/>
        <v>0</v>
      </c>
    </row>
    <row r="130" spans="2:20" x14ac:dyDescent="0.2">
      <c r="B130" s="308"/>
      <c r="C130" t="s">
        <v>198</v>
      </c>
      <c r="D130" s="49"/>
      <c r="E130" s="452">
        <f>'Year 1'!E130</f>
        <v>0</v>
      </c>
      <c r="F130" s="453">
        <f>'Year 1'!F130</f>
        <v>1</v>
      </c>
      <c r="H130" s="379">
        <f t="shared" si="52"/>
        <v>0</v>
      </c>
      <c r="I130" s="380">
        <f t="shared" si="51"/>
        <v>0</v>
      </c>
      <c r="J130" s="380">
        <f t="shared" si="51"/>
        <v>0</v>
      </c>
      <c r="K130" s="380">
        <f t="shared" si="51"/>
        <v>0</v>
      </c>
      <c r="L130" s="380">
        <f t="shared" si="51"/>
        <v>0</v>
      </c>
      <c r="M130" s="380">
        <f t="shared" si="51"/>
        <v>0</v>
      </c>
      <c r="N130" s="380">
        <f t="shared" si="51"/>
        <v>0</v>
      </c>
      <c r="O130" s="380">
        <f t="shared" si="51"/>
        <v>0</v>
      </c>
      <c r="P130" s="380">
        <f t="shared" si="51"/>
        <v>0</v>
      </c>
      <c r="Q130" s="380">
        <f t="shared" si="51"/>
        <v>0</v>
      </c>
      <c r="R130" s="380">
        <f t="shared" si="51"/>
        <v>0</v>
      </c>
      <c r="S130" s="380">
        <f t="shared" si="51"/>
        <v>0</v>
      </c>
      <c r="T130" s="417">
        <f t="shared" si="53"/>
        <v>0</v>
      </c>
    </row>
    <row r="131" spans="2:20" x14ac:dyDescent="0.2">
      <c r="B131" s="308"/>
      <c r="C131" t="s">
        <v>32</v>
      </c>
      <c r="D131" s="49"/>
      <c r="E131" s="452">
        <f>'Year 1'!E131</f>
        <v>200</v>
      </c>
      <c r="F131" s="453">
        <f>'Year 1'!F131</f>
        <v>1</v>
      </c>
      <c r="H131" s="379">
        <f t="shared" si="52"/>
        <v>200</v>
      </c>
      <c r="I131" s="380">
        <f t="shared" si="51"/>
        <v>200</v>
      </c>
      <c r="J131" s="380">
        <f t="shared" si="51"/>
        <v>200</v>
      </c>
      <c r="K131" s="380">
        <f t="shared" si="51"/>
        <v>200</v>
      </c>
      <c r="L131" s="380">
        <f t="shared" si="51"/>
        <v>200</v>
      </c>
      <c r="M131" s="380">
        <f t="shared" si="51"/>
        <v>200</v>
      </c>
      <c r="N131" s="380">
        <f t="shared" si="51"/>
        <v>200</v>
      </c>
      <c r="O131" s="380">
        <f t="shared" si="51"/>
        <v>200</v>
      </c>
      <c r="P131" s="380">
        <f t="shared" si="51"/>
        <v>200</v>
      </c>
      <c r="Q131" s="380">
        <f t="shared" si="51"/>
        <v>200</v>
      </c>
      <c r="R131" s="380">
        <f t="shared" si="51"/>
        <v>200</v>
      </c>
      <c r="S131" s="380">
        <f t="shared" si="51"/>
        <v>200</v>
      </c>
      <c r="T131" s="417">
        <f t="shared" si="53"/>
        <v>2400</v>
      </c>
    </row>
    <row r="132" spans="2:20" x14ac:dyDescent="0.2">
      <c r="B132" s="308"/>
      <c r="C132" t="s">
        <v>199</v>
      </c>
      <c r="D132" s="49"/>
      <c r="E132" s="452">
        <f>'Year 1'!E132</f>
        <v>3000</v>
      </c>
      <c r="F132" s="453">
        <f>'Year 1'!F132</f>
        <v>1</v>
      </c>
      <c r="H132" s="379">
        <f t="shared" si="52"/>
        <v>3000</v>
      </c>
      <c r="I132" s="380">
        <f t="shared" si="51"/>
        <v>3000</v>
      </c>
      <c r="J132" s="380">
        <f t="shared" si="51"/>
        <v>3000</v>
      </c>
      <c r="K132" s="380">
        <f t="shared" si="51"/>
        <v>3000</v>
      </c>
      <c r="L132" s="380">
        <f t="shared" si="51"/>
        <v>3000</v>
      </c>
      <c r="M132" s="380">
        <f t="shared" si="51"/>
        <v>3000</v>
      </c>
      <c r="N132" s="380">
        <f t="shared" si="51"/>
        <v>3000</v>
      </c>
      <c r="O132" s="380">
        <f t="shared" si="51"/>
        <v>3000</v>
      </c>
      <c r="P132" s="380">
        <f t="shared" si="51"/>
        <v>3000</v>
      </c>
      <c r="Q132" s="380">
        <f t="shared" si="51"/>
        <v>3000</v>
      </c>
      <c r="R132" s="380">
        <f t="shared" si="51"/>
        <v>3000</v>
      </c>
      <c r="S132" s="380">
        <f t="shared" si="51"/>
        <v>3000</v>
      </c>
      <c r="T132" s="417">
        <f t="shared" si="53"/>
        <v>36000</v>
      </c>
    </row>
    <row r="133" spans="2:20" x14ac:dyDescent="0.2">
      <c r="B133" s="308"/>
      <c r="C133" t="s">
        <v>200</v>
      </c>
      <c r="D133" s="49"/>
      <c r="E133" s="452">
        <f>'Year 1'!E133</f>
        <v>740</v>
      </c>
      <c r="F133" s="453">
        <f>'Year 1'!F133</f>
        <v>1</v>
      </c>
      <c r="H133" s="379">
        <f t="shared" si="52"/>
        <v>740</v>
      </c>
      <c r="I133" s="380">
        <f t="shared" si="51"/>
        <v>740</v>
      </c>
      <c r="J133" s="380">
        <f t="shared" si="51"/>
        <v>740</v>
      </c>
      <c r="K133" s="380">
        <f t="shared" si="51"/>
        <v>740</v>
      </c>
      <c r="L133" s="380">
        <f t="shared" si="51"/>
        <v>740</v>
      </c>
      <c r="M133" s="380">
        <f t="shared" si="51"/>
        <v>740</v>
      </c>
      <c r="N133" s="380">
        <f t="shared" si="51"/>
        <v>740</v>
      </c>
      <c r="O133" s="380">
        <f t="shared" si="51"/>
        <v>740</v>
      </c>
      <c r="P133" s="380">
        <f t="shared" si="51"/>
        <v>740</v>
      </c>
      <c r="Q133" s="380">
        <f t="shared" si="51"/>
        <v>740</v>
      </c>
      <c r="R133" s="380">
        <f t="shared" si="51"/>
        <v>740</v>
      </c>
      <c r="S133" s="380">
        <f t="shared" si="51"/>
        <v>740</v>
      </c>
      <c r="T133" s="417">
        <f t="shared" si="53"/>
        <v>8880</v>
      </c>
    </row>
    <row r="134" spans="2:20" x14ac:dyDescent="0.2">
      <c r="B134" s="308"/>
      <c r="C134" t="s">
        <v>201</v>
      </c>
      <c r="D134" s="49"/>
      <c r="E134" s="452">
        <f>'Year 1'!E134</f>
        <v>0</v>
      </c>
      <c r="F134" s="453">
        <f>'Year 1'!F134</f>
        <v>1</v>
      </c>
      <c r="H134" s="379">
        <f t="shared" si="52"/>
        <v>0</v>
      </c>
      <c r="I134" s="380">
        <f t="shared" si="51"/>
        <v>0</v>
      </c>
      <c r="J134" s="380">
        <f t="shared" si="51"/>
        <v>0</v>
      </c>
      <c r="K134" s="380">
        <f t="shared" si="51"/>
        <v>0</v>
      </c>
      <c r="L134" s="380">
        <f t="shared" si="51"/>
        <v>0</v>
      </c>
      <c r="M134" s="380">
        <f t="shared" si="51"/>
        <v>0</v>
      </c>
      <c r="N134" s="380">
        <f t="shared" si="51"/>
        <v>0</v>
      </c>
      <c r="O134" s="380">
        <f t="shared" si="51"/>
        <v>0</v>
      </c>
      <c r="P134" s="380">
        <f t="shared" si="51"/>
        <v>0</v>
      </c>
      <c r="Q134" s="380">
        <f t="shared" si="51"/>
        <v>0</v>
      </c>
      <c r="R134" s="380">
        <f t="shared" si="51"/>
        <v>0</v>
      </c>
      <c r="S134" s="380">
        <f t="shared" si="51"/>
        <v>0</v>
      </c>
      <c r="T134" s="417">
        <f t="shared" si="53"/>
        <v>0</v>
      </c>
    </row>
    <row r="135" spans="2:20" x14ac:dyDescent="0.2">
      <c r="B135" s="308"/>
      <c r="C135" t="s">
        <v>202</v>
      </c>
      <c r="D135" s="49"/>
      <c r="E135" s="452">
        <f>'Year 1'!E135</f>
        <v>0</v>
      </c>
      <c r="F135" s="453">
        <f>'Year 1'!F135</f>
        <v>1</v>
      </c>
      <c r="H135" s="379">
        <f t="shared" si="52"/>
        <v>0</v>
      </c>
      <c r="I135" s="380">
        <f t="shared" si="51"/>
        <v>0</v>
      </c>
      <c r="J135" s="380">
        <f t="shared" si="51"/>
        <v>0</v>
      </c>
      <c r="K135" s="380">
        <f t="shared" si="51"/>
        <v>0</v>
      </c>
      <c r="L135" s="380">
        <f t="shared" si="51"/>
        <v>0</v>
      </c>
      <c r="M135" s="380">
        <f t="shared" si="51"/>
        <v>0</v>
      </c>
      <c r="N135" s="380">
        <f t="shared" si="51"/>
        <v>0</v>
      </c>
      <c r="O135" s="380">
        <f t="shared" si="51"/>
        <v>0</v>
      </c>
      <c r="P135" s="380">
        <f t="shared" si="51"/>
        <v>0</v>
      </c>
      <c r="Q135" s="380">
        <f t="shared" si="51"/>
        <v>0</v>
      </c>
      <c r="R135" s="380">
        <f t="shared" si="51"/>
        <v>0</v>
      </c>
      <c r="S135" s="380">
        <f t="shared" si="51"/>
        <v>0</v>
      </c>
      <c r="T135" s="417">
        <f t="shared" si="53"/>
        <v>0</v>
      </c>
    </row>
    <row r="136" spans="2:20" x14ac:dyDescent="0.2">
      <c r="B136" s="308"/>
      <c r="C136" t="s">
        <v>203</v>
      </c>
      <c r="D136" s="49"/>
      <c r="E136" s="452">
        <f>'Year 1'!E136</f>
        <v>0</v>
      </c>
      <c r="F136" s="453">
        <f>'Year 1'!F136</f>
        <v>1</v>
      </c>
      <c r="H136" s="379">
        <f t="shared" si="52"/>
        <v>0</v>
      </c>
      <c r="I136" s="380">
        <f t="shared" si="51"/>
        <v>0</v>
      </c>
      <c r="J136" s="380">
        <f t="shared" si="51"/>
        <v>0</v>
      </c>
      <c r="K136" s="380">
        <f t="shared" si="51"/>
        <v>0</v>
      </c>
      <c r="L136" s="380">
        <f t="shared" si="51"/>
        <v>0</v>
      </c>
      <c r="M136" s="380">
        <f t="shared" si="51"/>
        <v>0</v>
      </c>
      <c r="N136" s="380">
        <f t="shared" si="51"/>
        <v>0</v>
      </c>
      <c r="O136" s="380">
        <f t="shared" si="51"/>
        <v>0</v>
      </c>
      <c r="P136" s="380">
        <f t="shared" si="51"/>
        <v>0</v>
      </c>
      <c r="Q136" s="380">
        <f t="shared" si="51"/>
        <v>0</v>
      </c>
      <c r="R136" s="380">
        <f t="shared" si="51"/>
        <v>0</v>
      </c>
      <c r="S136" s="380">
        <f t="shared" si="51"/>
        <v>0</v>
      </c>
      <c r="T136" s="417">
        <f t="shared" si="53"/>
        <v>0</v>
      </c>
    </row>
    <row r="137" spans="2:20" x14ac:dyDescent="0.2">
      <c r="B137" s="308"/>
      <c r="C137" t="s">
        <v>204</v>
      </c>
      <c r="D137" s="49"/>
      <c r="E137" s="452">
        <f>'Year 1'!E137</f>
        <v>0</v>
      </c>
      <c r="F137" s="453">
        <f>'Year 1'!F137</f>
        <v>1</v>
      </c>
      <c r="H137" s="379">
        <f t="shared" si="52"/>
        <v>0</v>
      </c>
      <c r="I137" s="380">
        <f t="shared" si="52"/>
        <v>0</v>
      </c>
      <c r="J137" s="380">
        <f t="shared" si="52"/>
        <v>0</v>
      </c>
      <c r="K137" s="380">
        <f t="shared" si="52"/>
        <v>0</v>
      </c>
      <c r="L137" s="380">
        <f t="shared" si="52"/>
        <v>0</v>
      </c>
      <c r="M137" s="380">
        <f t="shared" si="52"/>
        <v>0</v>
      </c>
      <c r="N137" s="380">
        <f t="shared" si="52"/>
        <v>0</v>
      </c>
      <c r="O137" s="380">
        <f t="shared" si="52"/>
        <v>0</v>
      </c>
      <c r="P137" s="380">
        <f t="shared" si="52"/>
        <v>0</v>
      </c>
      <c r="Q137" s="380">
        <f t="shared" si="52"/>
        <v>0</v>
      </c>
      <c r="R137" s="380">
        <f t="shared" si="52"/>
        <v>0</v>
      </c>
      <c r="S137" s="380">
        <f t="shared" si="52"/>
        <v>0</v>
      </c>
      <c r="T137" s="417">
        <f t="shared" si="53"/>
        <v>0</v>
      </c>
    </row>
    <row r="138" spans="2:20" x14ac:dyDescent="0.2">
      <c r="B138" s="308"/>
      <c r="C138" t="s">
        <v>205</v>
      </c>
      <c r="D138" s="49"/>
      <c r="E138" s="452">
        <f>'Year 1'!E138</f>
        <v>150</v>
      </c>
      <c r="F138" s="453">
        <f>'Year 1'!F138</f>
        <v>1</v>
      </c>
      <c r="H138" s="379">
        <f t="shared" si="52"/>
        <v>150</v>
      </c>
      <c r="I138" s="380">
        <f t="shared" si="52"/>
        <v>150</v>
      </c>
      <c r="J138" s="380">
        <f t="shared" si="52"/>
        <v>150</v>
      </c>
      <c r="K138" s="380">
        <f t="shared" si="52"/>
        <v>150</v>
      </c>
      <c r="L138" s="380">
        <f t="shared" si="52"/>
        <v>150</v>
      </c>
      <c r="M138" s="380">
        <f t="shared" si="52"/>
        <v>150</v>
      </c>
      <c r="N138" s="380">
        <f t="shared" si="52"/>
        <v>150</v>
      </c>
      <c r="O138" s="380">
        <f t="shared" si="52"/>
        <v>150</v>
      </c>
      <c r="P138" s="380">
        <f t="shared" si="52"/>
        <v>150</v>
      </c>
      <c r="Q138" s="380">
        <f t="shared" si="52"/>
        <v>150</v>
      </c>
      <c r="R138" s="380">
        <f t="shared" si="52"/>
        <v>150</v>
      </c>
      <c r="S138" s="380">
        <f t="shared" si="52"/>
        <v>150</v>
      </c>
      <c r="T138" s="417">
        <f t="shared" si="53"/>
        <v>1800</v>
      </c>
    </row>
    <row r="139" spans="2:20" x14ac:dyDescent="0.2">
      <c r="B139" s="308"/>
      <c r="C139" t="s">
        <v>206</v>
      </c>
      <c r="D139" s="49"/>
      <c r="E139" s="452">
        <f>'Year 1'!E139</f>
        <v>0</v>
      </c>
      <c r="F139" s="453">
        <f>'Year 1'!F139</f>
        <v>1</v>
      </c>
      <c r="H139" s="379">
        <f t="shared" si="52"/>
        <v>0</v>
      </c>
      <c r="I139" s="380">
        <f t="shared" si="52"/>
        <v>0</v>
      </c>
      <c r="J139" s="380">
        <f t="shared" si="52"/>
        <v>0</v>
      </c>
      <c r="K139" s="380">
        <f t="shared" si="52"/>
        <v>0</v>
      </c>
      <c r="L139" s="380">
        <f t="shared" si="52"/>
        <v>0</v>
      </c>
      <c r="M139" s="380">
        <f t="shared" si="52"/>
        <v>0</v>
      </c>
      <c r="N139" s="380">
        <f t="shared" si="52"/>
        <v>0</v>
      </c>
      <c r="O139" s="380">
        <f t="shared" si="52"/>
        <v>0</v>
      </c>
      <c r="P139" s="380">
        <f t="shared" si="52"/>
        <v>0</v>
      </c>
      <c r="Q139" s="380">
        <f t="shared" si="52"/>
        <v>0</v>
      </c>
      <c r="R139" s="380">
        <f t="shared" si="52"/>
        <v>0</v>
      </c>
      <c r="S139" s="380">
        <f t="shared" si="52"/>
        <v>0</v>
      </c>
      <c r="T139" s="417">
        <f t="shared" si="53"/>
        <v>0</v>
      </c>
    </row>
    <row r="140" spans="2:20" ht="17" thickBot="1" x14ac:dyDescent="0.25">
      <c r="B140" s="308"/>
      <c r="E140" s="23"/>
      <c r="F140" s="8"/>
      <c r="H140" s="382"/>
      <c r="I140" s="383"/>
      <c r="J140" s="383"/>
      <c r="K140" s="383"/>
      <c r="L140" s="383"/>
      <c r="M140" s="383"/>
      <c r="N140" s="383"/>
      <c r="O140" s="383"/>
      <c r="P140" s="383"/>
      <c r="Q140" s="383"/>
      <c r="R140" s="383"/>
      <c r="S140" s="383"/>
      <c r="T140" s="425"/>
    </row>
    <row r="141" spans="2:20" ht="17" thickTop="1" x14ac:dyDescent="0.2">
      <c r="B141" s="250" t="s">
        <v>17</v>
      </c>
      <c r="C141" s="237"/>
      <c r="D141" s="237"/>
      <c r="E141" s="237"/>
      <c r="F141" s="237"/>
      <c r="G141" s="237"/>
      <c r="H141" s="239">
        <f t="shared" ref="H141:S141" si="54">SUM(H121:H139)</f>
        <v>5390</v>
      </c>
      <c r="I141" s="240">
        <f t="shared" si="54"/>
        <v>5390</v>
      </c>
      <c r="J141" s="240">
        <f t="shared" si="54"/>
        <v>5390</v>
      </c>
      <c r="K141" s="240">
        <f t="shared" si="54"/>
        <v>5390</v>
      </c>
      <c r="L141" s="240">
        <f t="shared" si="54"/>
        <v>5390</v>
      </c>
      <c r="M141" s="240">
        <f t="shared" si="54"/>
        <v>5390</v>
      </c>
      <c r="N141" s="240">
        <f t="shared" si="54"/>
        <v>5390</v>
      </c>
      <c r="O141" s="240">
        <f t="shared" si="54"/>
        <v>5390</v>
      </c>
      <c r="P141" s="240">
        <f t="shared" si="54"/>
        <v>5390</v>
      </c>
      <c r="Q141" s="240">
        <f t="shared" si="54"/>
        <v>5390</v>
      </c>
      <c r="R141" s="240">
        <f t="shared" si="54"/>
        <v>5390</v>
      </c>
      <c r="S141" s="240">
        <f t="shared" si="54"/>
        <v>5390</v>
      </c>
      <c r="T141" s="251">
        <f>SUM(H141:S141)</f>
        <v>64680</v>
      </c>
    </row>
    <row r="142" spans="2:20" x14ac:dyDescent="0.2">
      <c r="C142" s="10"/>
      <c r="D142" s="11"/>
      <c r="E142" s="20"/>
      <c r="F142" s="8"/>
      <c r="H142" s="387"/>
      <c r="I142" s="388"/>
      <c r="J142" s="388"/>
      <c r="K142" s="388"/>
      <c r="L142" s="388"/>
      <c r="M142" s="388"/>
      <c r="N142" s="388"/>
      <c r="O142" s="388"/>
      <c r="P142" s="388"/>
      <c r="Q142" s="388"/>
      <c r="R142" s="388"/>
      <c r="S142" s="388"/>
      <c r="T142" s="381"/>
    </row>
    <row r="143" spans="2:20" ht="20" x14ac:dyDescent="0.2">
      <c r="B143" s="116" t="s">
        <v>307</v>
      </c>
      <c r="C143" s="327"/>
      <c r="D143" s="327"/>
      <c r="E143" s="327" t="str">
        <f>$E$3</f>
        <v>Year 2 (2021)</v>
      </c>
      <c r="F143" s="327"/>
      <c r="G143" s="327"/>
      <c r="H143" s="360" t="s">
        <v>127</v>
      </c>
      <c r="I143" s="361" t="s">
        <v>128</v>
      </c>
      <c r="J143" s="361" t="s">
        <v>129</v>
      </c>
      <c r="K143" s="361" t="s">
        <v>130</v>
      </c>
      <c r="L143" s="361" t="s">
        <v>131</v>
      </c>
      <c r="M143" s="361" t="s">
        <v>132</v>
      </c>
      <c r="N143" s="361" t="s">
        <v>133</v>
      </c>
      <c r="O143" s="361" t="s">
        <v>134</v>
      </c>
      <c r="P143" s="361" t="s">
        <v>135</v>
      </c>
      <c r="Q143" s="361" t="s">
        <v>136</v>
      </c>
      <c r="R143" s="361" t="s">
        <v>137</v>
      </c>
      <c r="S143" s="361" t="s">
        <v>138</v>
      </c>
      <c r="T143" s="362" t="s">
        <v>179</v>
      </c>
    </row>
    <row r="144" spans="2:20" x14ac:dyDescent="0.2">
      <c r="B144" s="401"/>
      <c r="C144" s="402"/>
      <c r="D144" s="402"/>
      <c r="E144" s="402"/>
      <c r="F144" s="402"/>
      <c r="G144" s="403" t="s">
        <v>57</v>
      </c>
      <c r="H144" s="363">
        <f>H$4</f>
        <v>13</v>
      </c>
      <c r="I144" s="364">
        <f t="shared" ref="I144:S144" si="55">I$4</f>
        <v>14</v>
      </c>
      <c r="J144" s="364">
        <f t="shared" si="55"/>
        <v>15</v>
      </c>
      <c r="K144" s="364">
        <f t="shared" si="55"/>
        <v>16</v>
      </c>
      <c r="L144" s="364">
        <f t="shared" si="55"/>
        <v>17</v>
      </c>
      <c r="M144" s="364">
        <f t="shared" si="55"/>
        <v>18</v>
      </c>
      <c r="N144" s="364">
        <f t="shared" si="55"/>
        <v>19</v>
      </c>
      <c r="O144" s="364">
        <f t="shared" si="55"/>
        <v>20</v>
      </c>
      <c r="P144" s="364">
        <f t="shared" si="55"/>
        <v>21</v>
      </c>
      <c r="Q144" s="364">
        <f t="shared" si="55"/>
        <v>22</v>
      </c>
      <c r="R144" s="364">
        <f t="shared" si="55"/>
        <v>23</v>
      </c>
      <c r="S144" s="364">
        <f t="shared" si="55"/>
        <v>24</v>
      </c>
      <c r="T144" s="405" t="str">
        <f>"Total for " &amp; $E$3</f>
        <v>Total for Year 2 (2021)</v>
      </c>
    </row>
    <row r="145" spans="2:20" x14ac:dyDescent="0.2">
      <c r="B145" s="307"/>
      <c r="C145" s="5"/>
      <c r="E145" s="7"/>
      <c r="F145" s="7"/>
      <c r="G145" s="5"/>
      <c r="H145" s="389"/>
      <c r="I145" s="390"/>
      <c r="J145" s="390"/>
      <c r="K145" s="390"/>
      <c r="L145" s="390"/>
      <c r="M145" s="390"/>
      <c r="N145" s="390"/>
      <c r="O145" s="390"/>
      <c r="P145" s="390"/>
      <c r="Q145" s="390"/>
      <c r="R145" s="390"/>
      <c r="S145" s="390"/>
      <c r="T145" s="427"/>
    </row>
    <row r="146" spans="2:20" x14ac:dyDescent="0.2">
      <c r="B146" s="307" t="s">
        <v>18</v>
      </c>
      <c r="D146" s="7"/>
      <c r="E146" s="7"/>
      <c r="F146" s="7"/>
      <c r="G146" s="5"/>
      <c r="H146" s="379"/>
      <c r="I146" s="380"/>
      <c r="J146" s="380"/>
      <c r="K146" s="380"/>
      <c r="L146" s="380"/>
      <c r="M146" s="380"/>
      <c r="N146" s="380"/>
      <c r="O146" s="380"/>
      <c r="P146" s="380"/>
      <c r="Q146" s="380"/>
      <c r="R146" s="380"/>
      <c r="S146" s="380"/>
      <c r="T146" s="417"/>
    </row>
    <row r="147" spans="2:20" x14ac:dyDescent="0.2">
      <c r="B147" s="428"/>
      <c r="C147" t="s">
        <v>308</v>
      </c>
      <c r="D147" s="7"/>
      <c r="E147" s="7"/>
      <c r="F147" s="7"/>
      <c r="G147" s="5"/>
      <c r="H147" s="379">
        <f t="shared" ref="H147:S147" si="56">H41</f>
        <v>24317</v>
      </c>
      <c r="I147" s="380">
        <f t="shared" si="56"/>
        <v>25312</v>
      </c>
      <c r="J147" s="380">
        <f t="shared" si="56"/>
        <v>26306</v>
      </c>
      <c r="K147" s="380">
        <f t="shared" si="56"/>
        <v>27279</v>
      </c>
      <c r="L147" s="380">
        <f t="shared" si="56"/>
        <v>28251</v>
      </c>
      <c r="M147" s="380">
        <f t="shared" si="56"/>
        <v>29202</v>
      </c>
      <c r="N147" s="380">
        <f t="shared" si="56"/>
        <v>29883</v>
      </c>
      <c r="O147" s="380">
        <f t="shared" si="56"/>
        <v>30844</v>
      </c>
      <c r="P147" s="380">
        <f t="shared" si="56"/>
        <v>31784</v>
      </c>
      <c r="Q147" s="380">
        <f t="shared" si="56"/>
        <v>32734</v>
      </c>
      <c r="R147" s="380">
        <f t="shared" si="56"/>
        <v>33674</v>
      </c>
      <c r="S147" s="380">
        <f t="shared" si="56"/>
        <v>34714</v>
      </c>
      <c r="T147" s="417">
        <f>SUM(H147:S147)</f>
        <v>354300</v>
      </c>
    </row>
    <row r="148" spans="2:20" x14ac:dyDescent="0.2">
      <c r="B148" s="428"/>
      <c r="C148" t="s">
        <v>366</v>
      </c>
      <c r="D148" s="7"/>
      <c r="E148" s="7"/>
      <c r="F148" s="7"/>
      <c r="G148" s="5"/>
      <c r="H148" s="379">
        <f>H50</f>
        <v>933.71999999999991</v>
      </c>
      <c r="I148" s="380">
        <f t="shared" ref="I148:S148" si="57">I50</f>
        <v>974.22</v>
      </c>
      <c r="J148" s="380">
        <f t="shared" si="57"/>
        <v>1014.36</v>
      </c>
      <c r="K148" s="380">
        <f t="shared" si="57"/>
        <v>1053.54</v>
      </c>
      <c r="L148" s="380">
        <f t="shared" si="57"/>
        <v>1092.3600000000001</v>
      </c>
      <c r="M148" s="380">
        <f t="shared" si="57"/>
        <v>1130.22</v>
      </c>
      <c r="N148" s="380">
        <f t="shared" si="57"/>
        <v>1156.98</v>
      </c>
      <c r="O148" s="380">
        <f t="shared" si="57"/>
        <v>1195.1400000000001</v>
      </c>
      <c r="P148" s="380">
        <f t="shared" si="57"/>
        <v>1232.3399999999999</v>
      </c>
      <c r="Q148" s="380">
        <f t="shared" si="57"/>
        <v>1269.8399999999999</v>
      </c>
      <c r="R148" s="380">
        <f t="shared" si="57"/>
        <v>1307.0400000000002</v>
      </c>
      <c r="S148" s="380">
        <f t="shared" si="57"/>
        <v>1349.0400000000002</v>
      </c>
      <c r="T148" s="417">
        <f>SUM(H148:S148)</f>
        <v>13708.800000000003</v>
      </c>
    </row>
    <row r="149" spans="2:20" x14ac:dyDescent="0.2">
      <c r="B149" s="428"/>
      <c r="C149" t="s">
        <v>28</v>
      </c>
      <c r="D149" s="7"/>
      <c r="E149" s="7"/>
      <c r="F149" s="7"/>
      <c r="G149" s="5"/>
      <c r="H149" s="379">
        <f>H81</f>
        <v>6097.2080000000005</v>
      </c>
      <c r="I149" s="380">
        <f t="shared" ref="I149:S149" si="58">I81</f>
        <v>6346.6880000000001</v>
      </c>
      <c r="J149" s="380">
        <f t="shared" si="58"/>
        <v>6595.844000000001</v>
      </c>
      <c r="K149" s="380">
        <f t="shared" si="58"/>
        <v>6842.5959999999995</v>
      </c>
      <c r="L149" s="380">
        <f t="shared" si="58"/>
        <v>7089.0240000000013</v>
      </c>
      <c r="M149" s="380">
        <f t="shared" si="58"/>
        <v>7333.0480000000007</v>
      </c>
      <c r="N149" s="380">
        <f t="shared" si="58"/>
        <v>7501.8919999999998</v>
      </c>
      <c r="O149" s="380">
        <f t="shared" si="58"/>
        <v>7746.9560000000001</v>
      </c>
      <c r="P149" s="380">
        <f t="shared" si="58"/>
        <v>7989.616</v>
      </c>
      <c r="Q149" s="380">
        <f t="shared" si="58"/>
        <v>8233.3159999999989</v>
      </c>
      <c r="R149" s="380">
        <f t="shared" si="58"/>
        <v>8475.9760000000006</v>
      </c>
      <c r="S149" s="380">
        <f t="shared" si="58"/>
        <v>8755.1360000000004</v>
      </c>
      <c r="T149" s="417">
        <f t="shared" ref="T149:T151" si="59">SUM(H149:S149)</f>
        <v>89007.299999999988</v>
      </c>
    </row>
    <row r="150" spans="2:20" x14ac:dyDescent="0.2">
      <c r="B150" s="428"/>
      <c r="C150" t="s">
        <v>309</v>
      </c>
      <c r="D150" s="7"/>
      <c r="E150" s="7"/>
      <c r="F150" s="7"/>
      <c r="G150" s="5"/>
      <c r="H150" s="379">
        <f>H115</f>
        <v>33588.847999999998</v>
      </c>
      <c r="I150" s="380">
        <f t="shared" ref="I150:S150" si="60">I115</f>
        <v>33588.847999999998</v>
      </c>
      <c r="J150" s="380">
        <f t="shared" si="60"/>
        <v>33588.847999999998</v>
      </c>
      <c r="K150" s="380">
        <f t="shared" si="60"/>
        <v>33588.847999999998</v>
      </c>
      <c r="L150" s="380">
        <f t="shared" si="60"/>
        <v>33588.847999999998</v>
      </c>
      <c r="M150" s="380">
        <f t="shared" si="60"/>
        <v>33588.847999999998</v>
      </c>
      <c r="N150" s="380">
        <f t="shared" si="60"/>
        <v>33588.847999999998</v>
      </c>
      <c r="O150" s="380">
        <f t="shared" si="60"/>
        <v>33588.847999999998</v>
      </c>
      <c r="P150" s="380">
        <f t="shared" si="60"/>
        <v>33588.847999999998</v>
      </c>
      <c r="Q150" s="380">
        <f t="shared" si="60"/>
        <v>33588.847999999998</v>
      </c>
      <c r="R150" s="380">
        <f t="shared" si="60"/>
        <v>33588.847999999998</v>
      </c>
      <c r="S150" s="380">
        <f t="shared" si="60"/>
        <v>33588.847999999998</v>
      </c>
      <c r="T150" s="417">
        <f t="shared" si="59"/>
        <v>403066.17599999998</v>
      </c>
    </row>
    <row r="151" spans="2:20" ht="17" thickBot="1" x14ac:dyDescent="0.25">
      <c r="B151" s="428"/>
      <c r="C151" t="s">
        <v>310</v>
      </c>
      <c r="D151" s="7"/>
      <c r="E151" s="7"/>
      <c r="F151" s="7"/>
      <c r="G151" s="5"/>
      <c r="H151" s="379">
        <f>H141</f>
        <v>5390</v>
      </c>
      <c r="I151" s="380">
        <f t="shared" ref="I151:S151" si="61">I141</f>
        <v>5390</v>
      </c>
      <c r="J151" s="380">
        <f t="shared" si="61"/>
        <v>5390</v>
      </c>
      <c r="K151" s="380">
        <f t="shared" si="61"/>
        <v>5390</v>
      </c>
      <c r="L151" s="380">
        <f t="shared" si="61"/>
        <v>5390</v>
      </c>
      <c r="M151" s="380">
        <f t="shared" si="61"/>
        <v>5390</v>
      </c>
      <c r="N151" s="380">
        <f t="shared" si="61"/>
        <v>5390</v>
      </c>
      <c r="O151" s="380">
        <f t="shared" si="61"/>
        <v>5390</v>
      </c>
      <c r="P151" s="380">
        <f t="shared" si="61"/>
        <v>5390</v>
      </c>
      <c r="Q151" s="380">
        <f t="shared" si="61"/>
        <v>5390</v>
      </c>
      <c r="R151" s="380">
        <f t="shared" si="61"/>
        <v>5390</v>
      </c>
      <c r="S151" s="380">
        <f t="shared" si="61"/>
        <v>5390</v>
      </c>
      <c r="T151" s="417">
        <f t="shared" si="59"/>
        <v>64680</v>
      </c>
    </row>
    <row r="152" spans="2:20" ht="17" thickTop="1" x14ac:dyDescent="0.2">
      <c r="B152" s="418" t="s">
        <v>18</v>
      </c>
      <c r="C152" s="419"/>
      <c r="D152" s="419"/>
      <c r="E152" s="419"/>
      <c r="F152" s="419"/>
      <c r="G152" s="420"/>
      <c r="H152" s="421">
        <f>H147-SUM(H148:H151)</f>
        <v>-21692.775999999998</v>
      </c>
      <c r="I152" s="422">
        <f t="shared" ref="I152:S152" si="62">I147-SUM(I148:I151)</f>
        <v>-20987.756000000001</v>
      </c>
      <c r="J152" s="422">
        <f t="shared" si="62"/>
        <v>-20283.051999999996</v>
      </c>
      <c r="K152" s="422">
        <f t="shared" si="62"/>
        <v>-19595.983999999997</v>
      </c>
      <c r="L152" s="422">
        <f t="shared" si="62"/>
        <v>-18909.232000000004</v>
      </c>
      <c r="M152" s="422">
        <f t="shared" si="62"/>
        <v>-18240.115999999995</v>
      </c>
      <c r="N152" s="422">
        <f t="shared" si="62"/>
        <v>-17754.72</v>
      </c>
      <c r="O152" s="422">
        <f t="shared" si="62"/>
        <v>-17076.943999999996</v>
      </c>
      <c r="P152" s="422">
        <f t="shared" si="62"/>
        <v>-16416.803999999996</v>
      </c>
      <c r="Q152" s="422">
        <f t="shared" si="62"/>
        <v>-15748.004000000001</v>
      </c>
      <c r="R152" s="422">
        <f t="shared" si="62"/>
        <v>-15087.864000000001</v>
      </c>
      <c r="S152" s="422">
        <f t="shared" si="62"/>
        <v>-14369.023999999998</v>
      </c>
      <c r="T152" s="423">
        <f>SUM(H152:S152)</f>
        <v>-216162.27599999998</v>
      </c>
    </row>
    <row r="153" spans="2:20" x14ac:dyDescent="0.2">
      <c r="B153" s="428"/>
      <c r="C153" s="5"/>
      <c r="D153" s="5"/>
      <c r="E153" s="6"/>
      <c r="F153" s="7"/>
      <c r="G153" s="5"/>
      <c r="H153" s="389"/>
      <c r="I153" s="390"/>
      <c r="J153" s="390"/>
      <c r="K153" s="390"/>
      <c r="L153" s="390"/>
      <c r="M153" s="390"/>
      <c r="N153" s="390"/>
      <c r="O153" s="390"/>
      <c r="P153" s="390"/>
      <c r="Q153" s="390"/>
      <c r="R153" s="390"/>
      <c r="S153" s="390"/>
      <c r="T153" s="429"/>
    </row>
    <row r="154" spans="2:20" x14ac:dyDescent="0.2">
      <c r="B154" s="307" t="s">
        <v>22</v>
      </c>
      <c r="E154" s="23" t="s">
        <v>284</v>
      </c>
      <c r="F154" s="8"/>
      <c r="H154" s="382"/>
      <c r="I154" s="383"/>
      <c r="J154" s="383"/>
      <c r="K154" s="383"/>
      <c r="L154" s="383"/>
      <c r="M154" s="383"/>
      <c r="N154" s="383"/>
      <c r="O154" s="383"/>
      <c r="P154" s="383"/>
      <c r="Q154" s="383"/>
      <c r="R154" s="383"/>
      <c r="S154" s="383"/>
      <c r="T154" s="425"/>
    </row>
    <row r="155" spans="2:20" x14ac:dyDescent="0.2">
      <c r="B155" s="308"/>
      <c r="C155" s="39" t="s">
        <v>40</v>
      </c>
      <c r="E155" s="454">
        <f>'Year 1'!E155</f>
        <v>0.01</v>
      </c>
      <c r="F155" s="8"/>
      <c r="H155" s="379">
        <f t="shared" ref="H155:S155" si="63">H$200*$E$155/12</f>
        <v>4.166666666666667</v>
      </c>
      <c r="I155" s="380">
        <f t="shared" si="63"/>
        <v>0</v>
      </c>
      <c r="J155" s="380">
        <f t="shared" si="63"/>
        <v>1</v>
      </c>
      <c r="K155" s="380">
        <f t="shared" si="63"/>
        <v>0</v>
      </c>
      <c r="L155" s="380">
        <f t="shared" si="63"/>
        <v>0</v>
      </c>
      <c r="M155" s="380">
        <f t="shared" si="63"/>
        <v>0.83333333333333337</v>
      </c>
      <c r="N155" s="380">
        <f t="shared" si="63"/>
        <v>2.5</v>
      </c>
      <c r="O155" s="380">
        <f t="shared" si="63"/>
        <v>0</v>
      </c>
      <c r="P155" s="380">
        <f t="shared" si="63"/>
        <v>0</v>
      </c>
      <c r="Q155" s="380">
        <f t="shared" si="63"/>
        <v>1</v>
      </c>
      <c r="R155" s="380">
        <f t="shared" si="63"/>
        <v>0.83333333333333337</v>
      </c>
      <c r="S155" s="380">
        <f t="shared" si="63"/>
        <v>0</v>
      </c>
      <c r="T155" s="417">
        <f>SUM(H155:S155)</f>
        <v>10.333333333333334</v>
      </c>
    </row>
    <row r="156" spans="2:20" ht="17" thickBot="1" x14ac:dyDescent="0.25">
      <c r="B156" s="308"/>
      <c r="E156" s="23"/>
      <c r="F156" s="8"/>
      <c r="H156" s="382"/>
      <c r="I156" s="383"/>
      <c r="J156" s="383"/>
      <c r="K156" s="383"/>
      <c r="L156" s="383"/>
      <c r="M156" s="383"/>
      <c r="N156" s="383"/>
      <c r="O156" s="383"/>
      <c r="P156" s="383"/>
      <c r="Q156" s="383"/>
      <c r="R156" s="383"/>
      <c r="S156" s="383"/>
      <c r="T156" s="425"/>
    </row>
    <row r="157" spans="2:20" ht="17" thickTop="1" x14ac:dyDescent="0.2">
      <c r="B157" s="418" t="s">
        <v>110</v>
      </c>
      <c r="C157" s="419"/>
      <c r="D157" s="419"/>
      <c r="E157" s="419"/>
      <c r="F157" s="419"/>
      <c r="G157" s="420"/>
      <c r="H157" s="421">
        <f t="shared" ref="H157:S157" si="64">H152-SUM(H155:H155)</f>
        <v>-21696.942666666666</v>
      </c>
      <c r="I157" s="422">
        <f t="shared" si="64"/>
        <v>-20987.756000000001</v>
      </c>
      <c r="J157" s="422">
        <f t="shared" si="64"/>
        <v>-20284.051999999996</v>
      </c>
      <c r="K157" s="422">
        <f t="shared" si="64"/>
        <v>-19595.983999999997</v>
      </c>
      <c r="L157" s="422">
        <f t="shared" si="64"/>
        <v>-18909.232000000004</v>
      </c>
      <c r="M157" s="422">
        <f t="shared" si="64"/>
        <v>-18240.949333333327</v>
      </c>
      <c r="N157" s="422">
        <f t="shared" si="64"/>
        <v>-17757.22</v>
      </c>
      <c r="O157" s="422">
        <f t="shared" si="64"/>
        <v>-17076.943999999996</v>
      </c>
      <c r="P157" s="422">
        <f t="shared" si="64"/>
        <v>-16416.803999999996</v>
      </c>
      <c r="Q157" s="422">
        <f t="shared" si="64"/>
        <v>-15749.004000000001</v>
      </c>
      <c r="R157" s="422">
        <f t="shared" si="64"/>
        <v>-15088.697333333335</v>
      </c>
      <c r="S157" s="422">
        <f t="shared" si="64"/>
        <v>-14369.023999999998</v>
      </c>
      <c r="T157" s="423">
        <f>SUM(H157:S157)</f>
        <v>-216172.60933333333</v>
      </c>
    </row>
    <row r="158" spans="2:20" x14ac:dyDescent="0.2">
      <c r="B158" s="428"/>
      <c r="C158" s="5"/>
      <c r="D158" s="5"/>
      <c r="E158" s="7"/>
      <c r="F158" s="7"/>
      <c r="G158" s="5"/>
      <c r="H158" s="393"/>
      <c r="I158" s="394"/>
      <c r="J158" s="394"/>
      <c r="K158" s="394"/>
      <c r="L158" s="394"/>
      <c r="M158" s="394"/>
      <c r="N158" s="394"/>
      <c r="O158" s="394"/>
      <c r="P158" s="394"/>
      <c r="Q158" s="394"/>
      <c r="R158" s="394"/>
      <c r="S158" s="394"/>
      <c r="T158" s="430"/>
    </row>
    <row r="159" spans="2:20" x14ac:dyDescent="0.2">
      <c r="B159" s="307" t="s">
        <v>119</v>
      </c>
      <c r="C159" s="5"/>
      <c r="E159" s="7"/>
      <c r="F159" s="7"/>
      <c r="G159" s="5"/>
      <c r="H159" s="389"/>
      <c r="I159" s="390"/>
      <c r="J159" s="390"/>
      <c r="K159" s="390"/>
      <c r="L159" s="390"/>
      <c r="M159" s="390"/>
      <c r="N159" s="390"/>
      <c r="O159" s="390"/>
      <c r="P159" s="390"/>
      <c r="Q159" s="390"/>
      <c r="R159" s="390"/>
      <c r="S159" s="390"/>
      <c r="T159" s="427"/>
    </row>
    <row r="160" spans="2:20" x14ac:dyDescent="0.2">
      <c r="B160" s="308"/>
      <c r="C160" s="457" t="s">
        <v>157</v>
      </c>
      <c r="D160" s="457"/>
      <c r="E160" s="457"/>
      <c r="F160" s="457"/>
      <c r="G160" s="457"/>
      <c r="H160" s="458">
        <v>0</v>
      </c>
      <c r="I160" s="459">
        <v>0</v>
      </c>
      <c r="J160" s="459">
        <v>0</v>
      </c>
      <c r="K160" s="459">
        <v>0</v>
      </c>
      <c r="L160" s="459">
        <v>0</v>
      </c>
      <c r="M160" s="459">
        <v>0</v>
      </c>
      <c r="N160" s="459">
        <v>0</v>
      </c>
      <c r="O160" s="459">
        <v>0</v>
      </c>
      <c r="P160" s="459">
        <v>0</v>
      </c>
      <c r="Q160" s="459">
        <v>0</v>
      </c>
      <c r="R160" s="459">
        <v>0</v>
      </c>
      <c r="S160" s="459">
        <v>0</v>
      </c>
      <c r="T160" s="417">
        <f>SUM(H160:S160)</f>
        <v>0</v>
      </c>
    </row>
    <row r="161" spans="2:20" x14ac:dyDescent="0.2">
      <c r="B161" s="428"/>
      <c r="C161" t="s">
        <v>163</v>
      </c>
      <c r="D161" s="7"/>
      <c r="E161" s="7"/>
      <c r="F161" s="7"/>
      <c r="G161" s="5"/>
      <c r="H161" s="379">
        <f>IFERROR(IF(AND(H$118&gt;'Financing Schedule'!$G13,H$118&lt;='Financing Schedule'!$G13+'Financing Schedule'!$L13),('Financing Schedule'!$K13/12)*('Financing Schedule'!$J13-('Financing Schedule'!$I13*(H$118-'Financing Schedule'!$G13-1))),0),0)</f>
        <v>208.33333333333334</v>
      </c>
      <c r="I161" s="380">
        <f>IFERROR(IF(AND(I$118&gt;'Financing Schedule'!$G13,I$118&lt;='Financing Schedule'!$G13+'Financing Schedule'!$L13),('Financing Schedule'!$K13/12)*('Financing Schedule'!$J13-('Financing Schedule'!$I13*(I$118-'Financing Schedule'!$G13-1))),0),0)</f>
        <v>194.4444444444444</v>
      </c>
      <c r="J161" s="380">
        <f>IFERROR(IF(AND(J$118&gt;'Financing Schedule'!$G13,J$118&lt;='Financing Schedule'!$G13+'Financing Schedule'!$L13),('Financing Schedule'!$K13/12)*('Financing Schedule'!$J13-('Financing Schedule'!$I13*(J$118-'Financing Schedule'!$G13-1))),0),0)</f>
        <v>180.55555555555554</v>
      </c>
      <c r="K161" s="380">
        <f>IFERROR(IF(AND(K$118&gt;'Financing Schedule'!$G13,K$118&lt;='Financing Schedule'!$G13+'Financing Schedule'!$L13),('Financing Schedule'!$K13/12)*('Financing Schedule'!$J13-('Financing Schedule'!$I13*(K$118-'Financing Schedule'!$G13-1))),0),0)</f>
        <v>166.66666666666669</v>
      </c>
      <c r="L161" s="380">
        <f>IFERROR(IF(AND(L$118&gt;'Financing Schedule'!$G13,L$118&lt;='Financing Schedule'!$G13+'Financing Schedule'!$L13),('Financing Schedule'!$K13/12)*('Financing Schedule'!$J13-('Financing Schedule'!$I13*(L$118-'Financing Schedule'!$G13-1))),0),0)</f>
        <v>152.77777777777771</v>
      </c>
      <c r="M161" s="380">
        <f>IFERROR(IF(AND(M$118&gt;'Financing Schedule'!$G13,M$118&lt;='Financing Schedule'!$G13+'Financing Schedule'!$L13),('Financing Schedule'!$K13/12)*('Financing Schedule'!$J13-('Financing Schedule'!$I13*(M$118-'Financing Schedule'!$G13-1))),0),0)</f>
        <v>138.88888888888886</v>
      </c>
      <c r="N161" s="380">
        <f>IFERROR(IF(AND(N$118&gt;'Financing Schedule'!$G13,N$118&lt;='Financing Schedule'!$G13+'Financing Schedule'!$L13),('Financing Schedule'!$K13/12)*('Financing Schedule'!$J13-('Financing Schedule'!$I13*(N$118-'Financing Schedule'!$G13-1))),0),0)</f>
        <v>125.00000000000001</v>
      </c>
      <c r="O161" s="380">
        <f>IFERROR(IF(AND(O$118&gt;'Financing Schedule'!$G13,O$118&lt;='Financing Schedule'!$G13+'Financing Schedule'!$L13),('Financing Schedule'!$K13/12)*('Financing Schedule'!$J13-('Financing Schedule'!$I13*(O$118-'Financing Schedule'!$G13-1))),0),0)</f>
        <v>111.11111111111106</v>
      </c>
      <c r="P161" s="380">
        <f>IFERROR(IF(AND(P$118&gt;'Financing Schedule'!$G13,P$118&lt;='Financing Schedule'!$G13+'Financing Schedule'!$L13),('Financing Schedule'!$K13/12)*('Financing Schedule'!$J13-('Financing Schedule'!$I13*(P$118-'Financing Schedule'!$G13-1))),0),0)</f>
        <v>97.2222222222222</v>
      </c>
      <c r="Q161" s="380">
        <f>IFERROR(IF(AND(Q$118&gt;'Financing Schedule'!$G13,Q$118&lt;='Financing Schedule'!$G13+'Financing Schedule'!$L13),('Financing Schedule'!$K13/12)*('Financing Schedule'!$J13-('Financing Schedule'!$I13*(Q$118-'Financing Schedule'!$G13-1))),0),0)</f>
        <v>83.333333333333343</v>
      </c>
      <c r="R161" s="380">
        <f>IFERROR(IF(AND(R$118&gt;'Financing Schedule'!$G13,R$118&lt;='Financing Schedule'!$G13+'Financing Schedule'!$L13),('Financing Schedule'!$K13/12)*('Financing Schedule'!$J13-('Financing Schedule'!$I13*(R$118-'Financing Schedule'!$G13-1))),0),0)</f>
        <v>69.444444444444386</v>
      </c>
      <c r="S161" s="380">
        <f>IFERROR(IF(AND(S$118&gt;'Financing Schedule'!$G13,S$118&lt;='Financing Schedule'!$G13+'Financing Schedule'!$L13),('Financing Schedule'!$K13/12)*('Financing Schedule'!$J13-('Financing Schedule'!$I13*(S$118-'Financing Schedule'!$G13-1))),0),0)</f>
        <v>55.555555555555529</v>
      </c>
      <c r="T161" s="417">
        <f>SUM(H161:S161)</f>
        <v>1583.3333333333328</v>
      </c>
    </row>
    <row r="162" spans="2:20" x14ac:dyDescent="0.2">
      <c r="B162" s="428"/>
      <c r="C162" t="s">
        <v>164</v>
      </c>
      <c r="D162" s="7"/>
      <c r="E162" s="7"/>
      <c r="F162" s="7"/>
      <c r="G162" s="5"/>
      <c r="H162" s="379">
        <f>IFERROR(IF(AND(H$118&gt;'Financing Schedule'!$G14,H$118&lt;='Financing Schedule'!$G14+'Financing Schedule'!$L14),('Financing Schedule'!$K14/12)*('Financing Schedule'!$J14-('Financing Schedule'!$I14*(H$118-'Financing Schedule'!$G14-1))),0),0)</f>
        <v>0</v>
      </c>
      <c r="I162" s="380">
        <f>IFERROR(IF(AND(I$118&gt;'Financing Schedule'!$G14,I$118&lt;='Financing Schedule'!$G14+'Financing Schedule'!$L14),('Financing Schedule'!$K14/12)*('Financing Schedule'!$J14-('Financing Schedule'!$I14*(I$118-'Financing Schedule'!$G14-1))),0),0)</f>
        <v>0</v>
      </c>
      <c r="J162" s="380">
        <f>IFERROR(IF(AND(J$118&gt;'Financing Schedule'!$G14,J$118&lt;='Financing Schedule'!$G14+'Financing Schedule'!$L14),('Financing Schedule'!$K14/12)*('Financing Schedule'!$J14-('Financing Schedule'!$I14*(J$118-'Financing Schedule'!$G14-1))),0),0)</f>
        <v>0</v>
      </c>
      <c r="K162" s="380">
        <f>IFERROR(IF(AND(K$118&gt;'Financing Schedule'!$G14,K$118&lt;='Financing Schedule'!$G14+'Financing Schedule'!$L14),('Financing Schedule'!$K14/12)*('Financing Schedule'!$J14-('Financing Schedule'!$I14*(K$118-'Financing Schedule'!$G14-1))),0),0)</f>
        <v>0</v>
      </c>
      <c r="L162" s="380">
        <f>IFERROR(IF(AND(L$118&gt;'Financing Schedule'!$G14,L$118&lt;='Financing Schedule'!$G14+'Financing Schedule'!$L14),('Financing Schedule'!$K14/12)*('Financing Schedule'!$J14-('Financing Schedule'!$I14*(L$118-'Financing Schedule'!$G14-1))),0),0)</f>
        <v>0</v>
      </c>
      <c r="M162" s="380">
        <f>IFERROR(IF(AND(M$118&gt;'Financing Schedule'!$G14,M$118&lt;='Financing Schedule'!$G14+'Financing Schedule'!$L14),('Financing Schedule'!$K14/12)*('Financing Schedule'!$J14-('Financing Schedule'!$I14*(M$118-'Financing Schedule'!$G14-1))),0),0)</f>
        <v>0</v>
      </c>
      <c r="N162" s="380">
        <f>IFERROR(IF(AND(N$118&gt;'Financing Schedule'!$G14,N$118&lt;='Financing Schedule'!$G14+'Financing Schedule'!$L14),('Financing Schedule'!$K14/12)*('Financing Schedule'!$J14-('Financing Schedule'!$I14*(N$118-'Financing Schedule'!$G14-1))),0),0)</f>
        <v>0</v>
      </c>
      <c r="O162" s="380">
        <f>IFERROR(IF(AND(O$118&gt;'Financing Schedule'!$G14,O$118&lt;='Financing Schedule'!$G14+'Financing Schedule'!$L14),('Financing Schedule'!$K14/12)*('Financing Schedule'!$J14-('Financing Schedule'!$I14*(O$118-'Financing Schedule'!$G14-1))),0),0)</f>
        <v>0</v>
      </c>
      <c r="P162" s="380">
        <f>IFERROR(IF(AND(P$118&gt;'Financing Schedule'!$G14,P$118&lt;='Financing Schedule'!$G14+'Financing Schedule'!$L14),('Financing Schedule'!$K14/12)*('Financing Schedule'!$J14-('Financing Schedule'!$I14*(P$118-'Financing Schedule'!$G14-1))),0),0)</f>
        <v>0</v>
      </c>
      <c r="Q162" s="380">
        <f>IFERROR(IF(AND(Q$118&gt;'Financing Schedule'!$G14,Q$118&lt;='Financing Schedule'!$G14+'Financing Schedule'!$L14),('Financing Schedule'!$K14/12)*('Financing Schedule'!$J14-('Financing Schedule'!$I14*(Q$118-'Financing Schedule'!$G14-1))),0),0)</f>
        <v>0</v>
      </c>
      <c r="R162" s="380">
        <f>IFERROR(IF(AND(R$118&gt;'Financing Schedule'!$G14,R$118&lt;='Financing Schedule'!$G14+'Financing Schedule'!$L14),('Financing Schedule'!$K14/12)*('Financing Schedule'!$J14-('Financing Schedule'!$I14*(R$118-'Financing Schedule'!$G14-1))),0),0)</f>
        <v>0</v>
      </c>
      <c r="S162" s="380">
        <f>IFERROR(IF(AND(S$118&gt;'Financing Schedule'!$G14,S$118&lt;='Financing Schedule'!$G14+'Financing Schedule'!$L14),('Financing Schedule'!$K14/12)*('Financing Schedule'!$J14-('Financing Schedule'!$I14*(S$118-'Financing Schedule'!$G14-1))),0),0)</f>
        <v>0</v>
      </c>
      <c r="T162" s="417">
        <f t="shared" ref="T162:T166" si="65">SUM(H162:S162)</f>
        <v>0</v>
      </c>
    </row>
    <row r="163" spans="2:20" x14ac:dyDescent="0.2">
      <c r="B163" s="428"/>
      <c r="C163" t="s">
        <v>165</v>
      </c>
      <c r="D163" s="7"/>
      <c r="E163" s="7"/>
      <c r="F163" s="7"/>
      <c r="G163" s="5"/>
      <c r="H163" s="379">
        <f>IFERROR(IF(AND(H$118&gt;'Financing Schedule'!$G15,H$118&lt;='Financing Schedule'!$G15+'Financing Schedule'!$L15),('Financing Schedule'!$K15/12)*('Financing Schedule'!$J15-('Financing Schedule'!$I15*(H$118-'Financing Schedule'!$G15-1))),0),0)</f>
        <v>0</v>
      </c>
      <c r="I163" s="380">
        <f>IFERROR(IF(AND(I$118&gt;'Financing Schedule'!$G15,I$118&lt;='Financing Schedule'!$G15+'Financing Schedule'!$L15),('Financing Schedule'!$K15/12)*('Financing Schedule'!$J15-('Financing Schedule'!$I15*(I$118-'Financing Schedule'!$G15-1))),0),0)</f>
        <v>0</v>
      </c>
      <c r="J163" s="380">
        <f>IFERROR(IF(AND(J$118&gt;'Financing Schedule'!$G15,J$118&lt;='Financing Schedule'!$G15+'Financing Schedule'!$L15),('Financing Schedule'!$K15/12)*('Financing Schedule'!$J15-('Financing Schedule'!$I15*(J$118-'Financing Schedule'!$G15-1))),0),0)</f>
        <v>0</v>
      </c>
      <c r="K163" s="380">
        <f>IFERROR(IF(AND(K$118&gt;'Financing Schedule'!$G15,K$118&lt;='Financing Schedule'!$G15+'Financing Schedule'!$L15),('Financing Schedule'!$K15/12)*('Financing Schedule'!$J15-('Financing Schedule'!$I15*(K$118-'Financing Schedule'!$G15-1))),0),0)</f>
        <v>0</v>
      </c>
      <c r="L163" s="380">
        <f>IFERROR(IF(AND(L$118&gt;'Financing Schedule'!$G15,L$118&lt;='Financing Schedule'!$G15+'Financing Schedule'!$L15),('Financing Schedule'!$K15/12)*('Financing Schedule'!$J15-('Financing Schedule'!$I15*(L$118-'Financing Schedule'!$G15-1))),0),0)</f>
        <v>0</v>
      </c>
      <c r="M163" s="380">
        <f>IFERROR(IF(AND(M$118&gt;'Financing Schedule'!$G15,M$118&lt;='Financing Schedule'!$G15+'Financing Schedule'!$L15),('Financing Schedule'!$K15/12)*('Financing Schedule'!$J15-('Financing Schedule'!$I15*(M$118-'Financing Schedule'!$G15-1))),0),0)</f>
        <v>0</v>
      </c>
      <c r="N163" s="380">
        <f>IFERROR(IF(AND(N$118&gt;'Financing Schedule'!$G15,N$118&lt;='Financing Schedule'!$G15+'Financing Schedule'!$L15),('Financing Schedule'!$K15/12)*('Financing Schedule'!$J15-('Financing Schedule'!$I15*(N$118-'Financing Schedule'!$G15-1))),0),0)</f>
        <v>0</v>
      </c>
      <c r="O163" s="380">
        <f>IFERROR(IF(AND(O$118&gt;'Financing Schedule'!$G15,O$118&lt;='Financing Schedule'!$G15+'Financing Schedule'!$L15),('Financing Schedule'!$K15/12)*('Financing Schedule'!$J15-('Financing Schedule'!$I15*(O$118-'Financing Schedule'!$G15-1))),0),0)</f>
        <v>0</v>
      </c>
      <c r="P163" s="380">
        <f>IFERROR(IF(AND(P$118&gt;'Financing Schedule'!$G15,P$118&lt;='Financing Schedule'!$G15+'Financing Schedule'!$L15),('Financing Schedule'!$K15/12)*('Financing Schedule'!$J15-('Financing Schedule'!$I15*(P$118-'Financing Schedule'!$G15-1))),0),0)</f>
        <v>0</v>
      </c>
      <c r="Q163" s="380">
        <f>IFERROR(IF(AND(Q$118&gt;'Financing Schedule'!$G15,Q$118&lt;='Financing Schedule'!$G15+'Financing Schedule'!$L15),('Financing Schedule'!$K15/12)*('Financing Schedule'!$J15-('Financing Schedule'!$I15*(Q$118-'Financing Schedule'!$G15-1))),0),0)</f>
        <v>0</v>
      </c>
      <c r="R163" s="380">
        <f>IFERROR(IF(AND(R$118&gt;'Financing Schedule'!$G15,R$118&lt;='Financing Schedule'!$G15+'Financing Schedule'!$L15),('Financing Schedule'!$K15/12)*('Financing Schedule'!$J15-('Financing Schedule'!$I15*(R$118-'Financing Schedule'!$G15-1))),0),0)</f>
        <v>0</v>
      </c>
      <c r="S163" s="380">
        <f>IFERROR(IF(AND(S$118&gt;'Financing Schedule'!$G15,S$118&lt;='Financing Schedule'!$G15+'Financing Schedule'!$L15),('Financing Schedule'!$K15/12)*('Financing Schedule'!$J15-('Financing Schedule'!$I15*(S$118-'Financing Schedule'!$G15-1))),0),0)</f>
        <v>0</v>
      </c>
      <c r="T163" s="417">
        <f t="shared" si="65"/>
        <v>0</v>
      </c>
    </row>
    <row r="164" spans="2:20" x14ac:dyDescent="0.2">
      <c r="B164" s="428"/>
      <c r="C164" t="s">
        <v>166</v>
      </c>
      <c r="D164" s="7"/>
      <c r="E164" s="7"/>
      <c r="F164" s="7"/>
      <c r="G164" s="5"/>
      <c r="H164" s="379">
        <f>IFERROR(IF(AND(H$118&gt;'Financing Schedule'!$G16,H$118&lt;='Financing Schedule'!$G16+'Financing Schedule'!$L16),('Financing Schedule'!$K16/12)*('Financing Schedule'!$J16-('Financing Schedule'!$I16*(H$118-'Financing Schedule'!$G16-1))),0),0)</f>
        <v>0</v>
      </c>
      <c r="I164" s="380">
        <f>IFERROR(IF(AND(I$118&gt;'Financing Schedule'!$G16,I$118&lt;='Financing Schedule'!$G16+'Financing Schedule'!$L16),('Financing Schedule'!$K16/12)*('Financing Schedule'!$J16-('Financing Schedule'!$I16*(I$118-'Financing Schedule'!$G16-1))),0),0)</f>
        <v>0</v>
      </c>
      <c r="J164" s="380">
        <f>IFERROR(IF(AND(J$118&gt;'Financing Schedule'!$G16,J$118&lt;='Financing Schedule'!$G16+'Financing Schedule'!$L16),('Financing Schedule'!$K16/12)*('Financing Schedule'!$J16-('Financing Schedule'!$I16*(J$118-'Financing Schedule'!$G16-1))),0),0)</f>
        <v>0</v>
      </c>
      <c r="K164" s="380">
        <f>IFERROR(IF(AND(K$118&gt;'Financing Schedule'!$G16,K$118&lt;='Financing Schedule'!$G16+'Financing Schedule'!$L16),('Financing Schedule'!$K16/12)*('Financing Schedule'!$J16-('Financing Schedule'!$I16*(K$118-'Financing Schedule'!$G16-1))),0),0)</f>
        <v>0</v>
      </c>
      <c r="L164" s="380">
        <f>IFERROR(IF(AND(L$118&gt;'Financing Schedule'!$G16,L$118&lt;='Financing Schedule'!$G16+'Financing Schedule'!$L16),('Financing Schedule'!$K16/12)*('Financing Schedule'!$J16-('Financing Schedule'!$I16*(L$118-'Financing Schedule'!$G16-1))),0),0)</f>
        <v>0</v>
      </c>
      <c r="M164" s="380">
        <f>IFERROR(IF(AND(M$118&gt;'Financing Schedule'!$G16,M$118&lt;='Financing Schedule'!$G16+'Financing Schedule'!$L16),('Financing Schedule'!$K16/12)*('Financing Schedule'!$J16-('Financing Schedule'!$I16*(M$118-'Financing Schedule'!$G16-1))),0),0)</f>
        <v>0</v>
      </c>
      <c r="N164" s="380">
        <f>IFERROR(IF(AND(N$118&gt;'Financing Schedule'!$G16,N$118&lt;='Financing Schedule'!$G16+'Financing Schedule'!$L16),('Financing Schedule'!$K16/12)*('Financing Schedule'!$J16-('Financing Schedule'!$I16*(N$118-'Financing Schedule'!$G16-1))),0),0)</f>
        <v>0</v>
      </c>
      <c r="O164" s="380">
        <f>IFERROR(IF(AND(O$118&gt;'Financing Schedule'!$G16,O$118&lt;='Financing Schedule'!$G16+'Financing Schedule'!$L16),('Financing Schedule'!$K16/12)*('Financing Schedule'!$J16-('Financing Schedule'!$I16*(O$118-'Financing Schedule'!$G16-1))),0),0)</f>
        <v>0</v>
      </c>
      <c r="P164" s="380">
        <f>IFERROR(IF(AND(P$118&gt;'Financing Schedule'!$G16,P$118&lt;='Financing Schedule'!$G16+'Financing Schedule'!$L16),('Financing Schedule'!$K16/12)*('Financing Schedule'!$J16-('Financing Schedule'!$I16*(P$118-'Financing Schedule'!$G16-1))),0),0)</f>
        <v>0</v>
      </c>
      <c r="Q164" s="380">
        <f>IFERROR(IF(AND(Q$118&gt;'Financing Schedule'!$G16,Q$118&lt;='Financing Schedule'!$G16+'Financing Schedule'!$L16),('Financing Schedule'!$K16/12)*('Financing Schedule'!$J16-('Financing Schedule'!$I16*(Q$118-'Financing Schedule'!$G16-1))),0),0)</f>
        <v>0</v>
      </c>
      <c r="R164" s="380">
        <f>IFERROR(IF(AND(R$118&gt;'Financing Schedule'!$G16,R$118&lt;='Financing Schedule'!$G16+'Financing Schedule'!$L16),('Financing Schedule'!$K16/12)*('Financing Schedule'!$J16-('Financing Schedule'!$I16*(R$118-'Financing Schedule'!$G16-1))),0),0)</f>
        <v>0</v>
      </c>
      <c r="S164" s="380">
        <f>IFERROR(IF(AND(S$118&gt;'Financing Schedule'!$G16,S$118&lt;='Financing Schedule'!$G16+'Financing Schedule'!$L16),('Financing Schedule'!$K16/12)*('Financing Schedule'!$J16-('Financing Schedule'!$I16*(S$118-'Financing Schedule'!$G16-1))),0),0)</f>
        <v>0</v>
      </c>
      <c r="T164" s="417">
        <f t="shared" si="65"/>
        <v>0</v>
      </c>
    </row>
    <row r="165" spans="2:20" ht="17" thickBot="1" x14ac:dyDescent="0.25">
      <c r="B165" s="428"/>
      <c r="C165" t="s">
        <v>167</v>
      </c>
      <c r="D165" s="7"/>
      <c r="E165" s="7"/>
      <c r="F165" s="7"/>
      <c r="G165" s="5"/>
      <c r="H165" s="379">
        <f>IFERROR(IF(AND(H$118&gt;'Financing Schedule'!$G17,H$118&lt;='Financing Schedule'!$G17+'Financing Schedule'!$L17),('Financing Schedule'!$K17/12)*('Financing Schedule'!$J17-('Financing Schedule'!$I17*(H$118-'Financing Schedule'!$G17-1))),0),0)</f>
        <v>0</v>
      </c>
      <c r="I165" s="380">
        <f>IFERROR(IF(AND(I$118&gt;'Financing Schedule'!$G17,I$118&lt;='Financing Schedule'!$G17+'Financing Schedule'!$L17),('Financing Schedule'!$K17/12)*('Financing Schedule'!$J17-('Financing Schedule'!$I17*(I$118-'Financing Schedule'!$G17-1))),0),0)</f>
        <v>0</v>
      </c>
      <c r="J165" s="380">
        <f>IFERROR(IF(AND(J$118&gt;'Financing Schedule'!$G17,J$118&lt;='Financing Schedule'!$G17+'Financing Schedule'!$L17),('Financing Schedule'!$K17/12)*('Financing Schedule'!$J17-('Financing Schedule'!$I17*(J$118-'Financing Schedule'!$G17-1))),0),0)</f>
        <v>0</v>
      </c>
      <c r="K165" s="380">
        <f>IFERROR(IF(AND(K$118&gt;'Financing Schedule'!$G17,K$118&lt;='Financing Schedule'!$G17+'Financing Schedule'!$L17),('Financing Schedule'!$K17/12)*('Financing Schedule'!$J17-('Financing Schedule'!$I17*(K$118-'Financing Schedule'!$G17-1))),0),0)</f>
        <v>0</v>
      </c>
      <c r="L165" s="380">
        <f>IFERROR(IF(AND(L$118&gt;'Financing Schedule'!$G17,L$118&lt;='Financing Schedule'!$G17+'Financing Schedule'!$L17),('Financing Schedule'!$K17/12)*('Financing Schedule'!$J17-('Financing Schedule'!$I17*(L$118-'Financing Schedule'!$G17-1))),0),0)</f>
        <v>0</v>
      </c>
      <c r="M165" s="380">
        <f>IFERROR(IF(AND(M$118&gt;'Financing Schedule'!$G17,M$118&lt;='Financing Schedule'!$G17+'Financing Schedule'!$L17),('Financing Schedule'!$K17/12)*('Financing Schedule'!$J17-('Financing Schedule'!$I17*(M$118-'Financing Schedule'!$G17-1))),0),0)</f>
        <v>0</v>
      </c>
      <c r="N165" s="380">
        <f>IFERROR(IF(AND(N$118&gt;'Financing Schedule'!$G17,N$118&lt;='Financing Schedule'!$G17+'Financing Schedule'!$L17),('Financing Schedule'!$K17/12)*('Financing Schedule'!$J17-('Financing Schedule'!$I17*(N$118-'Financing Schedule'!$G17-1))),0),0)</f>
        <v>0</v>
      </c>
      <c r="O165" s="380">
        <f>IFERROR(IF(AND(O$118&gt;'Financing Schedule'!$G17,O$118&lt;='Financing Schedule'!$G17+'Financing Schedule'!$L17),('Financing Schedule'!$K17/12)*('Financing Schedule'!$J17-('Financing Schedule'!$I17*(O$118-'Financing Schedule'!$G17-1))),0),0)</f>
        <v>0</v>
      </c>
      <c r="P165" s="380">
        <f>IFERROR(IF(AND(P$118&gt;'Financing Schedule'!$G17,P$118&lt;='Financing Schedule'!$G17+'Financing Schedule'!$L17),('Financing Schedule'!$K17/12)*('Financing Schedule'!$J17-('Financing Schedule'!$I17*(P$118-'Financing Schedule'!$G17-1))),0),0)</f>
        <v>0</v>
      </c>
      <c r="Q165" s="380">
        <f>IFERROR(IF(AND(Q$118&gt;'Financing Schedule'!$G17,Q$118&lt;='Financing Schedule'!$G17+'Financing Schedule'!$L17),('Financing Schedule'!$K17/12)*('Financing Schedule'!$J17-('Financing Schedule'!$I17*(Q$118-'Financing Schedule'!$G17-1))),0),0)</f>
        <v>0</v>
      </c>
      <c r="R165" s="380">
        <f>IFERROR(IF(AND(R$118&gt;'Financing Schedule'!$G17,R$118&lt;='Financing Schedule'!$G17+'Financing Schedule'!$L17),('Financing Schedule'!$K17/12)*('Financing Schedule'!$J17-('Financing Schedule'!$I17*(R$118-'Financing Schedule'!$G17-1))),0),0)</f>
        <v>0</v>
      </c>
      <c r="S165" s="380">
        <f>IFERROR(IF(AND(S$118&gt;'Financing Schedule'!$G17,S$118&lt;='Financing Schedule'!$G17+'Financing Schedule'!$L17),('Financing Schedule'!$K17/12)*('Financing Schedule'!$J17-('Financing Schedule'!$I17*(S$118-'Financing Schedule'!$G17-1))),0),0)</f>
        <v>0</v>
      </c>
      <c r="T165" s="417">
        <f t="shared" si="65"/>
        <v>0</v>
      </c>
    </row>
    <row r="166" spans="2:20" ht="17" thickTop="1" x14ac:dyDescent="0.2">
      <c r="B166" s="418" t="s">
        <v>118</v>
      </c>
      <c r="C166" s="419"/>
      <c r="D166" s="419"/>
      <c r="E166" s="419"/>
      <c r="F166" s="419"/>
      <c r="G166" s="420"/>
      <c r="H166" s="421">
        <f>SUM(H160:H165)</f>
        <v>208.33333333333334</v>
      </c>
      <c r="I166" s="422">
        <f t="shared" ref="I166:S166" si="66">SUM(I160:I165)</f>
        <v>194.4444444444444</v>
      </c>
      <c r="J166" s="422">
        <f t="shared" si="66"/>
        <v>180.55555555555554</v>
      </c>
      <c r="K166" s="422">
        <f t="shared" si="66"/>
        <v>166.66666666666669</v>
      </c>
      <c r="L166" s="422">
        <f t="shared" si="66"/>
        <v>152.77777777777771</v>
      </c>
      <c r="M166" s="422">
        <f t="shared" si="66"/>
        <v>138.88888888888886</v>
      </c>
      <c r="N166" s="422">
        <f t="shared" si="66"/>
        <v>125.00000000000001</v>
      </c>
      <c r="O166" s="422">
        <f t="shared" si="66"/>
        <v>111.11111111111106</v>
      </c>
      <c r="P166" s="422">
        <f t="shared" si="66"/>
        <v>97.2222222222222</v>
      </c>
      <c r="Q166" s="422">
        <f t="shared" si="66"/>
        <v>83.333333333333343</v>
      </c>
      <c r="R166" s="422">
        <f t="shared" si="66"/>
        <v>69.444444444444386</v>
      </c>
      <c r="S166" s="422">
        <f t="shared" si="66"/>
        <v>55.555555555555529</v>
      </c>
      <c r="T166" s="423">
        <f t="shared" si="65"/>
        <v>1583.3333333333328</v>
      </c>
    </row>
    <row r="167" spans="2:20" x14ac:dyDescent="0.2">
      <c r="B167" s="308"/>
      <c r="C167" s="5"/>
      <c r="D167" s="5"/>
      <c r="E167" s="54"/>
      <c r="F167" s="36"/>
      <c r="G167" s="36"/>
      <c r="H167" s="379"/>
      <c r="I167" s="380"/>
      <c r="J167" s="380"/>
      <c r="K167" s="380"/>
      <c r="L167" s="380"/>
      <c r="M167" s="380"/>
      <c r="N167" s="380"/>
      <c r="O167" s="380"/>
      <c r="P167" s="380"/>
      <c r="Q167" s="380"/>
      <c r="R167" s="380"/>
      <c r="S167" s="380"/>
      <c r="T167" s="417"/>
    </row>
    <row r="168" spans="2:20" x14ac:dyDescent="0.2">
      <c r="B168" s="307" t="s">
        <v>306</v>
      </c>
      <c r="D168" s="5"/>
      <c r="E168" s="55" t="s">
        <v>293</v>
      </c>
      <c r="F168" s="497" t="s">
        <v>304</v>
      </c>
      <c r="G168" s="497"/>
      <c r="H168" s="379"/>
      <c r="I168" s="380"/>
      <c r="J168" s="380"/>
      <c r="K168" s="380"/>
      <c r="L168" s="380"/>
      <c r="M168" s="380"/>
      <c r="N168" s="380"/>
      <c r="O168" s="380"/>
      <c r="P168" s="380"/>
      <c r="Q168" s="380"/>
      <c r="R168" s="380"/>
      <c r="S168" s="380"/>
      <c r="T168" s="417"/>
    </row>
    <row r="169" spans="2:20" x14ac:dyDescent="0.2">
      <c r="B169" s="428"/>
      <c r="D169" t="s">
        <v>33</v>
      </c>
      <c r="E169" s="54"/>
      <c r="F169" s="497"/>
      <c r="G169" s="497"/>
      <c r="H169" s="379"/>
      <c r="I169" s="380"/>
      <c r="J169" s="380"/>
      <c r="K169" s="380"/>
      <c r="L169" s="380"/>
      <c r="M169" s="380"/>
      <c r="N169" s="380"/>
      <c r="O169" s="380"/>
      <c r="P169" s="380"/>
      <c r="Q169" s="380"/>
      <c r="R169" s="380"/>
      <c r="S169" s="380"/>
      <c r="T169" s="417"/>
    </row>
    <row r="170" spans="2:20" x14ac:dyDescent="0.2">
      <c r="B170" s="308"/>
      <c r="C170" s="496" t="str">
        <f>"Sales Tax on "&amp;$B6&amp;" Line"</f>
        <v>Sales Tax on Product Revenue Line</v>
      </c>
      <c r="D170" s="454">
        <f>'Year 1'!D170:D171</f>
        <v>0.02</v>
      </c>
      <c r="E170" s="453" t="str">
        <f>'Year 1'!E170:E171</f>
        <v>Monthly</v>
      </c>
      <c r="F170" s="453">
        <f>IF('Year 1'!F170:F171="","",'Year 1'!F170:F171+'Year 1'!$S$118)</f>
        <v>16</v>
      </c>
      <c r="G170" s="15" t="s">
        <v>303</v>
      </c>
      <c r="H170" s="379">
        <f>IF($E170="n.a.",0,$D170*H$12+IF(H171=0,'Year 1'!S170,0))</f>
        <v>283.2</v>
      </c>
      <c r="I170" s="380">
        <f>IF($E170="n.a.",0,$D170*I$12+IF(I171=0,H170,0))</f>
        <v>292.8</v>
      </c>
      <c r="J170" s="380">
        <f t="shared" ref="J170:S170" si="67">IF($E170="n.a.",0,$D170*J$12+IF(J171=0,I170,0))</f>
        <v>302.40000000000003</v>
      </c>
      <c r="K170" s="380">
        <f t="shared" si="67"/>
        <v>312</v>
      </c>
      <c r="L170" s="380">
        <f t="shared" si="67"/>
        <v>321.60000000000002</v>
      </c>
      <c r="M170" s="380">
        <f t="shared" si="67"/>
        <v>331.2</v>
      </c>
      <c r="N170" s="380">
        <f t="shared" si="67"/>
        <v>338.40000000000003</v>
      </c>
      <c r="O170" s="380">
        <f t="shared" si="67"/>
        <v>348</v>
      </c>
      <c r="P170" s="380">
        <f t="shared" si="67"/>
        <v>357.6</v>
      </c>
      <c r="Q170" s="380">
        <f t="shared" si="67"/>
        <v>367.2</v>
      </c>
      <c r="R170" s="380">
        <f t="shared" si="67"/>
        <v>376.8</v>
      </c>
      <c r="S170" s="380">
        <f t="shared" si="67"/>
        <v>386.40000000000003</v>
      </c>
      <c r="T170" s="417">
        <f>SUM(H170:S170)</f>
        <v>4017.6</v>
      </c>
    </row>
    <row r="171" spans="2:20" x14ac:dyDescent="0.2">
      <c r="B171" s="308"/>
      <c r="C171" s="496"/>
      <c r="D171" s="5"/>
      <c r="E171" s="54"/>
      <c r="F171" s="36"/>
      <c r="G171" s="15" t="s">
        <v>293</v>
      </c>
      <c r="H171" s="379">
        <f>IF($E170="Monthly",'Year 1'!S170,IF($E170="Quarterly",IF(AND($E170="Quarterly",OR(H$118=((RIGHT(LEFT($E$3,6),1)-1)*12)+1,H$118=((RIGHT(LEFT($E$3,6),1)-1)*12)+4,H$118=((RIGHT(LEFT($E$3,6),1)-1)*12)+7,H$118=((RIGHT(LEFT($E$3,6),1)-1)*12)+10)),'Year 1'!S170,0),IF(AND($E170="Yearly",$F170=H$118),'Year 1'!S170,0)))</f>
        <v>276</v>
      </c>
      <c r="I171" s="380">
        <f t="shared" ref="I171:S171" si="68">IF($E170="Monthly",H170,IF($E170="Quarterly",IF(AND($E170="Quarterly",OR(I$118=((RIGHT(LEFT($E$3,6),1)-1)*12)+1,I$118=((RIGHT(LEFT($E$3,6),1)-1)*12)+4,I$118=((RIGHT(LEFT($E$3,6),1)-1)*12)+7,I$118=((RIGHT(LEFT($E$3,6),1)-1)*12)+10)),H170,0),IF(AND($E170="Yearly",$F170=I$118),H170,0)))</f>
        <v>283.2</v>
      </c>
      <c r="J171" s="380">
        <f t="shared" si="68"/>
        <v>292.8</v>
      </c>
      <c r="K171" s="380">
        <f t="shared" si="68"/>
        <v>302.40000000000003</v>
      </c>
      <c r="L171" s="380">
        <f t="shared" si="68"/>
        <v>312</v>
      </c>
      <c r="M171" s="380">
        <f t="shared" si="68"/>
        <v>321.60000000000002</v>
      </c>
      <c r="N171" s="380">
        <f t="shared" si="68"/>
        <v>331.2</v>
      </c>
      <c r="O171" s="380">
        <f t="shared" si="68"/>
        <v>338.40000000000003</v>
      </c>
      <c r="P171" s="380">
        <f t="shared" si="68"/>
        <v>348</v>
      </c>
      <c r="Q171" s="380">
        <f t="shared" si="68"/>
        <v>357.6</v>
      </c>
      <c r="R171" s="380">
        <f t="shared" si="68"/>
        <v>367.2</v>
      </c>
      <c r="S171" s="380">
        <f t="shared" si="68"/>
        <v>376.8</v>
      </c>
      <c r="T171" s="417">
        <f t="shared" ref="T171:T177" si="69">SUM(H171:S171)</f>
        <v>3907.2</v>
      </c>
    </row>
    <row r="172" spans="2:20" x14ac:dyDescent="0.2">
      <c r="B172" s="308"/>
      <c r="C172" s="496" t="str">
        <f>"Sales Tax on "&amp;$B14&amp;" Line"</f>
        <v>Sales Tax on Service Revenue Line</v>
      </c>
      <c r="D172" s="454">
        <f>'Year 1'!D172:D173</f>
        <v>0.01</v>
      </c>
      <c r="E172" s="453" t="str">
        <f>'Year 1'!E172:E173</f>
        <v>n.a.</v>
      </c>
      <c r="F172" s="453" t="str">
        <f>IF('Year 1'!F172:F173="","",'Year 1'!F172:F173+'Year 1'!$S$118)</f>
        <v/>
      </c>
      <c r="G172" s="15" t="s">
        <v>303</v>
      </c>
      <c r="H172" s="379">
        <f>IF($E172="n.a.",0,$D172*H$20+IF(H173=0,'Year 1'!S172,0))</f>
        <v>0</v>
      </c>
      <c r="I172" s="380">
        <f>IF($E172="n.a.",0,$D172*I$20+IF(I173=0,H172,0))</f>
        <v>0</v>
      </c>
      <c r="J172" s="380">
        <f t="shared" ref="J172:S172" si="70">IF($E172="n.a.",0,$D172*J$20+IF(J173=0,I172,0))</f>
        <v>0</v>
      </c>
      <c r="K172" s="380">
        <f t="shared" si="70"/>
        <v>0</v>
      </c>
      <c r="L172" s="380">
        <f t="shared" si="70"/>
        <v>0</v>
      </c>
      <c r="M172" s="380">
        <f t="shared" si="70"/>
        <v>0</v>
      </c>
      <c r="N172" s="380">
        <f t="shared" si="70"/>
        <v>0</v>
      </c>
      <c r="O172" s="380">
        <f t="shared" si="70"/>
        <v>0</v>
      </c>
      <c r="P172" s="380">
        <f t="shared" si="70"/>
        <v>0</v>
      </c>
      <c r="Q172" s="380">
        <f t="shared" si="70"/>
        <v>0</v>
      </c>
      <c r="R172" s="380">
        <f t="shared" si="70"/>
        <v>0</v>
      </c>
      <c r="S172" s="380">
        <f t="shared" si="70"/>
        <v>0</v>
      </c>
      <c r="T172" s="417">
        <f t="shared" si="69"/>
        <v>0</v>
      </c>
    </row>
    <row r="173" spans="2:20" x14ac:dyDescent="0.2">
      <c r="B173" s="308"/>
      <c r="C173" s="496"/>
      <c r="D173" s="5"/>
      <c r="E173" s="54"/>
      <c r="F173" s="36"/>
      <c r="G173" s="15" t="s">
        <v>293</v>
      </c>
      <c r="H173" s="379">
        <f>IF($E172="Monthly",'Year 1'!S172,IF($E172="Quarterly",IF(AND($E172="Quarterly",OR(H$118=((RIGHT(LEFT($E$3,6),1)-1)*12)+1,H$118=((RIGHT(LEFT($E$3,6),1)-1)*12)+4,H$118=((RIGHT(LEFT($E$3,6),1)-1)*12)+7,H$118=((RIGHT(LEFT($E$3,6),1)-1)*12)+10)),'Year 1'!S172,0),IF(AND($E172="Yearly",$F172=H$118),'Year 1'!S172,0)))</f>
        <v>0</v>
      </c>
      <c r="I173" s="380">
        <f t="shared" ref="I173:S173" si="71">IF($E172="Monthly",H172,IF($E172="Quarterly",IF(AND($E172="Quarterly",OR(I$118=((RIGHT(LEFT($E$3,6),1)-1)*12)+1,I$118=((RIGHT(LEFT($E$3,6),1)-1)*12)+4,I$118=((RIGHT(LEFT($E$3,6),1)-1)*12)+7,I$118=((RIGHT(LEFT($E$3,6),1)-1)*12)+10)),H172,0),IF(AND($E172="Yearly",$F172=I$118),H172,0)))</f>
        <v>0</v>
      </c>
      <c r="J173" s="380">
        <f t="shared" si="71"/>
        <v>0</v>
      </c>
      <c r="K173" s="380">
        <f t="shared" si="71"/>
        <v>0</v>
      </c>
      <c r="L173" s="380">
        <f t="shared" si="71"/>
        <v>0</v>
      </c>
      <c r="M173" s="380">
        <f t="shared" si="71"/>
        <v>0</v>
      </c>
      <c r="N173" s="380">
        <f t="shared" si="71"/>
        <v>0</v>
      </c>
      <c r="O173" s="380">
        <f t="shared" si="71"/>
        <v>0</v>
      </c>
      <c r="P173" s="380">
        <f t="shared" si="71"/>
        <v>0</v>
      </c>
      <c r="Q173" s="380">
        <f t="shared" si="71"/>
        <v>0</v>
      </c>
      <c r="R173" s="380">
        <f t="shared" si="71"/>
        <v>0</v>
      </c>
      <c r="S173" s="380">
        <f t="shared" si="71"/>
        <v>0</v>
      </c>
      <c r="T173" s="417">
        <f t="shared" si="69"/>
        <v>0</v>
      </c>
    </row>
    <row r="174" spans="2:20" x14ac:dyDescent="0.2">
      <c r="B174" s="308"/>
      <c r="C174" s="496" t="str">
        <f>"Sales Tax on "&amp;$B22&amp;" Line"</f>
        <v>Sales Tax on Billable Hours Revenue Line</v>
      </c>
      <c r="D174" s="454">
        <f>'Year 1'!D174:D175</f>
        <v>0.01</v>
      </c>
      <c r="E174" s="453" t="str">
        <f>'Year 1'!E174:E175</f>
        <v>Yearly</v>
      </c>
      <c r="F174" s="453">
        <f>IF('Year 1'!F174:F175="","",'Year 1'!F174:F175+'Year 1'!$S$118)</f>
        <v>15</v>
      </c>
      <c r="G174" s="15" t="s">
        <v>303</v>
      </c>
      <c r="H174" s="379">
        <f>IF($E174="n.a.",0,$D174*H$28+IF(H175=0,'Year 1'!S174,0))</f>
        <v>885.44999999999993</v>
      </c>
      <c r="I174" s="380">
        <f>IF($E174="n.a.",0,$D174*I$28+IF(I175=0,H174,0))</f>
        <v>981.44999999999993</v>
      </c>
      <c r="J174" s="380">
        <f t="shared" ref="J174:S174" si="72">IF($E174="n.a.",0,$D174*J$28+IF(J175=0,I174,0))</f>
        <v>100.5</v>
      </c>
      <c r="K174" s="380">
        <f t="shared" si="72"/>
        <v>205.5</v>
      </c>
      <c r="L174" s="380">
        <f t="shared" si="72"/>
        <v>315</v>
      </c>
      <c r="M174" s="380">
        <f t="shared" si="72"/>
        <v>429</v>
      </c>
      <c r="N174" s="380">
        <f t="shared" si="72"/>
        <v>546</v>
      </c>
      <c r="O174" s="380">
        <f t="shared" si="72"/>
        <v>667.5</v>
      </c>
      <c r="P174" s="380">
        <f t="shared" si="72"/>
        <v>793.5</v>
      </c>
      <c r="Q174" s="380">
        <f t="shared" si="72"/>
        <v>924</v>
      </c>
      <c r="R174" s="380">
        <f t="shared" si="72"/>
        <v>1059</v>
      </c>
      <c r="S174" s="380">
        <f t="shared" si="72"/>
        <v>1199.4000000000001</v>
      </c>
      <c r="T174" s="417">
        <f t="shared" si="69"/>
        <v>8106.2999999999993</v>
      </c>
    </row>
    <row r="175" spans="2:20" x14ac:dyDescent="0.2">
      <c r="B175" s="308"/>
      <c r="C175" s="496"/>
      <c r="D175" s="5"/>
      <c r="E175" s="54"/>
      <c r="F175" s="36"/>
      <c r="G175" s="15" t="s">
        <v>293</v>
      </c>
      <c r="H175" s="379">
        <f>IF($E174="Monthly",'Year 1'!S174,IF($E174="Quarterly",IF(AND($E174="Quarterly",OR(H$118=((RIGHT(LEFT($E$3,6),1)-1)*12)+1,H$118=((RIGHT(LEFT($E$3,6),1)-1)*12)+4,H$118=((RIGHT(LEFT($E$3,6),1)-1)*12)+7,H$118=((RIGHT(LEFT($E$3,6),1)-1)*12)+10)),'Year 1'!S174,0),IF(AND($E174="Yearly",$F174=H$118),'Year 1'!S174,0)))</f>
        <v>0</v>
      </c>
      <c r="I175" s="380">
        <f t="shared" ref="I175:S175" si="73">IF($E174="Monthly",H174,IF($E174="Quarterly",IF(AND($E174="Quarterly",OR(I$118=((RIGHT(LEFT($E$3,6),1)-1)*12)+1,I$118=((RIGHT(LEFT($E$3,6),1)-1)*12)+4,I$118=((RIGHT(LEFT($E$3,6),1)-1)*12)+7,I$118=((RIGHT(LEFT($E$3,6),1)-1)*12)+10)),H174,0),IF(AND($E174="Yearly",$F174=I$118),H174,0)))</f>
        <v>0</v>
      </c>
      <c r="J175" s="380">
        <f t="shared" si="73"/>
        <v>981.44999999999993</v>
      </c>
      <c r="K175" s="380">
        <f t="shared" si="73"/>
        <v>0</v>
      </c>
      <c r="L175" s="380">
        <f t="shared" si="73"/>
        <v>0</v>
      </c>
      <c r="M175" s="380">
        <f t="shared" si="73"/>
        <v>0</v>
      </c>
      <c r="N175" s="380">
        <f t="shared" si="73"/>
        <v>0</v>
      </c>
      <c r="O175" s="380">
        <f t="shared" si="73"/>
        <v>0</v>
      </c>
      <c r="P175" s="380">
        <f t="shared" si="73"/>
        <v>0</v>
      </c>
      <c r="Q175" s="380">
        <f t="shared" si="73"/>
        <v>0</v>
      </c>
      <c r="R175" s="380">
        <f t="shared" si="73"/>
        <v>0</v>
      </c>
      <c r="S175" s="380">
        <f t="shared" si="73"/>
        <v>0</v>
      </c>
      <c r="T175" s="417">
        <f t="shared" si="69"/>
        <v>981.44999999999993</v>
      </c>
    </row>
    <row r="176" spans="2:20" x14ac:dyDescent="0.2">
      <c r="B176" s="308"/>
      <c r="C176" s="496" t="str">
        <f>"Sales Tax on "&amp;$B30&amp;" Line"</f>
        <v>Sales Tax on Subscription Revenue Line</v>
      </c>
      <c r="D176" s="454">
        <f>'Year 1'!D176:D177</f>
        <v>0</v>
      </c>
      <c r="E176" s="453" t="str">
        <f>'Year 1'!E176:E177</f>
        <v>Quarterly</v>
      </c>
      <c r="F176" s="453" t="str">
        <f>IF('Year 1'!F176:F177="","",'Year 1'!F176:F177+'Year 1'!$S$118)</f>
        <v/>
      </c>
      <c r="G176" s="15" t="s">
        <v>303</v>
      </c>
      <c r="H176" s="379">
        <f>IF($E176="n.a.",0,$D176*H$39+IF(H177=0,'Year 1'!S176,0))</f>
        <v>0</v>
      </c>
      <c r="I176" s="380">
        <f>IF($E176="n.a.",0,$D176*I$39+IF(I177=0,H176,0))</f>
        <v>0</v>
      </c>
      <c r="J176" s="380">
        <f t="shared" ref="J176:S176" si="74">IF($E176="n.a.",0,$D176*J$39+IF(J177=0,I176,0))</f>
        <v>0</v>
      </c>
      <c r="K176" s="380">
        <f t="shared" si="74"/>
        <v>0</v>
      </c>
      <c r="L176" s="380">
        <f t="shared" si="74"/>
        <v>0</v>
      </c>
      <c r="M176" s="380">
        <f t="shared" si="74"/>
        <v>0</v>
      </c>
      <c r="N176" s="380">
        <f t="shared" si="74"/>
        <v>0</v>
      </c>
      <c r="O176" s="380">
        <f t="shared" si="74"/>
        <v>0</v>
      </c>
      <c r="P176" s="380">
        <f t="shared" si="74"/>
        <v>0</v>
      </c>
      <c r="Q176" s="380">
        <f t="shared" si="74"/>
        <v>0</v>
      </c>
      <c r="R176" s="380">
        <f t="shared" si="74"/>
        <v>0</v>
      </c>
      <c r="S176" s="380">
        <f t="shared" si="74"/>
        <v>0</v>
      </c>
      <c r="T176" s="417">
        <f t="shared" si="69"/>
        <v>0</v>
      </c>
    </row>
    <row r="177" spans="2:20" x14ac:dyDescent="0.2">
      <c r="B177" s="308"/>
      <c r="C177" s="496"/>
      <c r="D177" s="5"/>
      <c r="E177" s="54"/>
      <c r="F177" s="36"/>
      <c r="G177" s="15" t="s">
        <v>293</v>
      </c>
      <c r="H177" s="379">
        <f>IF($E176="Monthly",'Year 1'!S176,IF($E176="Quarterly",IF(AND($E176="Quarterly",OR(H$118=((RIGHT(LEFT($E$3,6),1)-1)*12)+1,H$118=((RIGHT(LEFT($E$3,6),1)-1)*12)+4,H$118=((RIGHT(LEFT($E$3,6),1)-1)*12)+7,H$118=((RIGHT(LEFT($E$3,6),1)-1)*12)+10)),'Year 1'!S176,0),IF(AND($E176="Yearly",$F176=H$118),'Year 1'!S176,0)))</f>
        <v>0</v>
      </c>
      <c r="I177" s="380">
        <f t="shared" ref="I177:S177" si="75">IF($E176="Monthly",H176,IF($E176="Quarterly",IF(AND($E176="Quarterly",OR(I$118=((RIGHT(LEFT($E$3,6),1)-1)*12)+1,I$118=((RIGHT(LEFT($E$3,6),1)-1)*12)+4,I$118=((RIGHT(LEFT($E$3,6),1)-1)*12)+7,I$118=((RIGHT(LEFT($E$3,6),1)-1)*12)+10)),H176,0),IF(AND($E176="Yearly",$F176=I$118),H176,0)))</f>
        <v>0</v>
      </c>
      <c r="J177" s="380">
        <f t="shared" si="75"/>
        <v>0</v>
      </c>
      <c r="K177" s="380">
        <f t="shared" si="75"/>
        <v>0</v>
      </c>
      <c r="L177" s="380">
        <f t="shared" si="75"/>
        <v>0</v>
      </c>
      <c r="M177" s="380">
        <f t="shared" si="75"/>
        <v>0</v>
      </c>
      <c r="N177" s="380">
        <f t="shared" si="75"/>
        <v>0</v>
      </c>
      <c r="O177" s="380">
        <f t="shared" si="75"/>
        <v>0</v>
      </c>
      <c r="P177" s="380">
        <f t="shared" si="75"/>
        <v>0</v>
      </c>
      <c r="Q177" s="380">
        <f t="shared" si="75"/>
        <v>0</v>
      </c>
      <c r="R177" s="380">
        <f t="shared" si="75"/>
        <v>0</v>
      </c>
      <c r="S177" s="380">
        <f t="shared" si="75"/>
        <v>0</v>
      </c>
      <c r="T177" s="417">
        <f t="shared" si="69"/>
        <v>0</v>
      </c>
    </row>
    <row r="178" spans="2:20" x14ac:dyDescent="0.2">
      <c r="B178" s="308"/>
      <c r="C178" s="106"/>
      <c r="D178" s="60"/>
      <c r="E178" s="60"/>
      <c r="F178" s="61"/>
      <c r="H178" s="379"/>
      <c r="I178" s="380"/>
      <c r="J178" s="380"/>
      <c r="K178" s="380"/>
      <c r="L178" s="380"/>
      <c r="M178" s="380"/>
      <c r="N178" s="380"/>
      <c r="O178" s="380"/>
      <c r="P178" s="380"/>
      <c r="Q178" s="380"/>
      <c r="R178" s="380"/>
      <c r="S178" s="380"/>
      <c r="T178" s="417"/>
    </row>
    <row r="179" spans="2:20" x14ac:dyDescent="0.2">
      <c r="B179" s="308"/>
      <c r="C179" s="106"/>
      <c r="D179" s="454">
        <f>'Year 1'!D179:D180</f>
        <v>0.24</v>
      </c>
      <c r="E179" s="453" t="str">
        <f>'Year 1'!E179:E180</f>
        <v>Quarterly</v>
      </c>
      <c r="F179" s="453" t="str">
        <f>IF('Year 1'!F179:F180="","",'Year 1'!F179:F180+'Year 1'!$S$118)</f>
        <v/>
      </c>
      <c r="G179" s="15" t="s">
        <v>303</v>
      </c>
      <c r="H179" s="379">
        <f>IF($E179="n.a.",0,$D179*H$157+IF(H$180=0,'Year 1'!S179,IF(H$180&lt;0,'Year 1'!S179+($D179*H$157),0)))</f>
        <v>-72862.542079999985</v>
      </c>
      <c r="I179" s="380">
        <f t="shared" ref="I179:J179" si="76">IF($E179="n.a.",0,$D179*I$157+IF(I$180=0,H$179,IF(I$180&lt;0,H$179+($D179*I$157),0)))</f>
        <v>-77899.60351999999</v>
      </c>
      <c r="J179" s="380">
        <f t="shared" si="76"/>
        <v>-82767.775999999983</v>
      </c>
      <c r="K179" s="380">
        <f>IF($E179="n.a.",0,$D179*K$157+IF(K$180=0,J$179,IF(K$180&lt;0,J$179+($D179*K$157),0)))</f>
        <v>-87470.812159999987</v>
      </c>
      <c r="L179" s="380">
        <f t="shared" ref="L179:S179" si="77">IF($E179="n.a.",0,$D179*L$157+IF(L$180=0,K$179,IF(L$180&lt;0,K$179+($D179*L$157),0)))</f>
        <v>-92009.027839999981</v>
      </c>
      <c r="M179" s="380">
        <f t="shared" si="77"/>
        <v>-96386.855679999979</v>
      </c>
      <c r="N179" s="380">
        <f t="shared" si="77"/>
        <v>-100648.58847999998</v>
      </c>
      <c r="O179" s="380">
        <f t="shared" si="77"/>
        <v>-104747.05503999998</v>
      </c>
      <c r="P179" s="380">
        <f t="shared" si="77"/>
        <v>-108687.08799999997</v>
      </c>
      <c r="Q179" s="380">
        <f t="shared" si="77"/>
        <v>-112466.84895999997</v>
      </c>
      <c r="R179" s="380">
        <f t="shared" si="77"/>
        <v>-116088.13631999998</v>
      </c>
      <c r="S179" s="380">
        <f t="shared" si="77"/>
        <v>-119536.70207999997</v>
      </c>
      <c r="T179" s="417">
        <f>SUM(H179:S179)</f>
        <v>-1171571.0361599999</v>
      </c>
    </row>
    <row r="180" spans="2:20" ht="17" thickBot="1" x14ac:dyDescent="0.25">
      <c r="B180" s="308"/>
      <c r="C180" t="s">
        <v>290</v>
      </c>
      <c r="D180" s="5"/>
      <c r="E180" s="54"/>
      <c r="F180" s="36"/>
      <c r="G180" s="15" t="s">
        <v>293</v>
      </c>
      <c r="H180" s="379">
        <f>IF(H$157&lt;0,0,IF('Year 1'!S179&lt;0,0,IF($E179="Monthly",'Year 1'!S179,IF($E179="Quarterly",IF(AND($E179="Quarterly",OR(H$118=((RIGHT(LEFT($E$3,6),1)-1)*12)+1,H$118=((RIGHT(LEFT($E$3,6),1)-1)*12)+4,H$118=((RIGHT(LEFT($E$3,6),1)-1)*12)+7,H$118=((RIGHT(LEFT($E$3,6),1)-1)*12)+10)),'Year 1'!S179,0),IF(AND($E179="Yearly",$F179=H$118),'Year 1'!S179,0)))))</f>
        <v>0</v>
      </c>
      <c r="I180" s="380">
        <f t="shared" ref="I180:S180" si="78">IF(I$157&lt;0,0,IF(H179&lt;0,0,IF($E179="Monthly",H179,IF($E179="Quarterly",IF(AND($E179="Quarterly",OR(I$118=((RIGHT(LEFT($E$3,6),1)-1)*12)+1,I$118=((RIGHT(LEFT($E$3,6),1)-1)*12)+4,I$118=((RIGHT(LEFT($E$3,6),1)-1)*12)+7,I$118=((RIGHT(LEFT($E$3,6),1)-1)*12)+10)),H179,0),IF(AND($E179="Yearly",$F179=I$118),H179,0)))))</f>
        <v>0</v>
      </c>
      <c r="J180" s="380">
        <f t="shared" si="78"/>
        <v>0</v>
      </c>
      <c r="K180" s="380">
        <f t="shared" si="78"/>
        <v>0</v>
      </c>
      <c r="L180" s="380">
        <f t="shared" si="78"/>
        <v>0</v>
      </c>
      <c r="M180" s="380">
        <f t="shared" si="78"/>
        <v>0</v>
      </c>
      <c r="N180" s="380">
        <f t="shared" si="78"/>
        <v>0</v>
      </c>
      <c r="O180" s="380">
        <f t="shared" si="78"/>
        <v>0</v>
      </c>
      <c r="P180" s="380">
        <f t="shared" si="78"/>
        <v>0</v>
      </c>
      <c r="Q180" s="380">
        <f t="shared" si="78"/>
        <v>0</v>
      </c>
      <c r="R180" s="380">
        <f t="shared" si="78"/>
        <v>0</v>
      </c>
      <c r="S180" s="380">
        <f t="shared" si="78"/>
        <v>0</v>
      </c>
      <c r="T180" s="417">
        <f>SUM(H180:S180)</f>
        <v>0</v>
      </c>
    </row>
    <row r="181" spans="2:20" ht="17" thickTop="1" x14ac:dyDescent="0.2">
      <c r="B181" s="418" t="s">
        <v>305</v>
      </c>
      <c r="C181" s="419"/>
      <c r="D181" s="419"/>
      <c r="E181" s="419"/>
      <c r="F181" s="419"/>
      <c r="G181" s="420"/>
      <c r="H181" s="421">
        <f t="shared" ref="H181:S181" si="79">SUM(H171,H173,H175,H177,H180)</f>
        <v>276</v>
      </c>
      <c r="I181" s="422">
        <f t="shared" si="79"/>
        <v>283.2</v>
      </c>
      <c r="J181" s="422">
        <f t="shared" si="79"/>
        <v>1274.25</v>
      </c>
      <c r="K181" s="422">
        <f t="shared" si="79"/>
        <v>302.40000000000003</v>
      </c>
      <c r="L181" s="422">
        <f t="shared" si="79"/>
        <v>312</v>
      </c>
      <c r="M181" s="422">
        <f t="shared" si="79"/>
        <v>321.60000000000002</v>
      </c>
      <c r="N181" s="422">
        <f t="shared" si="79"/>
        <v>331.2</v>
      </c>
      <c r="O181" s="422">
        <f t="shared" si="79"/>
        <v>338.40000000000003</v>
      </c>
      <c r="P181" s="422">
        <f t="shared" si="79"/>
        <v>348</v>
      </c>
      <c r="Q181" s="422">
        <f t="shared" si="79"/>
        <v>357.6</v>
      </c>
      <c r="R181" s="422">
        <f t="shared" si="79"/>
        <v>367.2</v>
      </c>
      <c r="S181" s="422">
        <f t="shared" si="79"/>
        <v>376.8</v>
      </c>
      <c r="T181" s="423">
        <f>SUM(H181:S181)</f>
        <v>4888.6499999999996</v>
      </c>
    </row>
    <row r="182" spans="2:20" ht="17" thickBot="1" x14ac:dyDescent="0.25">
      <c r="B182" s="431"/>
      <c r="E182" s="8"/>
      <c r="F182" s="8"/>
      <c r="H182" s="382"/>
      <c r="I182" s="383"/>
      <c r="J182" s="383"/>
      <c r="K182" s="383"/>
      <c r="L182" s="383"/>
      <c r="M182" s="383"/>
      <c r="N182" s="383"/>
      <c r="O182" s="383"/>
      <c r="P182" s="383"/>
      <c r="Q182" s="383"/>
      <c r="R182" s="383"/>
      <c r="S182" s="383"/>
      <c r="T182" s="425"/>
    </row>
    <row r="183" spans="2:20" ht="17" thickTop="1" x14ac:dyDescent="0.2">
      <c r="B183" s="434" t="s">
        <v>23</v>
      </c>
      <c r="C183" s="237"/>
      <c r="D183" s="237"/>
      <c r="E183" s="237"/>
      <c r="F183" s="237"/>
      <c r="G183" s="237"/>
      <c r="H183" s="239">
        <f t="shared" ref="H183:S183" si="80">H157-H166-H181</f>
        <v>-22181.275999999998</v>
      </c>
      <c r="I183" s="240">
        <f t="shared" si="80"/>
        <v>-21465.400444444447</v>
      </c>
      <c r="J183" s="240">
        <f t="shared" si="80"/>
        <v>-21738.857555555551</v>
      </c>
      <c r="K183" s="240">
        <f t="shared" si="80"/>
        <v>-20065.050666666666</v>
      </c>
      <c r="L183" s="240">
        <f t="shared" si="80"/>
        <v>-19374.009777777781</v>
      </c>
      <c r="M183" s="240">
        <f t="shared" si="80"/>
        <v>-18701.438222222216</v>
      </c>
      <c r="N183" s="240">
        <f t="shared" si="80"/>
        <v>-18213.420000000002</v>
      </c>
      <c r="O183" s="240">
        <f t="shared" si="80"/>
        <v>-17526.455111111107</v>
      </c>
      <c r="P183" s="240">
        <f t="shared" si="80"/>
        <v>-16862.026222222219</v>
      </c>
      <c r="Q183" s="240">
        <f t="shared" si="80"/>
        <v>-16189.937333333335</v>
      </c>
      <c r="R183" s="240">
        <f t="shared" si="80"/>
        <v>-15525.341777777781</v>
      </c>
      <c r="S183" s="240">
        <f t="shared" si="80"/>
        <v>-14801.379555555552</v>
      </c>
      <c r="T183" s="251">
        <f>SUM(H183:S183)</f>
        <v>-222644.59266666669</v>
      </c>
    </row>
    <row r="184" spans="2:20" x14ac:dyDescent="0.2">
      <c r="E184" s="8"/>
      <c r="F184" s="8"/>
      <c r="H184" s="382"/>
      <c r="I184" s="383"/>
      <c r="J184" s="383"/>
      <c r="K184" s="383"/>
      <c r="L184" s="383"/>
      <c r="M184" s="383"/>
      <c r="N184" s="383"/>
      <c r="O184" s="383"/>
      <c r="P184" s="383"/>
      <c r="Q184" s="383"/>
      <c r="R184" s="383"/>
      <c r="S184" s="383"/>
      <c r="T184" s="395"/>
    </row>
    <row r="185" spans="2:20" ht="20" x14ac:dyDescent="0.2">
      <c r="B185" s="116" t="s">
        <v>35</v>
      </c>
      <c r="C185" s="327"/>
      <c r="D185" s="327"/>
      <c r="E185" s="327" t="str">
        <f>$E$3</f>
        <v>Year 2 (2021)</v>
      </c>
      <c r="F185" s="327"/>
      <c r="G185" s="327"/>
      <c r="H185" s="360" t="s">
        <v>127</v>
      </c>
      <c r="I185" s="361" t="s">
        <v>128</v>
      </c>
      <c r="J185" s="361" t="s">
        <v>129</v>
      </c>
      <c r="K185" s="361" t="s">
        <v>130</v>
      </c>
      <c r="L185" s="361" t="s">
        <v>131</v>
      </c>
      <c r="M185" s="361" t="s">
        <v>132</v>
      </c>
      <c r="N185" s="361" t="s">
        <v>133</v>
      </c>
      <c r="O185" s="361" t="s">
        <v>134</v>
      </c>
      <c r="P185" s="361" t="s">
        <v>135</v>
      </c>
      <c r="Q185" s="361" t="s">
        <v>136</v>
      </c>
      <c r="R185" s="361" t="s">
        <v>137</v>
      </c>
      <c r="S185" s="361" t="s">
        <v>138</v>
      </c>
      <c r="T185" s="362" t="s">
        <v>179</v>
      </c>
    </row>
    <row r="186" spans="2:20" x14ac:dyDescent="0.2">
      <c r="B186" s="401"/>
      <c r="C186" s="402"/>
      <c r="D186" s="402"/>
      <c r="E186" s="402"/>
      <c r="F186" s="402"/>
      <c r="G186" s="403" t="s">
        <v>57</v>
      </c>
      <c r="H186" s="363">
        <f>H$4</f>
        <v>13</v>
      </c>
      <c r="I186" s="364">
        <f t="shared" ref="I186:S186" si="81">I$4</f>
        <v>14</v>
      </c>
      <c r="J186" s="364">
        <f t="shared" si="81"/>
        <v>15</v>
      </c>
      <c r="K186" s="364">
        <f t="shared" si="81"/>
        <v>16</v>
      </c>
      <c r="L186" s="364">
        <f t="shared" si="81"/>
        <v>17</v>
      </c>
      <c r="M186" s="364">
        <f t="shared" si="81"/>
        <v>18</v>
      </c>
      <c r="N186" s="364">
        <f t="shared" si="81"/>
        <v>19</v>
      </c>
      <c r="O186" s="364">
        <f t="shared" si="81"/>
        <v>20</v>
      </c>
      <c r="P186" s="364">
        <f t="shared" si="81"/>
        <v>21</v>
      </c>
      <c r="Q186" s="364">
        <f t="shared" si="81"/>
        <v>22</v>
      </c>
      <c r="R186" s="364">
        <f t="shared" si="81"/>
        <v>23</v>
      </c>
      <c r="S186" s="364">
        <f t="shared" si="81"/>
        <v>24</v>
      </c>
      <c r="T186" s="405" t="str">
        <f>"Total for " &amp; $E$3</f>
        <v>Total for Year 2 (2021)</v>
      </c>
    </row>
    <row r="187" spans="2:20" x14ac:dyDescent="0.2">
      <c r="B187" s="307" t="s">
        <v>289</v>
      </c>
      <c r="D187" s="8" t="s">
        <v>242</v>
      </c>
      <c r="E187" s="52" t="s">
        <v>241</v>
      </c>
      <c r="G187" s="8"/>
      <c r="H187" s="367"/>
      <c r="I187" s="368"/>
      <c r="J187" s="368"/>
      <c r="K187" s="368"/>
      <c r="L187" s="368"/>
      <c r="M187" s="368"/>
      <c r="N187" s="368"/>
      <c r="O187" s="368"/>
      <c r="P187" s="368"/>
      <c r="Q187" s="368"/>
      <c r="R187" s="368"/>
      <c r="S187" s="368"/>
      <c r="T187" s="427"/>
    </row>
    <row r="188" spans="2:20" x14ac:dyDescent="0.2">
      <c r="B188" s="428"/>
      <c r="C188" t="s">
        <v>238</v>
      </c>
      <c r="D188" s="453">
        <f>'Year 1'!D188</f>
        <v>1</v>
      </c>
      <c r="E188" s="452">
        <v>100000</v>
      </c>
      <c r="G188" s="8"/>
      <c r="H188" s="379">
        <f>IFERROR(INDEX($D188:$F188,MATCH(H$186,$D188,FALSE),2),0)</f>
        <v>0</v>
      </c>
      <c r="I188" s="380">
        <f t="shared" ref="I188:S188" si="82">IFERROR(INDEX($D188:$F188,MATCH(I$186,$D188,FALSE),2),0)</f>
        <v>0</v>
      </c>
      <c r="J188" s="380">
        <f t="shared" si="82"/>
        <v>0</v>
      </c>
      <c r="K188" s="380">
        <f t="shared" si="82"/>
        <v>0</v>
      </c>
      <c r="L188" s="380">
        <f t="shared" si="82"/>
        <v>0</v>
      </c>
      <c r="M188" s="380">
        <f t="shared" si="82"/>
        <v>0</v>
      </c>
      <c r="N188" s="380">
        <f t="shared" si="82"/>
        <v>0</v>
      </c>
      <c r="O188" s="380">
        <f t="shared" si="82"/>
        <v>0</v>
      </c>
      <c r="P188" s="380">
        <f t="shared" si="82"/>
        <v>0</v>
      </c>
      <c r="Q188" s="380">
        <f t="shared" si="82"/>
        <v>0</v>
      </c>
      <c r="R188" s="380">
        <f t="shared" si="82"/>
        <v>0</v>
      </c>
      <c r="S188" s="380">
        <f t="shared" si="82"/>
        <v>0</v>
      </c>
      <c r="T188" s="417">
        <f>SUM(H188:S188)</f>
        <v>0</v>
      </c>
    </row>
    <row r="189" spans="2:20" x14ac:dyDescent="0.2">
      <c r="B189" s="428"/>
      <c r="C189" t="s">
        <v>239</v>
      </c>
      <c r="D189" s="453">
        <f>'Year 1'!D189</f>
        <v>1</v>
      </c>
      <c r="E189" s="452">
        <v>1200000</v>
      </c>
      <c r="G189" s="8"/>
      <c r="H189" s="379">
        <f t="shared" ref="H189:S191" si="83">IFERROR(INDEX($D189:$F189,MATCH(H$186,$D189,FALSE),2),0)</f>
        <v>0</v>
      </c>
      <c r="I189" s="380">
        <f t="shared" si="83"/>
        <v>0</v>
      </c>
      <c r="J189" s="380">
        <f t="shared" si="83"/>
        <v>0</v>
      </c>
      <c r="K189" s="380">
        <f t="shared" si="83"/>
        <v>0</v>
      </c>
      <c r="L189" s="380">
        <f t="shared" si="83"/>
        <v>0</v>
      </c>
      <c r="M189" s="380">
        <f t="shared" si="83"/>
        <v>0</v>
      </c>
      <c r="N189" s="380">
        <f t="shared" si="83"/>
        <v>0</v>
      </c>
      <c r="O189" s="380">
        <f t="shared" si="83"/>
        <v>0</v>
      </c>
      <c r="P189" s="380">
        <f t="shared" si="83"/>
        <v>0</v>
      </c>
      <c r="Q189" s="380">
        <f t="shared" si="83"/>
        <v>0</v>
      </c>
      <c r="R189" s="380">
        <f t="shared" si="83"/>
        <v>0</v>
      </c>
      <c r="S189" s="380">
        <f t="shared" si="83"/>
        <v>0</v>
      </c>
      <c r="T189" s="417">
        <f t="shared" ref="T189:T191" si="84">SUM(H189:S189)</f>
        <v>0</v>
      </c>
    </row>
    <row r="190" spans="2:20" x14ac:dyDescent="0.2">
      <c r="B190" s="428"/>
      <c r="C190" t="s">
        <v>240</v>
      </c>
      <c r="D190" s="453">
        <f>'Year 1'!D190</f>
        <v>6</v>
      </c>
      <c r="E190" s="452">
        <v>23000</v>
      </c>
      <c r="G190" s="8"/>
      <c r="H190" s="379">
        <f t="shared" si="83"/>
        <v>0</v>
      </c>
      <c r="I190" s="380">
        <f t="shared" si="83"/>
        <v>0</v>
      </c>
      <c r="J190" s="380">
        <f t="shared" si="83"/>
        <v>0</v>
      </c>
      <c r="K190" s="380">
        <f t="shared" si="83"/>
        <v>0</v>
      </c>
      <c r="L190" s="380">
        <f t="shared" si="83"/>
        <v>0</v>
      </c>
      <c r="M190" s="380">
        <f t="shared" si="83"/>
        <v>0</v>
      </c>
      <c r="N190" s="380">
        <f t="shared" si="83"/>
        <v>0</v>
      </c>
      <c r="O190" s="380">
        <f t="shared" si="83"/>
        <v>0</v>
      </c>
      <c r="P190" s="380">
        <f t="shared" si="83"/>
        <v>0</v>
      </c>
      <c r="Q190" s="380">
        <f t="shared" si="83"/>
        <v>0</v>
      </c>
      <c r="R190" s="380">
        <f t="shared" si="83"/>
        <v>0</v>
      </c>
      <c r="S190" s="380">
        <f t="shared" si="83"/>
        <v>0</v>
      </c>
      <c r="T190" s="417">
        <f t="shared" si="84"/>
        <v>0</v>
      </c>
    </row>
    <row r="191" spans="2:20" x14ac:dyDescent="0.2">
      <c r="B191" s="428"/>
      <c r="C191" t="s">
        <v>24</v>
      </c>
      <c r="D191" s="453">
        <f>'Year 1'!D191</f>
        <v>2</v>
      </c>
      <c r="E191" s="452">
        <v>1400</v>
      </c>
      <c r="G191" s="8"/>
      <c r="H191" s="379">
        <f t="shared" si="83"/>
        <v>0</v>
      </c>
      <c r="I191" s="380">
        <f t="shared" si="83"/>
        <v>0</v>
      </c>
      <c r="J191" s="380">
        <f t="shared" si="83"/>
        <v>0</v>
      </c>
      <c r="K191" s="380">
        <f t="shared" si="83"/>
        <v>0</v>
      </c>
      <c r="L191" s="380">
        <f t="shared" si="83"/>
        <v>0</v>
      </c>
      <c r="M191" s="380">
        <f t="shared" si="83"/>
        <v>0</v>
      </c>
      <c r="N191" s="380">
        <f t="shared" si="83"/>
        <v>0</v>
      </c>
      <c r="O191" s="380">
        <f t="shared" si="83"/>
        <v>0</v>
      </c>
      <c r="P191" s="380">
        <f t="shared" si="83"/>
        <v>0</v>
      </c>
      <c r="Q191" s="380">
        <f t="shared" si="83"/>
        <v>0</v>
      </c>
      <c r="R191" s="380">
        <f t="shared" si="83"/>
        <v>0</v>
      </c>
      <c r="S191" s="380">
        <f t="shared" si="83"/>
        <v>0</v>
      </c>
      <c r="T191" s="417">
        <f t="shared" si="84"/>
        <v>0</v>
      </c>
    </row>
    <row r="192" spans="2:20" ht="16" customHeight="1" x14ac:dyDescent="0.2">
      <c r="B192" s="428"/>
      <c r="D192" s="37"/>
      <c r="E192" s="53"/>
      <c r="G192" s="8"/>
      <c r="H192" s="367"/>
      <c r="I192" s="368"/>
      <c r="J192" s="368"/>
      <c r="K192" s="396"/>
      <c r="L192" s="368"/>
      <c r="M192" s="368"/>
      <c r="N192" s="397"/>
      <c r="O192" s="368"/>
      <c r="P192" s="368"/>
      <c r="Q192" s="368"/>
      <c r="R192" s="368"/>
      <c r="S192" s="368"/>
      <c r="T192" s="427"/>
    </row>
    <row r="193" spans="2:20" x14ac:dyDescent="0.2">
      <c r="B193" s="307" t="s">
        <v>288</v>
      </c>
      <c r="D193" s="52" t="s">
        <v>241</v>
      </c>
      <c r="E193" s="8" t="s">
        <v>242</v>
      </c>
      <c r="F193" t="s">
        <v>243</v>
      </c>
      <c r="G193" s="8"/>
      <c r="H193" s="367"/>
      <c r="I193" s="368"/>
      <c r="J193" s="368"/>
      <c r="K193" s="368"/>
      <c r="L193" s="368"/>
      <c r="M193" s="368"/>
      <c r="N193" s="368"/>
      <c r="O193" s="368"/>
      <c r="P193" s="368"/>
      <c r="Q193" s="368"/>
      <c r="R193" s="368"/>
      <c r="S193" s="368"/>
      <c r="T193" s="427"/>
    </row>
    <row r="194" spans="2:20" x14ac:dyDescent="0.2">
      <c r="B194" s="308"/>
      <c r="C194" t="s">
        <v>238</v>
      </c>
      <c r="D194" s="452">
        <f>'Year 1'!$D194</f>
        <v>1200</v>
      </c>
      <c r="E194" s="453">
        <f>CEILING('Year 1'!$S$186,$F194)+'Year 1'!$E194-IFERROR(FLOOR('Year 1'!$E194,F194),0)</f>
        <v>15</v>
      </c>
      <c r="F194" s="453">
        <f>'Year 1'!$F194</f>
        <v>7</v>
      </c>
      <c r="H194" s="379">
        <f>IFERROR(IF(INT((H$186-$E194)/$F194)=(H$186-$E194)/$F194,$D194,0),0)</f>
        <v>0</v>
      </c>
      <c r="I194" s="380">
        <f t="shared" ref="I194:S199" si="85">IF(I$186=$E194,$D194,IFERROR(IF(INT((I$186-$E194)/$F194)=(I$186-$E194)/$F194,$D194,0),0))</f>
        <v>0</v>
      </c>
      <c r="J194" s="380">
        <f t="shared" si="85"/>
        <v>1200</v>
      </c>
      <c r="K194" s="380">
        <f t="shared" si="85"/>
        <v>0</v>
      </c>
      <c r="L194" s="380">
        <f t="shared" si="85"/>
        <v>0</v>
      </c>
      <c r="M194" s="380">
        <f t="shared" si="85"/>
        <v>0</v>
      </c>
      <c r="N194" s="380">
        <f t="shared" si="85"/>
        <v>0</v>
      </c>
      <c r="O194" s="380">
        <f t="shared" si="85"/>
        <v>0</v>
      </c>
      <c r="P194" s="380">
        <f t="shared" si="85"/>
        <v>0</v>
      </c>
      <c r="Q194" s="380">
        <f t="shared" si="85"/>
        <v>1200</v>
      </c>
      <c r="R194" s="380">
        <f t="shared" si="85"/>
        <v>0</v>
      </c>
      <c r="S194" s="380">
        <f t="shared" si="85"/>
        <v>0</v>
      </c>
      <c r="T194" s="417">
        <f t="shared" ref="T194:T199" si="86">SUM(H194:S194)</f>
        <v>2400</v>
      </c>
    </row>
    <row r="195" spans="2:20" x14ac:dyDescent="0.2">
      <c r="B195" s="308"/>
      <c r="C195" t="s">
        <v>239</v>
      </c>
      <c r="D195" s="452">
        <f>'Year 1'!$D195</f>
        <v>1000</v>
      </c>
      <c r="E195" s="453">
        <f>CEILING('Year 1'!$S$186,$F195)+'Year 1'!$E195-IFERROR(FLOOR('Year 1'!$E195,F195),0)</f>
        <v>18</v>
      </c>
      <c r="F195" s="453">
        <f>'Year 1'!$F195</f>
        <v>5</v>
      </c>
      <c r="H195" s="379">
        <f t="shared" ref="H195:H199" si="87">IF(H$186=$E195,$D195,IFERROR(IF(INT((H$186-$E195)/$F195)=(H$186-$E195)/$F195,$D195,0),0))</f>
        <v>1000</v>
      </c>
      <c r="I195" s="380">
        <f t="shared" si="85"/>
        <v>0</v>
      </c>
      <c r="J195" s="380">
        <f t="shared" si="85"/>
        <v>0</v>
      </c>
      <c r="K195" s="380">
        <f t="shared" si="85"/>
        <v>0</v>
      </c>
      <c r="L195" s="380">
        <f t="shared" si="85"/>
        <v>0</v>
      </c>
      <c r="M195" s="380">
        <f t="shared" si="85"/>
        <v>1000</v>
      </c>
      <c r="N195" s="380">
        <f t="shared" si="85"/>
        <v>0</v>
      </c>
      <c r="O195" s="380">
        <f t="shared" si="85"/>
        <v>0</v>
      </c>
      <c r="P195" s="380">
        <f t="shared" si="85"/>
        <v>0</v>
      </c>
      <c r="Q195" s="380">
        <f t="shared" si="85"/>
        <v>0</v>
      </c>
      <c r="R195" s="380">
        <f t="shared" si="85"/>
        <v>1000</v>
      </c>
      <c r="S195" s="380">
        <f t="shared" si="85"/>
        <v>0</v>
      </c>
      <c r="T195" s="417">
        <f t="shared" si="86"/>
        <v>3000</v>
      </c>
    </row>
    <row r="196" spans="2:20" x14ac:dyDescent="0.2">
      <c r="B196" s="308"/>
      <c r="C196" t="s">
        <v>240</v>
      </c>
      <c r="D196" s="452">
        <f>'Year 1'!$D196</f>
        <v>1000</v>
      </c>
      <c r="E196" s="453">
        <f>CEILING('Year 1'!$S$186,$F196)+'Year 1'!$E196-IFERROR(FLOOR('Year 1'!$E196,F196),0)</f>
        <v>13</v>
      </c>
      <c r="F196" s="453">
        <f>'Year 1'!$F196</f>
        <v>12</v>
      </c>
      <c r="H196" s="379">
        <f t="shared" si="87"/>
        <v>1000</v>
      </c>
      <c r="I196" s="380">
        <f t="shared" si="85"/>
        <v>0</v>
      </c>
      <c r="J196" s="380">
        <f t="shared" si="85"/>
        <v>0</v>
      </c>
      <c r="K196" s="380">
        <f t="shared" si="85"/>
        <v>0</v>
      </c>
      <c r="L196" s="380">
        <f t="shared" si="85"/>
        <v>0</v>
      </c>
      <c r="M196" s="380">
        <f t="shared" si="85"/>
        <v>0</v>
      </c>
      <c r="N196" s="380">
        <f t="shared" si="85"/>
        <v>0</v>
      </c>
      <c r="O196" s="380">
        <f t="shared" si="85"/>
        <v>0</v>
      </c>
      <c r="P196" s="380">
        <f t="shared" si="85"/>
        <v>0</v>
      </c>
      <c r="Q196" s="380">
        <f t="shared" si="85"/>
        <v>0</v>
      </c>
      <c r="R196" s="380">
        <f t="shared" si="85"/>
        <v>0</v>
      </c>
      <c r="S196" s="380">
        <f t="shared" si="85"/>
        <v>0</v>
      </c>
      <c r="T196" s="417">
        <f t="shared" si="86"/>
        <v>1000</v>
      </c>
    </row>
    <row r="197" spans="2:20" x14ac:dyDescent="0.2">
      <c r="B197" s="308"/>
      <c r="C197" t="s">
        <v>36</v>
      </c>
      <c r="D197" s="452">
        <f>'Year 1'!$D197</f>
        <v>3000</v>
      </c>
      <c r="E197" s="453">
        <f>CEILING('Year 1'!$S$186,$F197)+'Year 1'!$E197-IFERROR(FLOOR('Year 1'!$E197,F197),0)</f>
        <v>13</v>
      </c>
      <c r="F197" s="453">
        <f>'Year 1'!$F197</f>
        <v>6</v>
      </c>
      <c r="H197" s="379">
        <f t="shared" si="87"/>
        <v>3000</v>
      </c>
      <c r="I197" s="380">
        <f t="shared" si="85"/>
        <v>0</v>
      </c>
      <c r="J197" s="380">
        <f t="shared" si="85"/>
        <v>0</v>
      </c>
      <c r="K197" s="380">
        <f t="shared" si="85"/>
        <v>0</v>
      </c>
      <c r="L197" s="380">
        <f t="shared" si="85"/>
        <v>0</v>
      </c>
      <c r="M197" s="380">
        <f t="shared" si="85"/>
        <v>0</v>
      </c>
      <c r="N197" s="380">
        <f t="shared" si="85"/>
        <v>3000</v>
      </c>
      <c r="O197" s="380">
        <f t="shared" si="85"/>
        <v>0</v>
      </c>
      <c r="P197" s="380">
        <f t="shared" si="85"/>
        <v>0</v>
      </c>
      <c r="Q197" s="380">
        <f t="shared" si="85"/>
        <v>0</v>
      </c>
      <c r="R197" s="380">
        <f t="shared" si="85"/>
        <v>0</v>
      </c>
      <c r="S197" s="380">
        <f t="shared" si="85"/>
        <v>0</v>
      </c>
      <c r="T197" s="417">
        <f t="shared" si="86"/>
        <v>6000</v>
      </c>
    </row>
    <row r="198" spans="2:20" x14ac:dyDescent="0.2">
      <c r="B198" s="308"/>
      <c r="C198" t="s">
        <v>37</v>
      </c>
      <c r="D198" s="452">
        <f>'Year 1'!$D198</f>
        <v>900</v>
      </c>
      <c r="E198" s="453">
        <f>CEILING('Year 1'!$S$186,$F198)+'Year 1'!$E198-IFERROR(FLOOR('Year 1'!$E198,F198),0)</f>
        <v>1</v>
      </c>
      <c r="F198" s="453">
        <f>'Year 1'!$F198</f>
        <v>0</v>
      </c>
      <c r="H198" s="379">
        <f t="shared" si="87"/>
        <v>0</v>
      </c>
      <c r="I198" s="380">
        <f t="shared" si="85"/>
        <v>0</v>
      </c>
      <c r="J198" s="380">
        <f t="shared" si="85"/>
        <v>0</v>
      </c>
      <c r="K198" s="380">
        <f t="shared" si="85"/>
        <v>0</v>
      </c>
      <c r="L198" s="380">
        <f t="shared" si="85"/>
        <v>0</v>
      </c>
      <c r="M198" s="380">
        <f t="shared" si="85"/>
        <v>0</v>
      </c>
      <c r="N198" s="380">
        <f t="shared" si="85"/>
        <v>0</v>
      </c>
      <c r="O198" s="380">
        <f t="shared" si="85"/>
        <v>0</v>
      </c>
      <c r="P198" s="380">
        <f t="shared" si="85"/>
        <v>0</v>
      </c>
      <c r="Q198" s="380">
        <f t="shared" si="85"/>
        <v>0</v>
      </c>
      <c r="R198" s="380">
        <f t="shared" si="85"/>
        <v>0</v>
      </c>
      <c r="S198" s="380">
        <f t="shared" si="85"/>
        <v>0</v>
      </c>
      <c r="T198" s="417">
        <f t="shared" si="86"/>
        <v>0</v>
      </c>
    </row>
    <row r="199" spans="2:20" ht="17" thickBot="1" x14ac:dyDescent="0.25">
      <c r="B199" s="308"/>
      <c r="C199" s="24" t="s">
        <v>38</v>
      </c>
      <c r="D199" s="452">
        <f>'Year 1'!$D199</f>
        <v>15000</v>
      </c>
      <c r="E199" s="453">
        <f>CEILING('Year 1'!$S$186,$F199)+'Year 1'!$E199-IFERROR(FLOOR('Year 1'!$E199,F199),0)</f>
        <v>25</v>
      </c>
      <c r="F199" s="453">
        <f>'Year 1'!$F199</f>
        <v>24</v>
      </c>
      <c r="H199" s="379">
        <f t="shared" si="87"/>
        <v>0</v>
      </c>
      <c r="I199" s="380">
        <f t="shared" si="85"/>
        <v>0</v>
      </c>
      <c r="J199" s="380">
        <f t="shared" si="85"/>
        <v>0</v>
      </c>
      <c r="K199" s="380">
        <f t="shared" si="85"/>
        <v>0</v>
      </c>
      <c r="L199" s="380">
        <f t="shared" si="85"/>
        <v>0</v>
      </c>
      <c r="M199" s="380">
        <f t="shared" si="85"/>
        <v>0</v>
      </c>
      <c r="N199" s="380">
        <f t="shared" si="85"/>
        <v>0</v>
      </c>
      <c r="O199" s="380">
        <f t="shared" si="85"/>
        <v>0</v>
      </c>
      <c r="P199" s="380">
        <f t="shared" si="85"/>
        <v>0</v>
      </c>
      <c r="Q199" s="380">
        <f t="shared" si="85"/>
        <v>0</v>
      </c>
      <c r="R199" s="380">
        <f t="shared" si="85"/>
        <v>0</v>
      </c>
      <c r="S199" s="380">
        <f t="shared" si="85"/>
        <v>0</v>
      </c>
      <c r="T199" s="417">
        <f t="shared" si="86"/>
        <v>0</v>
      </c>
    </row>
    <row r="200" spans="2:20" ht="17" thickTop="1" x14ac:dyDescent="0.2">
      <c r="B200" s="250" t="s">
        <v>39</v>
      </c>
      <c r="C200" s="237"/>
      <c r="D200" s="237"/>
      <c r="E200" s="237"/>
      <c r="F200" s="237"/>
      <c r="G200" s="237"/>
      <c r="H200" s="239">
        <f>SUM(H188:H199)</f>
        <v>5000</v>
      </c>
      <c r="I200" s="240">
        <f t="shared" ref="I200:S200" si="88">SUM(I188:I199)</f>
        <v>0</v>
      </c>
      <c r="J200" s="240">
        <f t="shared" si="88"/>
        <v>1200</v>
      </c>
      <c r="K200" s="240">
        <f t="shared" si="88"/>
        <v>0</v>
      </c>
      <c r="L200" s="240">
        <f t="shared" si="88"/>
        <v>0</v>
      </c>
      <c r="M200" s="240">
        <f t="shared" si="88"/>
        <v>1000</v>
      </c>
      <c r="N200" s="240">
        <f t="shared" si="88"/>
        <v>3000</v>
      </c>
      <c r="O200" s="240">
        <f t="shared" si="88"/>
        <v>0</v>
      </c>
      <c r="P200" s="240">
        <f t="shared" si="88"/>
        <v>0</v>
      </c>
      <c r="Q200" s="240">
        <f t="shared" si="88"/>
        <v>1200</v>
      </c>
      <c r="R200" s="240">
        <f t="shared" si="88"/>
        <v>1000</v>
      </c>
      <c r="S200" s="240">
        <f t="shared" si="88"/>
        <v>0</v>
      </c>
      <c r="T200" s="251">
        <f>SUM(H200:S200)</f>
        <v>12400</v>
      </c>
    </row>
    <row r="201" spans="2:20" x14ac:dyDescent="0.2">
      <c r="H201" s="367"/>
      <c r="I201" s="368"/>
      <c r="J201" s="368"/>
      <c r="K201" s="368"/>
      <c r="L201" s="368"/>
      <c r="M201" s="368"/>
      <c r="N201" s="368"/>
      <c r="O201" s="368"/>
      <c r="P201" s="368"/>
      <c r="Q201" s="368"/>
      <c r="R201" s="368"/>
      <c r="S201" s="368"/>
      <c r="T201" s="381"/>
    </row>
    <row r="202" spans="2:20" ht="20" x14ac:dyDescent="0.2">
      <c r="B202" s="116" t="s">
        <v>41</v>
      </c>
      <c r="C202" s="327"/>
      <c r="D202" s="327"/>
      <c r="E202" s="327" t="str">
        <f>$E$3</f>
        <v>Year 2 (2021)</v>
      </c>
      <c r="F202" s="327"/>
      <c r="G202" s="327"/>
      <c r="H202" s="360" t="s">
        <v>127</v>
      </c>
      <c r="I202" s="361" t="s">
        <v>128</v>
      </c>
      <c r="J202" s="361" t="s">
        <v>129</v>
      </c>
      <c r="K202" s="361" t="s">
        <v>130</v>
      </c>
      <c r="L202" s="361" t="s">
        <v>131</v>
      </c>
      <c r="M202" s="361" t="s">
        <v>132</v>
      </c>
      <c r="N202" s="361" t="s">
        <v>133</v>
      </c>
      <c r="O202" s="361" t="s">
        <v>134</v>
      </c>
      <c r="P202" s="361" t="s">
        <v>135</v>
      </c>
      <c r="Q202" s="361" t="s">
        <v>136</v>
      </c>
      <c r="R202" s="361" t="s">
        <v>137</v>
      </c>
      <c r="S202" s="361" t="s">
        <v>138</v>
      </c>
      <c r="T202" s="362" t="s">
        <v>179</v>
      </c>
    </row>
    <row r="203" spans="2:20" x14ac:dyDescent="0.2">
      <c r="B203" s="401"/>
      <c r="C203" s="402"/>
      <c r="D203" s="402"/>
      <c r="E203" s="402"/>
      <c r="F203" s="402"/>
      <c r="G203" s="403" t="s">
        <v>57</v>
      </c>
      <c r="H203" s="363">
        <f>H$4</f>
        <v>13</v>
      </c>
      <c r="I203" s="364">
        <f t="shared" ref="I203:S203" si="89">I$4</f>
        <v>14</v>
      </c>
      <c r="J203" s="364">
        <f t="shared" si="89"/>
        <v>15</v>
      </c>
      <c r="K203" s="364">
        <f t="shared" si="89"/>
        <v>16</v>
      </c>
      <c r="L203" s="364">
        <f t="shared" si="89"/>
        <v>17</v>
      </c>
      <c r="M203" s="364">
        <f t="shared" si="89"/>
        <v>18</v>
      </c>
      <c r="N203" s="364">
        <f t="shared" si="89"/>
        <v>19</v>
      </c>
      <c r="O203" s="364">
        <f t="shared" si="89"/>
        <v>20</v>
      </c>
      <c r="P203" s="364">
        <f t="shared" si="89"/>
        <v>21</v>
      </c>
      <c r="Q203" s="364">
        <f t="shared" si="89"/>
        <v>22</v>
      </c>
      <c r="R203" s="364">
        <f t="shared" si="89"/>
        <v>23</v>
      </c>
      <c r="S203" s="364">
        <f t="shared" si="89"/>
        <v>24</v>
      </c>
      <c r="T203" s="405" t="str">
        <f>"Total for " &amp; $E$3</f>
        <v>Total for Year 2 (2021)</v>
      </c>
    </row>
    <row r="204" spans="2:20" x14ac:dyDescent="0.2">
      <c r="B204" s="307" t="s">
        <v>149</v>
      </c>
      <c r="E204" s="24" t="s">
        <v>42</v>
      </c>
      <c r="H204" s="367"/>
      <c r="I204" s="368"/>
      <c r="J204" s="368"/>
      <c r="K204" s="368"/>
      <c r="L204" s="368"/>
      <c r="M204" s="368"/>
      <c r="N204" s="368"/>
      <c r="O204" s="368"/>
      <c r="P204" s="368"/>
      <c r="Q204" s="368"/>
      <c r="R204" s="368"/>
      <c r="S204" s="368"/>
      <c r="T204" s="407"/>
    </row>
    <row r="205" spans="2:20" x14ac:dyDescent="0.2">
      <c r="B205" s="307"/>
      <c r="C205" t="str">
        <f>"Receivable days for "&amp;$B6</f>
        <v>Receivable days for Product Revenue</v>
      </c>
      <c r="E205" s="453">
        <f>'Year 1'!E205</f>
        <v>30</v>
      </c>
      <c r="H205" s="379">
        <f t="shared" ref="H205:S205" si="90">H$12*$E205/30</f>
        <v>14160</v>
      </c>
      <c r="I205" s="380">
        <f t="shared" si="90"/>
        <v>14640</v>
      </c>
      <c r="J205" s="380">
        <f t="shared" si="90"/>
        <v>15120</v>
      </c>
      <c r="K205" s="380">
        <f t="shared" si="90"/>
        <v>15600</v>
      </c>
      <c r="L205" s="380">
        <f t="shared" si="90"/>
        <v>16080</v>
      </c>
      <c r="M205" s="380">
        <f t="shared" si="90"/>
        <v>16560</v>
      </c>
      <c r="N205" s="380">
        <f t="shared" si="90"/>
        <v>16920</v>
      </c>
      <c r="O205" s="380">
        <f t="shared" si="90"/>
        <v>17400</v>
      </c>
      <c r="P205" s="380">
        <f t="shared" si="90"/>
        <v>17880</v>
      </c>
      <c r="Q205" s="380">
        <f t="shared" si="90"/>
        <v>18360</v>
      </c>
      <c r="R205" s="380">
        <f t="shared" si="90"/>
        <v>18840</v>
      </c>
      <c r="S205" s="380">
        <f t="shared" si="90"/>
        <v>19320</v>
      </c>
      <c r="T205" s="417">
        <f>SUM(H205:S205)</f>
        <v>200880</v>
      </c>
    </row>
    <row r="206" spans="2:20" x14ac:dyDescent="0.2">
      <c r="B206" s="307"/>
      <c r="C206" t="str">
        <f>"Receivable days for "&amp;$B14</f>
        <v>Receivable days for Service Revenue</v>
      </c>
      <c r="E206" s="453">
        <f>'Year 1'!E206</f>
        <v>0</v>
      </c>
      <c r="H206" s="379">
        <f t="shared" ref="H206:S206" si="91">H$20*$E206/30</f>
        <v>0</v>
      </c>
      <c r="I206" s="380">
        <f t="shared" si="91"/>
        <v>0</v>
      </c>
      <c r="J206" s="380">
        <f t="shared" si="91"/>
        <v>0</v>
      </c>
      <c r="K206" s="380">
        <f t="shared" si="91"/>
        <v>0</v>
      </c>
      <c r="L206" s="380">
        <f t="shared" si="91"/>
        <v>0</v>
      </c>
      <c r="M206" s="380">
        <f t="shared" si="91"/>
        <v>0</v>
      </c>
      <c r="N206" s="380">
        <f t="shared" si="91"/>
        <v>0</v>
      </c>
      <c r="O206" s="380">
        <f t="shared" si="91"/>
        <v>0</v>
      </c>
      <c r="P206" s="380">
        <f t="shared" si="91"/>
        <v>0</v>
      </c>
      <c r="Q206" s="380">
        <f t="shared" si="91"/>
        <v>0</v>
      </c>
      <c r="R206" s="380">
        <f t="shared" si="91"/>
        <v>0</v>
      </c>
      <c r="S206" s="380">
        <f t="shared" si="91"/>
        <v>0</v>
      </c>
      <c r="T206" s="417">
        <f t="shared" ref="T206:T208" si="92">SUM(H206:S206)</f>
        <v>0</v>
      </c>
    </row>
    <row r="207" spans="2:20" x14ac:dyDescent="0.2">
      <c r="B207" s="307"/>
      <c r="C207" t="str">
        <f>"Receivable days for "&amp;$B22</f>
        <v>Receivable days for Billable Hours Revenue</v>
      </c>
      <c r="E207" s="453">
        <f>'Year 1'!E207</f>
        <v>15</v>
      </c>
      <c r="H207" s="379">
        <f t="shared" ref="H207:S207" si="93">H$28*$E207/30</f>
        <v>4575</v>
      </c>
      <c r="I207" s="380">
        <f t="shared" si="93"/>
        <v>4800</v>
      </c>
      <c r="J207" s="380">
        <f t="shared" si="93"/>
        <v>5025</v>
      </c>
      <c r="K207" s="380">
        <f t="shared" si="93"/>
        <v>5250</v>
      </c>
      <c r="L207" s="380">
        <f t="shared" si="93"/>
        <v>5475</v>
      </c>
      <c r="M207" s="380">
        <f t="shared" si="93"/>
        <v>5700</v>
      </c>
      <c r="N207" s="380">
        <f t="shared" si="93"/>
        <v>5850</v>
      </c>
      <c r="O207" s="380">
        <f t="shared" si="93"/>
        <v>6075</v>
      </c>
      <c r="P207" s="380">
        <f t="shared" si="93"/>
        <v>6300</v>
      </c>
      <c r="Q207" s="380">
        <f t="shared" si="93"/>
        <v>6525</v>
      </c>
      <c r="R207" s="380">
        <f t="shared" si="93"/>
        <v>6750</v>
      </c>
      <c r="S207" s="380">
        <f t="shared" si="93"/>
        <v>7020</v>
      </c>
      <c r="T207" s="417">
        <f t="shared" si="92"/>
        <v>69345</v>
      </c>
    </row>
    <row r="208" spans="2:20" ht="17" thickBot="1" x14ac:dyDescent="0.25">
      <c r="B208" s="308"/>
      <c r="C208" t="str">
        <f>"Receivable days for "&amp;$B30</f>
        <v>Receivable days for Subscription Revenue</v>
      </c>
      <c r="E208" s="453">
        <f>'Year 1'!E208</f>
        <v>30</v>
      </c>
      <c r="H208" s="379">
        <f t="shared" ref="H208:S208" si="94">H$39*$E208/30</f>
        <v>707</v>
      </c>
      <c r="I208" s="380">
        <f t="shared" si="94"/>
        <v>762</v>
      </c>
      <c r="J208" s="380">
        <f t="shared" si="94"/>
        <v>806</v>
      </c>
      <c r="K208" s="380">
        <f t="shared" si="94"/>
        <v>839</v>
      </c>
      <c r="L208" s="380">
        <f t="shared" si="94"/>
        <v>861</v>
      </c>
      <c r="M208" s="380">
        <f t="shared" si="94"/>
        <v>872</v>
      </c>
      <c r="N208" s="380">
        <f t="shared" si="94"/>
        <v>883</v>
      </c>
      <c r="O208" s="380">
        <f t="shared" si="94"/>
        <v>894</v>
      </c>
      <c r="P208" s="380">
        <f t="shared" si="94"/>
        <v>894</v>
      </c>
      <c r="Q208" s="380">
        <f t="shared" si="94"/>
        <v>894</v>
      </c>
      <c r="R208" s="380">
        <f t="shared" si="94"/>
        <v>894</v>
      </c>
      <c r="S208" s="380">
        <f t="shared" si="94"/>
        <v>894</v>
      </c>
      <c r="T208" s="417">
        <f t="shared" si="92"/>
        <v>10200</v>
      </c>
    </row>
    <row r="209" spans="2:20" ht="17" thickTop="1" x14ac:dyDescent="0.2">
      <c r="B209" s="418" t="s">
        <v>151</v>
      </c>
      <c r="C209" s="419"/>
      <c r="D209" s="419"/>
      <c r="E209" s="419"/>
      <c r="F209" s="419"/>
      <c r="G209" s="420"/>
      <c r="H209" s="421">
        <f>SUM(H205:H208)</f>
        <v>19442</v>
      </c>
      <c r="I209" s="422">
        <f t="shared" ref="I209:S209" si="95">SUM(I205:I208)</f>
        <v>20202</v>
      </c>
      <c r="J209" s="422">
        <f t="shared" si="95"/>
        <v>20951</v>
      </c>
      <c r="K209" s="422">
        <f t="shared" si="95"/>
        <v>21689</v>
      </c>
      <c r="L209" s="422">
        <f t="shared" si="95"/>
        <v>22416</v>
      </c>
      <c r="M209" s="422">
        <f t="shared" si="95"/>
        <v>23132</v>
      </c>
      <c r="N209" s="422">
        <f t="shared" si="95"/>
        <v>23653</v>
      </c>
      <c r="O209" s="422">
        <f t="shared" si="95"/>
        <v>24369</v>
      </c>
      <c r="P209" s="422">
        <f t="shared" si="95"/>
        <v>25074</v>
      </c>
      <c r="Q209" s="422">
        <f t="shared" si="95"/>
        <v>25779</v>
      </c>
      <c r="R209" s="422">
        <f t="shared" si="95"/>
        <v>26484</v>
      </c>
      <c r="S209" s="422">
        <f t="shared" si="95"/>
        <v>27234</v>
      </c>
      <c r="T209" s="423">
        <f>SUM(H209:S209)</f>
        <v>280425</v>
      </c>
    </row>
    <row r="210" spans="2:20" x14ac:dyDescent="0.2">
      <c r="B210" s="308"/>
      <c r="C210" s="40"/>
      <c r="E210" s="44"/>
      <c r="H210" s="379"/>
      <c r="I210" s="380"/>
      <c r="J210" s="380"/>
      <c r="K210" s="380"/>
      <c r="L210" s="380"/>
      <c r="M210" s="380"/>
      <c r="N210" s="380"/>
      <c r="O210" s="380"/>
      <c r="P210" s="380"/>
      <c r="Q210" s="380"/>
      <c r="R210" s="380"/>
      <c r="S210" s="380"/>
      <c r="T210" s="417"/>
    </row>
    <row r="211" spans="2:20" x14ac:dyDescent="0.2">
      <c r="B211" s="307" t="s">
        <v>371</v>
      </c>
      <c r="E211" t="s">
        <v>373</v>
      </c>
      <c r="G211" s="13"/>
      <c r="H211" s="370"/>
      <c r="I211" s="371"/>
      <c r="J211" s="371"/>
      <c r="K211" s="371"/>
      <c r="L211" s="371"/>
      <c r="M211" s="371"/>
      <c r="N211" s="371"/>
      <c r="O211" s="371"/>
      <c r="P211" s="371"/>
      <c r="Q211" s="371"/>
      <c r="R211" s="371"/>
      <c r="S211" s="372"/>
      <c r="T211" s="410"/>
    </row>
    <row r="212" spans="2:20" ht="17" thickBot="1" x14ac:dyDescent="0.25">
      <c r="B212" s="307"/>
      <c r="C212" t="s">
        <v>372</v>
      </c>
      <c r="E212" s="454">
        <v>0.3</v>
      </c>
      <c r="G212" s="13" t="s">
        <v>375</v>
      </c>
      <c r="H212" s="460"/>
      <c r="I212" s="461"/>
      <c r="J212" s="461"/>
      <c r="K212" s="461"/>
      <c r="L212" s="461"/>
      <c r="M212" s="461"/>
      <c r="N212" s="461"/>
      <c r="O212" s="461"/>
      <c r="P212" s="461"/>
      <c r="Q212" s="461"/>
      <c r="R212" s="461"/>
      <c r="S212" s="461"/>
      <c r="T212" s="417" t="str">
        <f>IF(SUM($H$212:$S$212)=0,"",SUM($H$212:$S$212))</f>
        <v/>
      </c>
    </row>
    <row r="213" spans="2:20" ht="17" thickTop="1" x14ac:dyDescent="0.2">
      <c r="B213" s="418" t="s">
        <v>374</v>
      </c>
      <c r="C213" s="419"/>
      <c r="D213" s="419"/>
      <c r="E213" s="419"/>
      <c r="F213" s="419"/>
      <c r="G213" s="420"/>
      <c r="H213" s="421">
        <f>IF(H$212="",$E$212*H$12,"")</f>
        <v>4248</v>
      </c>
      <c r="I213" s="422">
        <f t="shared" ref="I213:S213" si="96">IF(I$212="",$E$212*I$12,"")</f>
        <v>4392</v>
      </c>
      <c r="J213" s="422">
        <f t="shared" si="96"/>
        <v>4536</v>
      </c>
      <c r="K213" s="422">
        <f t="shared" si="96"/>
        <v>4680</v>
      </c>
      <c r="L213" s="422">
        <f t="shared" si="96"/>
        <v>4824</v>
      </c>
      <c r="M213" s="422">
        <f t="shared" si="96"/>
        <v>4968</v>
      </c>
      <c r="N213" s="422">
        <f t="shared" si="96"/>
        <v>5076</v>
      </c>
      <c r="O213" s="422">
        <f t="shared" si="96"/>
        <v>5220</v>
      </c>
      <c r="P213" s="422">
        <f t="shared" si="96"/>
        <v>5364</v>
      </c>
      <c r="Q213" s="422">
        <f t="shared" si="96"/>
        <v>5508</v>
      </c>
      <c r="R213" s="422">
        <f t="shared" si="96"/>
        <v>5652</v>
      </c>
      <c r="S213" s="422">
        <f t="shared" si="96"/>
        <v>5796</v>
      </c>
      <c r="T213" s="423">
        <f>IFERROR(SUM(H213:S213)+T212,SUM(H213:S213))</f>
        <v>60264</v>
      </c>
    </row>
    <row r="214" spans="2:20" x14ac:dyDescent="0.2">
      <c r="B214" s="308"/>
      <c r="C214" s="40"/>
      <c r="E214" s="44"/>
      <c r="H214" s="379"/>
      <c r="I214" s="380"/>
      <c r="J214" s="380"/>
      <c r="K214" s="380"/>
      <c r="L214" s="380"/>
      <c r="M214" s="380"/>
      <c r="N214" s="380"/>
      <c r="O214" s="380"/>
      <c r="P214" s="380"/>
      <c r="Q214" s="380"/>
      <c r="R214" s="380"/>
      <c r="S214" s="380"/>
      <c r="T214" s="417"/>
    </row>
    <row r="215" spans="2:20" x14ac:dyDescent="0.2">
      <c r="B215" s="307" t="s">
        <v>150</v>
      </c>
      <c r="C215" s="40"/>
      <c r="E215" s="24" t="s">
        <v>42</v>
      </c>
      <c r="H215" s="379"/>
      <c r="I215" s="380"/>
      <c r="J215" s="380"/>
      <c r="K215" s="380"/>
      <c r="L215" s="380"/>
      <c r="M215" s="380"/>
      <c r="N215" s="380"/>
      <c r="O215" s="380"/>
      <c r="P215" s="380"/>
      <c r="Q215" s="380"/>
      <c r="R215" s="380"/>
      <c r="S215" s="380"/>
      <c r="T215" s="417"/>
    </row>
    <row r="216" spans="2:20" x14ac:dyDescent="0.2">
      <c r="B216" s="307"/>
      <c r="C216" t="str">
        <f>"Payable Days for "&amp;$C56</f>
        <v>Payable Days for Commission on Product Revenue</v>
      </c>
      <c r="E216" s="453">
        <f>'Year 1'!E216</f>
        <v>14</v>
      </c>
      <c r="H216" s="379">
        <f t="shared" ref="H216:S216" si="97">H56*$E216/30</f>
        <v>198.23999999999998</v>
      </c>
      <c r="I216" s="380">
        <f t="shared" si="97"/>
        <v>204.96</v>
      </c>
      <c r="J216" s="380">
        <f t="shared" si="97"/>
        <v>211.67999999999998</v>
      </c>
      <c r="K216" s="380">
        <f t="shared" si="97"/>
        <v>218.4</v>
      </c>
      <c r="L216" s="380">
        <f t="shared" si="97"/>
        <v>225.11999999999998</v>
      </c>
      <c r="M216" s="380">
        <f t="shared" si="97"/>
        <v>231.83999999999997</v>
      </c>
      <c r="N216" s="380">
        <f t="shared" si="97"/>
        <v>236.88</v>
      </c>
      <c r="O216" s="380">
        <f t="shared" si="97"/>
        <v>243.6</v>
      </c>
      <c r="P216" s="380">
        <f t="shared" si="97"/>
        <v>250.32</v>
      </c>
      <c r="Q216" s="380">
        <f t="shared" si="97"/>
        <v>257.03999999999996</v>
      </c>
      <c r="R216" s="380">
        <f t="shared" si="97"/>
        <v>263.76</v>
      </c>
      <c r="S216" s="380">
        <f t="shared" si="97"/>
        <v>270.48</v>
      </c>
      <c r="T216" s="417">
        <f t="shared" ref="T216:T219" si="98">SUM(H216:S216)</f>
        <v>2812.32</v>
      </c>
    </row>
    <row r="217" spans="2:20" x14ac:dyDescent="0.2">
      <c r="B217" s="307"/>
      <c r="C217" t="str">
        <f>"Payable Days for "&amp;$C57</f>
        <v>Payable Days for Commission on Service Revenue</v>
      </c>
      <c r="E217" s="453">
        <f>'Year 1'!E217</f>
        <v>14</v>
      </c>
      <c r="H217" s="379">
        <f t="shared" ref="H217:S217" si="99">H57*$E217/30</f>
        <v>2.8</v>
      </c>
      <c r="I217" s="380">
        <f t="shared" si="99"/>
        <v>2.8933333333333331</v>
      </c>
      <c r="J217" s="380">
        <f t="shared" si="99"/>
        <v>3.08</v>
      </c>
      <c r="K217" s="380">
        <f t="shared" si="99"/>
        <v>3.1733333333333333</v>
      </c>
      <c r="L217" s="380">
        <f t="shared" si="99"/>
        <v>3.36</v>
      </c>
      <c r="M217" s="380">
        <f t="shared" si="99"/>
        <v>3.4533333333333336</v>
      </c>
      <c r="N217" s="380">
        <f t="shared" si="99"/>
        <v>3.5466666666666669</v>
      </c>
      <c r="O217" s="380">
        <f t="shared" si="99"/>
        <v>3.7333333333333334</v>
      </c>
      <c r="P217" s="380">
        <f t="shared" si="99"/>
        <v>3.8266666666666662</v>
      </c>
      <c r="Q217" s="380">
        <f t="shared" si="99"/>
        <v>4.0133333333333328</v>
      </c>
      <c r="R217" s="380">
        <f t="shared" si="99"/>
        <v>4.1066666666666674</v>
      </c>
      <c r="S217" s="380">
        <f t="shared" si="99"/>
        <v>4.2933333333333339</v>
      </c>
      <c r="T217" s="417">
        <f t="shared" si="98"/>
        <v>42.280000000000008</v>
      </c>
    </row>
    <row r="218" spans="2:20" x14ac:dyDescent="0.2">
      <c r="B218" s="307"/>
      <c r="C218" t="str">
        <f>"Payable Days for "&amp;$C58</f>
        <v>Payable Days for Commission on Billable Hours Revenue</v>
      </c>
      <c r="E218" s="453">
        <f>'Year 1'!E218</f>
        <v>14</v>
      </c>
      <c r="H218" s="379">
        <f t="shared" ref="H218:S218" si="100">H58*$E218/30</f>
        <v>42.7</v>
      </c>
      <c r="I218" s="380">
        <f t="shared" si="100"/>
        <v>44.8</v>
      </c>
      <c r="J218" s="380">
        <f t="shared" si="100"/>
        <v>46.9</v>
      </c>
      <c r="K218" s="380">
        <f t="shared" si="100"/>
        <v>49</v>
      </c>
      <c r="L218" s="380">
        <f t="shared" si="100"/>
        <v>51.1</v>
      </c>
      <c r="M218" s="380">
        <f t="shared" si="100"/>
        <v>53.2</v>
      </c>
      <c r="N218" s="380">
        <f t="shared" si="100"/>
        <v>54.6</v>
      </c>
      <c r="O218" s="380">
        <f t="shared" si="100"/>
        <v>56.7</v>
      </c>
      <c r="P218" s="380">
        <f t="shared" si="100"/>
        <v>58.8</v>
      </c>
      <c r="Q218" s="380">
        <f t="shared" si="100"/>
        <v>60.9</v>
      </c>
      <c r="R218" s="380">
        <f t="shared" si="100"/>
        <v>63</v>
      </c>
      <c r="S218" s="380">
        <f t="shared" si="100"/>
        <v>65.52000000000001</v>
      </c>
      <c r="T218" s="417">
        <f t="shared" si="98"/>
        <v>647.22</v>
      </c>
    </row>
    <row r="219" spans="2:20" x14ac:dyDescent="0.2">
      <c r="B219" s="307"/>
      <c r="C219" t="str">
        <f>"Payable Days for "&amp;$C59</f>
        <v>Payable Days for Commission on Subscription Revenue</v>
      </c>
      <c r="E219" s="453">
        <f>'Year 1'!E219</f>
        <v>14</v>
      </c>
      <c r="H219" s="379">
        <f t="shared" ref="H219:S219" si="101">H59*$E219/30</f>
        <v>13.197333333333335</v>
      </c>
      <c r="I219" s="380">
        <f t="shared" si="101"/>
        <v>14.224</v>
      </c>
      <c r="J219" s="380">
        <f t="shared" si="101"/>
        <v>15.045333333333334</v>
      </c>
      <c r="K219" s="380">
        <f t="shared" si="101"/>
        <v>15.661333333333335</v>
      </c>
      <c r="L219" s="380">
        <f t="shared" si="101"/>
        <v>16.071999999999999</v>
      </c>
      <c r="M219" s="380">
        <f t="shared" si="101"/>
        <v>16.277333333333335</v>
      </c>
      <c r="N219" s="380">
        <f t="shared" si="101"/>
        <v>16.482666666666667</v>
      </c>
      <c r="O219" s="380">
        <f t="shared" si="101"/>
        <v>16.687999999999999</v>
      </c>
      <c r="P219" s="380">
        <f t="shared" si="101"/>
        <v>16.687999999999999</v>
      </c>
      <c r="Q219" s="380">
        <f t="shared" si="101"/>
        <v>16.687999999999999</v>
      </c>
      <c r="R219" s="380">
        <f t="shared" si="101"/>
        <v>16.687999999999999</v>
      </c>
      <c r="S219" s="380">
        <f t="shared" si="101"/>
        <v>16.687999999999999</v>
      </c>
      <c r="T219" s="417">
        <f t="shared" si="98"/>
        <v>190.39999999999998</v>
      </c>
    </row>
    <row r="220" spans="2:20" x14ac:dyDescent="0.2">
      <c r="B220" s="308"/>
      <c r="C220" t="str">
        <f>"Payable Days for "&amp;$C70</f>
        <v>Payable Days for S&amp;M Expenses for Product Line</v>
      </c>
      <c r="E220" s="453">
        <f>'Year 1'!E220</f>
        <v>30</v>
      </c>
      <c r="H220" s="379">
        <f t="shared" ref="H220:S220" si="102">H70*$E220/30</f>
        <v>0</v>
      </c>
      <c r="I220" s="380">
        <f t="shared" si="102"/>
        <v>0</v>
      </c>
      <c r="J220" s="380">
        <f t="shared" si="102"/>
        <v>0</v>
      </c>
      <c r="K220" s="380">
        <f t="shared" si="102"/>
        <v>0</v>
      </c>
      <c r="L220" s="380">
        <f t="shared" si="102"/>
        <v>0</v>
      </c>
      <c r="M220" s="380">
        <f t="shared" si="102"/>
        <v>0</v>
      </c>
      <c r="N220" s="380">
        <f t="shared" si="102"/>
        <v>0</v>
      </c>
      <c r="O220" s="380">
        <f t="shared" si="102"/>
        <v>0</v>
      </c>
      <c r="P220" s="380">
        <f t="shared" si="102"/>
        <v>0</v>
      </c>
      <c r="Q220" s="380">
        <f t="shared" si="102"/>
        <v>0</v>
      </c>
      <c r="R220" s="380">
        <f t="shared" si="102"/>
        <v>0</v>
      </c>
      <c r="S220" s="380">
        <f t="shared" si="102"/>
        <v>0</v>
      </c>
      <c r="T220" s="417">
        <f>SUM(H220:S220)</f>
        <v>0</v>
      </c>
    </row>
    <row r="221" spans="2:20" x14ac:dyDescent="0.2">
      <c r="B221" s="308"/>
      <c r="C221" t="str">
        <f>"Payable Days for "&amp;$C71</f>
        <v>Payable Days for S&amp;M Expenses for Services Line</v>
      </c>
      <c r="E221" s="453">
        <f>'Year 1'!E221</f>
        <v>30</v>
      </c>
      <c r="H221" s="379">
        <f t="shared" ref="H221:S221" si="103">H71*$E221/30</f>
        <v>0</v>
      </c>
      <c r="I221" s="380">
        <f t="shared" si="103"/>
        <v>0</v>
      </c>
      <c r="J221" s="380">
        <f t="shared" si="103"/>
        <v>0</v>
      </c>
      <c r="K221" s="380">
        <f t="shared" si="103"/>
        <v>0</v>
      </c>
      <c r="L221" s="380">
        <f t="shared" si="103"/>
        <v>0</v>
      </c>
      <c r="M221" s="380">
        <f t="shared" si="103"/>
        <v>0</v>
      </c>
      <c r="N221" s="380">
        <f t="shared" si="103"/>
        <v>0</v>
      </c>
      <c r="O221" s="380">
        <f t="shared" si="103"/>
        <v>0</v>
      </c>
      <c r="P221" s="380">
        <f t="shared" si="103"/>
        <v>0</v>
      </c>
      <c r="Q221" s="380">
        <f t="shared" si="103"/>
        <v>0</v>
      </c>
      <c r="R221" s="380">
        <f t="shared" si="103"/>
        <v>0</v>
      </c>
      <c r="S221" s="380">
        <f t="shared" si="103"/>
        <v>0</v>
      </c>
      <c r="T221" s="417">
        <f t="shared" ref="T221:T245" si="104">SUM(H221:S221)</f>
        <v>0</v>
      </c>
    </row>
    <row r="222" spans="2:20" x14ac:dyDescent="0.2">
      <c r="B222" s="308"/>
      <c r="C222" t="str">
        <f>"Payable Days for "&amp;$C72</f>
        <v>Payable Days for S&amp;M Expenses for Billable Hours Line</v>
      </c>
      <c r="E222" s="453">
        <f>'Year 1'!E222</f>
        <v>0</v>
      </c>
      <c r="H222" s="379">
        <f t="shared" ref="H222:S222" si="105">H72*$E222/30</f>
        <v>0</v>
      </c>
      <c r="I222" s="380">
        <f t="shared" si="105"/>
        <v>0</v>
      </c>
      <c r="J222" s="380">
        <f t="shared" si="105"/>
        <v>0</v>
      </c>
      <c r="K222" s="380">
        <f t="shared" si="105"/>
        <v>0</v>
      </c>
      <c r="L222" s="380">
        <f t="shared" si="105"/>
        <v>0</v>
      </c>
      <c r="M222" s="380">
        <f t="shared" si="105"/>
        <v>0</v>
      </c>
      <c r="N222" s="380">
        <f t="shared" si="105"/>
        <v>0</v>
      </c>
      <c r="O222" s="380">
        <f t="shared" si="105"/>
        <v>0</v>
      </c>
      <c r="P222" s="380">
        <f t="shared" si="105"/>
        <v>0</v>
      </c>
      <c r="Q222" s="380">
        <f t="shared" si="105"/>
        <v>0</v>
      </c>
      <c r="R222" s="380">
        <f t="shared" si="105"/>
        <v>0</v>
      </c>
      <c r="S222" s="380">
        <f t="shared" si="105"/>
        <v>0</v>
      </c>
      <c r="T222" s="417">
        <f t="shared" si="104"/>
        <v>0</v>
      </c>
    </row>
    <row r="223" spans="2:20" x14ac:dyDescent="0.2">
      <c r="B223" s="308"/>
      <c r="C223" t="str">
        <f>"Payable Days for "&amp;$C73</f>
        <v>Payable Days for S&amp;M Expenses for Subscriptions Line</v>
      </c>
      <c r="E223" s="453">
        <f>'Year 1'!E223</f>
        <v>14</v>
      </c>
      <c r="H223" s="379">
        <f t="shared" ref="H223:S223" si="106">H73*$E223/30</f>
        <v>186.66666666666666</v>
      </c>
      <c r="I223" s="380">
        <f t="shared" si="106"/>
        <v>186.66666666666666</v>
      </c>
      <c r="J223" s="380">
        <f t="shared" si="106"/>
        <v>186.66666666666666</v>
      </c>
      <c r="K223" s="380">
        <f t="shared" si="106"/>
        <v>186.66666666666666</v>
      </c>
      <c r="L223" s="380">
        <f t="shared" si="106"/>
        <v>186.66666666666666</v>
      </c>
      <c r="M223" s="380">
        <f t="shared" si="106"/>
        <v>186.66666666666666</v>
      </c>
      <c r="N223" s="380">
        <f t="shared" si="106"/>
        <v>186.66666666666666</v>
      </c>
      <c r="O223" s="380">
        <f t="shared" si="106"/>
        <v>186.66666666666666</v>
      </c>
      <c r="P223" s="380">
        <f t="shared" si="106"/>
        <v>186.66666666666666</v>
      </c>
      <c r="Q223" s="380">
        <f t="shared" si="106"/>
        <v>186.66666666666666</v>
      </c>
      <c r="R223" s="380">
        <f t="shared" si="106"/>
        <v>186.66666666666666</v>
      </c>
      <c r="S223" s="380">
        <f t="shared" si="106"/>
        <v>186.66666666666666</v>
      </c>
      <c r="T223" s="417">
        <f t="shared" si="104"/>
        <v>2240</v>
      </c>
    </row>
    <row r="224" spans="2:20" x14ac:dyDescent="0.2">
      <c r="B224" s="308"/>
      <c r="C224" t="str">
        <f t="shared" ref="C224:C242" si="107">"Payable Days for "&amp;$C121</f>
        <v>Payable Days for Advertising Campaigns</v>
      </c>
      <c r="E224" s="453">
        <f>'Year 1'!E224</f>
        <v>12</v>
      </c>
      <c r="H224" s="379">
        <f t="shared" ref="H224:S224" si="108">H121*$E224/30</f>
        <v>200</v>
      </c>
      <c r="I224" s="380">
        <f t="shared" si="108"/>
        <v>200</v>
      </c>
      <c r="J224" s="380">
        <f t="shared" si="108"/>
        <v>200</v>
      </c>
      <c r="K224" s="380">
        <f t="shared" si="108"/>
        <v>200</v>
      </c>
      <c r="L224" s="380">
        <f t="shared" si="108"/>
        <v>200</v>
      </c>
      <c r="M224" s="380">
        <f t="shared" si="108"/>
        <v>200</v>
      </c>
      <c r="N224" s="380">
        <f t="shared" si="108"/>
        <v>200</v>
      </c>
      <c r="O224" s="380">
        <f t="shared" si="108"/>
        <v>200</v>
      </c>
      <c r="P224" s="380">
        <f t="shared" si="108"/>
        <v>200</v>
      </c>
      <c r="Q224" s="380">
        <f t="shared" si="108"/>
        <v>200</v>
      </c>
      <c r="R224" s="380">
        <f t="shared" si="108"/>
        <v>200</v>
      </c>
      <c r="S224" s="380">
        <f t="shared" si="108"/>
        <v>200</v>
      </c>
      <c r="T224" s="417">
        <f t="shared" si="104"/>
        <v>2400</v>
      </c>
    </row>
    <row r="225" spans="2:20" x14ac:dyDescent="0.2">
      <c r="B225" s="308"/>
      <c r="C225" t="str">
        <f t="shared" si="107"/>
        <v>Payable Days for Car and Truck Expenses</v>
      </c>
      <c r="E225" s="453">
        <f>'Year 1'!E225</f>
        <v>12</v>
      </c>
      <c r="H225" s="379">
        <f t="shared" ref="H225:S225" si="109">H122*$E225/30</f>
        <v>240</v>
      </c>
      <c r="I225" s="380">
        <f t="shared" si="109"/>
        <v>240</v>
      </c>
      <c r="J225" s="380">
        <f t="shared" si="109"/>
        <v>240</v>
      </c>
      <c r="K225" s="380">
        <f t="shared" si="109"/>
        <v>240</v>
      </c>
      <c r="L225" s="380">
        <f t="shared" si="109"/>
        <v>240</v>
      </c>
      <c r="M225" s="380">
        <f t="shared" si="109"/>
        <v>240</v>
      </c>
      <c r="N225" s="380">
        <f t="shared" si="109"/>
        <v>240</v>
      </c>
      <c r="O225" s="380">
        <f t="shared" si="109"/>
        <v>240</v>
      </c>
      <c r="P225" s="380">
        <f t="shared" si="109"/>
        <v>240</v>
      </c>
      <c r="Q225" s="380">
        <f t="shared" si="109"/>
        <v>240</v>
      </c>
      <c r="R225" s="380">
        <f t="shared" si="109"/>
        <v>240</v>
      </c>
      <c r="S225" s="380">
        <f t="shared" si="109"/>
        <v>240</v>
      </c>
      <c r="T225" s="417">
        <f t="shared" si="104"/>
        <v>2880</v>
      </c>
    </row>
    <row r="226" spans="2:20" x14ac:dyDescent="0.2">
      <c r="B226" s="308"/>
      <c r="C226" t="str">
        <f t="shared" si="107"/>
        <v>Payable Days for Bank &amp; Merchant Fees</v>
      </c>
      <c r="E226" s="453">
        <f>'Year 1'!E226</f>
        <v>12</v>
      </c>
      <c r="H226" s="379">
        <f t="shared" ref="H226:S226" si="110">H123*$E226/30</f>
        <v>0</v>
      </c>
      <c r="I226" s="380">
        <f t="shared" si="110"/>
        <v>0</v>
      </c>
      <c r="J226" s="380">
        <f t="shared" si="110"/>
        <v>0</v>
      </c>
      <c r="K226" s="380">
        <f t="shared" si="110"/>
        <v>0</v>
      </c>
      <c r="L226" s="380">
        <f t="shared" si="110"/>
        <v>0</v>
      </c>
      <c r="M226" s="380">
        <f t="shared" si="110"/>
        <v>0</v>
      </c>
      <c r="N226" s="380">
        <f t="shared" si="110"/>
        <v>0</v>
      </c>
      <c r="O226" s="380">
        <f t="shared" si="110"/>
        <v>0</v>
      </c>
      <c r="P226" s="380">
        <f t="shared" si="110"/>
        <v>0</v>
      </c>
      <c r="Q226" s="380">
        <f t="shared" si="110"/>
        <v>0</v>
      </c>
      <c r="R226" s="380">
        <f t="shared" si="110"/>
        <v>0</v>
      </c>
      <c r="S226" s="380">
        <f t="shared" si="110"/>
        <v>0</v>
      </c>
      <c r="T226" s="417">
        <f t="shared" si="104"/>
        <v>0</v>
      </c>
    </row>
    <row r="227" spans="2:20" x14ac:dyDescent="0.2">
      <c r="B227" s="308"/>
      <c r="C227" t="str">
        <f t="shared" si="107"/>
        <v>Payable Days for Conferences &amp; Seminars</v>
      </c>
      <c r="E227" s="453">
        <f>'Year 1'!E227</f>
        <v>12</v>
      </c>
      <c r="H227" s="379">
        <f t="shared" ref="H227:S227" si="111">H124*$E227/30</f>
        <v>0</v>
      </c>
      <c r="I227" s="380">
        <f t="shared" si="111"/>
        <v>0</v>
      </c>
      <c r="J227" s="380">
        <f t="shared" si="111"/>
        <v>0</v>
      </c>
      <c r="K227" s="380">
        <f t="shared" si="111"/>
        <v>0</v>
      </c>
      <c r="L227" s="380">
        <f t="shared" si="111"/>
        <v>0</v>
      </c>
      <c r="M227" s="380">
        <f t="shared" si="111"/>
        <v>0</v>
      </c>
      <c r="N227" s="380">
        <f t="shared" si="111"/>
        <v>0</v>
      </c>
      <c r="O227" s="380">
        <f t="shared" si="111"/>
        <v>0</v>
      </c>
      <c r="P227" s="380">
        <f t="shared" si="111"/>
        <v>0</v>
      </c>
      <c r="Q227" s="380">
        <f t="shared" si="111"/>
        <v>0</v>
      </c>
      <c r="R227" s="380">
        <f t="shared" si="111"/>
        <v>0</v>
      </c>
      <c r="S227" s="380">
        <f t="shared" si="111"/>
        <v>0</v>
      </c>
      <c r="T227" s="417">
        <f t="shared" si="104"/>
        <v>0</v>
      </c>
    </row>
    <row r="228" spans="2:20" x14ac:dyDescent="0.2">
      <c r="B228" s="308"/>
      <c r="C228" t="str">
        <f t="shared" si="107"/>
        <v>Payable Days for Dues and Subscriptions</v>
      </c>
      <c r="E228" s="453">
        <f>'Year 1'!E228</f>
        <v>12</v>
      </c>
      <c r="H228" s="379">
        <f t="shared" ref="H228:S228" si="112">H125*$E228/30</f>
        <v>80</v>
      </c>
      <c r="I228" s="380">
        <f t="shared" si="112"/>
        <v>80</v>
      </c>
      <c r="J228" s="380">
        <f t="shared" si="112"/>
        <v>80</v>
      </c>
      <c r="K228" s="380">
        <f t="shared" si="112"/>
        <v>80</v>
      </c>
      <c r="L228" s="380">
        <f t="shared" si="112"/>
        <v>80</v>
      </c>
      <c r="M228" s="380">
        <f t="shared" si="112"/>
        <v>80</v>
      </c>
      <c r="N228" s="380">
        <f t="shared" si="112"/>
        <v>80</v>
      </c>
      <c r="O228" s="380">
        <f t="shared" si="112"/>
        <v>80</v>
      </c>
      <c r="P228" s="380">
        <f t="shared" si="112"/>
        <v>80</v>
      </c>
      <c r="Q228" s="380">
        <f t="shared" si="112"/>
        <v>80</v>
      </c>
      <c r="R228" s="380">
        <f t="shared" si="112"/>
        <v>80</v>
      </c>
      <c r="S228" s="380">
        <f t="shared" si="112"/>
        <v>80</v>
      </c>
      <c r="T228" s="417">
        <f t="shared" si="104"/>
        <v>960</v>
      </c>
    </row>
    <row r="229" spans="2:20" x14ac:dyDescent="0.2">
      <c r="B229" s="308"/>
      <c r="C229" t="str">
        <f t="shared" si="107"/>
        <v>Payable Days for Miscellaneous</v>
      </c>
      <c r="E229" s="453">
        <f>'Year 1'!E229</f>
        <v>12</v>
      </c>
      <c r="H229" s="379">
        <f t="shared" ref="H229:S229" si="113">H126*$E229/30</f>
        <v>0</v>
      </c>
      <c r="I229" s="380">
        <f t="shared" si="113"/>
        <v>0</v>
      </c>
      <c r="J229" s="380">
        <f t="shared" si="113"/>
        <v>0</v>
      </c>
      <c r="K229" s="380">
        <f t="shared" si="113"/>
        <v>0</v>
      </c>
      <c r="L229" s="380">
        <f t="shared" si="113"/>
        <v>0</v>
      </c>
      <c r="M229" s="380">
        <f t="shared" si="113"/>
        <v>0</v>
      </c>
      <c r="N229" s="380">
        <f t="shared" si="113"/>
        <v>0</v>
      </c>
      <c r="O229" s="380">
        <f t="shared" si="113"/>
        <v>0</v>
      </c>
      <c r="P229" s="380">
        <f t="shared" si="113"/>
        <v>0</v>
      </c>
      <c r="Q229" s="380">
        <f t="shared" si="113"/>
        <v>0</v>
      </c>
      <c r="R229" s="380">
        <f t="shared" si="113"/>
        <v>0</v>
      </c>
      <c r="S229" s="380">
        <f t="shared" si="113"/>
        <v>0</v>
      </c>
      <c r="T229" s="417">
        <f t="shared" si="104"/>
        <v>0</v>
      </c>
    </row>
    <row r="230" spans="2:20" x14ac:dyDescent="0.2">
      <c r="B230" s="308"/>
      <c r="C230" t="str">
        <f t="shared" si="107"/>
        <v>Payable Days for Insurance (Liability and Property)</v>
      </c>
      <c r="E230" s="453">
        <f>'Year 1'!E230</f>
        <v>12</v>
      </c>
      <c r="H230" s="379">
        <f t="shared" ref="H230:S230" si="114">H127*$E230/30</f>
        <v>0</v>
      </c>
      <c r="I230" s="380">
        <f t="shared" si="114"/>
        <v>0</v>
      </c>
      <c r="J230" s="380">
        <f t="shared" si="114"/>
        <v>0</v>
      </c>
      <c r="K230" s="380">
        <f t="shared" si="114"/>
        <v>0</v>
      </c>
      <c r="L230" s="380">
        <f t="shared" si="114"/>
        <v>0</v>
      </c>
      <c r="M230" s="380">
        <f t="shared" si="114"/>
        <v>0</v>
      </c>
      <c r="N230" s="380">
        <f t="shared" si="114"/>
        <v>0</v>
      </c>
      <c r="O230" s="380">
        <f t="shared" si="114"/>
        <v>0</v>
      </c>
      <c r="P230" s="380">
        <f t="shared" si="114"/>
        <v>0</v>
      </c>
      <c r="Q230" s="380">
        <f t="shared" si="114"/>
        <v>0</v>
      </c>
      <c r="R230" s="380">
        <f t="shared" si="114"/>
        <v>0</v>
      </c>
      <c r="S230" s="380">
        <f t="shared" si="114"/>
        <v>0</v>
      </c>
      <c r="T230" s="417">
        <f t="shared" si="104"/>
        <v>0</v>
      </c>
    </row>
    <row r="231" spans="2:20" x14ac:dyDescent="0.2">
      <c r="B231" s="308"/>
      <c r="C231" t="str">
        <f t="shared" si="107"/>
        <v>Payable Days for Licenses/Fees/Permits</v>
      </c>
      <c r="E231" s="453">
        <f>'Year 1'!E231</f>
        <v>12</v>
      </c>
      <c r="H231" s="379">
        <f t="shared" ref="H231:S231" si="115">H128*$E231/30</f>
        <v>0</v>
      </c>
      <c r="I231" s="380">
        <f t="shared" si="115"/>
        <v>0</v>
      </c>
      <c r="J231" s="380">
        <f t="shared" si="115"/>
        <v>0</v>
      </c>
      <c r="K231" s="380">
        <f t="shared" si="115"/>
        <v>0</v>
      </c>
      <c r="L231" s="380">
        <f t="shared" si="115"/>
        <v>0</v>
      </c>
      <c r="M231" s="380">
        <f t="shared" si="115"/>
        <v>0</v>
      </c>
      <c r="N231" s="380">
        <f t="shared" si="115"/>
        <v>0</v>
      </c>
      <c r="O231" s="380">
        <f t="shared" si="115"/>
        <v>0</v>
      </c>
      <c r="P231" s="380">
        <f t="shared" si="115"/>
        <v>0</v>
      </c>
      <c r="Q231" s="380">
        <f t="shared" si="115"/>
        <v>0</v>
      </c>
      <c r="R231" s="380">
        <f t="shared" si="115"/>
        <v>0</v>
      </c>
      <c r="S231" s="380">
        <f t="shared" si="115"/>
        <v>0</v>
      </c>
      <c r="T231" s="417">
        <f t="shared" si="104"/>
        <v>0</v>
      </c>
    </row>
    <row r="232" spans="2:20" x14ac:dyDescent="0.2">
      <c r="B232" s="308"/>
      <c r="C232" t="str">
        <f t="shared" si="107"/>
        <v>Payable Days for Legal and Professional Fees</v>
      </c>
      <c r="E232" s="453">
        <f>'Year 1'!E232</f>
        <v>12</v>
      </c>
      <c r="H232" s="379">
        <f t="shared" ref="H232:S232" si="116">H129*$E232/30</f>
        <v>0</v>
      </c>
      <c r="I232" s="380">
        <f t="shared" si="116"/>
        <v>0</v>
      </c>
      <c r="J232" s="380">
        <f t="shared" si="116"/>
        <v>0</v>
      </c>
      <c r="K232" s="380">
        <f t="shared" si="116"/>
        <v>0</v>
      </c>
      <c r="L232" s="380">
        <f t="shared" si="116"/>
        <v>0</v>
      </c>
      <c r="M232" s="380">
        <f t="shared" si="116"/>
        <v>0</v>
      </c>
      <c r="N232" s="380">
        <f t="shared" si="116"/>
        <v>0</v>
      </c>
      <c r="O232" s="380">
        <f t="shared" si="116"/>
        <v>0</v>
      </c>
      <c r="P232" s="380">
        <f t="shared" si="116"/>
        <v>0</v>
      </c>
      <c r="Q232" s="380">
        <f t="shared" si="116"/>
        <v>0</v>
      </c>
      <c r="R232" s="380">
        <f t="shared" si="116"/>
        <v>0</v>
      </c>
      <c r="S232" s="380">
        <f t="shared" si="116"/>
        <v>0</v>
      </c>
      <c r="T232" s="417">
        <f t="shared" si="104"/>
        <v>0</v>
      </c>
    </row>
    <row r="233" spans="2:20" x14ac:dyDescent="0.2">
      <c r="B233" s="308"/>
      <c r="C233" t="str">
        <f t="shared" si="107"/>
        <v>Payable Days for Office Expenses &amp; Supplies</v>
      </c>
      <c r="E233" s="453">
        <f>'Year 1'!E233</f>
        <v>12</v>
      </c>
      <c r="H233" s="379">
        <f t="shared" ref="H233:S233" si="117">H130*$E233/30</f>
        <v>0</v>
      </c>
      <c r="I233" s="380">
        <f t="shared" si="117"/>
        <v>0</v>
      </c>
      <c r="J233" s="380">
        <f t="shared" si="117"/>
        <v>0</v>
      </c>
      <c r="K233" s="380">
        <f t="shared" si="117"/>
        <v>0</v>
      </c>
      <c r="L233" s="380">
        <f t="shared" si="117"/>
        <v>0</v>
      </c>
      <c r="M233" s="380">
        <f t="shared" si="117"/>
        <v>0</v>
      </c>
      <c r="N233" s="380">
        <f t="shared" si="117"/>
        <v>0</v>
      </c>
      <c r="O233" s="380">
        <f t="shared" si="117"/>
        <v>0</v>
      </c>
      <c r="P233" s="380">
        <f t="shared" si="117"/>
        <v>0</v>
      </c>
      <c r="Q233" s="380">
        <f t="shared" si="117"/>
        <v>0</v>
      </c>
      <c r="R233" s="380">
        <f t="shared" si="117"/>
        <v>0</v>
      </c>
      <c r="S233" s="380">
        <f t="shared" si="117"/>
        <v>0</v>
      </c>
      <c r="T233" s="417">
        <f t="shared" si="104"/>
        <v>0</v>
      </c>
    </row>
    <row r="234" spans="2:20" x14ac:dyDescent="0.2">
      <c r="B234" s="308"/>
      <c r="C234" t="str">
        <f t="shared" si="107"/>
        <v>Payable Days for Postage and Delivery</v>
      </c>
      <c r="E234" s="453">
        <f>'Year 1'!E234</f>
        <v>12</v>
      </c>
      <c r="H234" s="379">
        <f t="shared" ref="H234:S234" si="118">H131*$E234/30</f>
        <v>80</v>
      </c>
      <c r="I234" s="380">
        <f t="shared" si="118"/>
        <v>80</v>
      </c>
      <c r="J234" s="380">
        <f t="shared" si="118"/>
        <v>80</v>
      </c>
      <c r="K234" s="380">
        <f t="shared" si="118"/>
        <v>80</v>
      </c>
      <c r="L234" s="380">
        <f t="shared" si="118"/>
        <v>80</v>
      </c>
      <c r="M234" s="380">
        <f t="shared" si="118"/>
        <v>80</v>
      </c>
      <c r="N234" s="380">
        <f t="shared" si="118"/>
        <v>80</v>
      </c>
      <c r="O234" s="380">
        <f t="shared" si="118"/>
        <v>80</v>
      </c>
      <c r="P234" s="380">
        <f t="shared" si="118"/>
        <v>80</v>
      </c>
      <c r="Q234" s="380">
        <f t="shared" si="118"/>
        <v>80</v>
      </c>
      <c r="R234" s="380">
        <f t="shared" si="118"/>
        <v>80</v>
      </c>
      <c r="S234" s="380">
        <f t="shared" si="118"/>
        <v>80</v>
      </c>
      <c r="T234" s="417">
        <f t="shared" si="104"/>
        <v>960</v>
      </c>
    </row>
    <row r="235" spans="2:20" x14ac:dyDescent="0.2">
      <c r="B235" s="308"/>
      <c r="C235" t="str">
        <f t="shared" si="107"/>
        <v>Payable Days for Rent (on business property)</v>
      </c>
      <c r="E235" s="453">
        <f>'Year 1'!E235</f>
        <v>12</v>
      </c>
      <c r="H235" s="379">
        <f t="shared" ref="H235:S235" si="119">H132*$E235/30</f>
        <v>1200</v>
      </c>
      <c r="I235" s="380">
        <f t="shared" si="119"/>
        <v>1200</v>
      </c>
      <c r="J235" s="380">
        <f t="shared" si="119"/>
        <v>1200</v>
      </c>
      <c r="K235" s="380">
        <f t="shared" si="119"/>
        <v>1200</v>
      </c>
      <c r="L235" s="380">
        <f t="shared" si="119"/>
        <v>1200</v>
      </c>
      <c r="M235" s="380">
        <f t="shared" si="119"/>
        <v>1200</v>
      </c>
      <c r="N235" s="380">
        <f t="shared" si="119"/>
        <v>1200</v>
      </c>
      <c r="O235" s="380">
        <f t="shared" si="119"/>
        <v>1200</v>
      </c>
      <c r="P235" s="380">
        <f t="shared" si="119"/>
        <v>1200</v>
      </c>
      <c r="Q235" s="380">
        <f t="shared" si="119"/>
        <v>1200</v>
      </c>
      <c r="R235" s="380">
        <f t="shared" si="119"/>
        <v>1200</v>
      </c>
      <c r="S235" s="380">
        <f t="shared" si="119"/>
        <v>1200</v>
      </c>
      <c r="T235" s="417">
        <f t="shared" si="104"/>
        <v>14400</v>
      </c>
    </row>
    <row r="236" spans="2:20" x14ac:dyDescent="0.2">
      <c r="B236" s="308"/>
      <c r="C236" t="str">
        <f t="shared" si="107"/>
        <v>Payable Days for Rent of Vehicles and Equipment</v>
      </c>
      <c r="E236" s="453">
        <f>'Year 1'!E236</f>
        <v>12</v>
      </c>
      <c r="H236" s="379">
        <f t="shared" ref="H236:S236" si="120">H133*$E236/30</f>
        <v>296</v>
      </c>
      <c r="I236" s="380">
        <f t="shared" si="120"/>
        <v>296</v>
      </c>
      <c r="J236" s="380">
        <f t="shared" si="120"/>
        <v>296</v>
      </c>
      <c r="K236" s="380">
        <f t="shared" si="120"/>
        <v>296</v>
      </c>
      <c r="L236" s="380">
        <f t="shared" si="120"/>
        <v>296</v>
      </c>
      <c r="M236" s="380">
        <f t="shared" si="120"/>
        <v>296</v>
      </c>
      <c r="N236" s="380">
        <f t="shared" si="120"/>
        <v>296</v>
      </c>
      <c r="O236" s="380">
        <f t="shared" si="120"/>
        <v>296</v>
      </c>
      <c r="P236" s="380">
        <f t="shared" si="120"/>
        <v>296</v>
      </c>
      <c r="Q236" s="380">
        <f t="shared" si="120"/>
        <v>296</v>
      </c>
      <c r="R236" s="380">
        <f t="shared" si="120"/>
        <v>296</v>
      </c>
      <c r="S236" s="380">
        <f t="shared" si="120"/>
        <v>296</v>
      </c>
      <c r="T236" s="417">
        <f t="shared" si="104"/>
        <v>3552</v>
      </c>
    </row>
    <row r="237" spans="2:20" x14ac:dyDescent="0.2">
      <c r="B237" s="308"/>
      <c r="C237" t="str">
        <f t="shared" si="107"/>
        <v>Payable Days for Taxes-Other</v>
      </c>
      <c r="E237" s="453">
        <f>'Year 1'!E237</f>
        <v>12</v>
      </c>
      <c r="H237" s="379">
        <f t="shared" ref="H237:S237" si="121">H134*$E237/30</f>
        <v>0</v>
      </c>
      <c r="I237" s="380">
        <f t="shared" si="121"/>
        <v>0</v>
      </c>
      <c r="J237" s="380">
        <f t="shared" si="121"/>
        <v>0</v>
      </c>
      <c r="K237" s="380">
        <f t="shared" si="121"/>
        <v>0</v>
      </c>
      <c r="L237" s="380">
        <f t="shared" si="121"/>
        <v>0</v>
      </c>
      <c r="M237" s="380">
        <f t="shared" si="121"/>
        <v>0</v>
      </c>
      <c r="N237" s="380">
        <f t="shared" si="121"/>
        <v>0</v>
      </c>
      <c r="O237" s="380">
        <f t="shared" si="121"/>
        <v>0</v>
      </c>
      <c r="P237" s="380">
        <f t="shared" si="121"/>
        <v>0</v>
      </c>
      <c r="Q237" s="380">
        <f t="shared" si="121"/>
        <v>0</v>
      </c>
      <c r="R237" s="380">
        <f t="shared" si="121"/>
        <v>0</v>
      </c>
      <c r="S237" s="380">
        <f t="shared" si="121"/>
        <v>0</v>
      </c>
      <c r="T237" s="417">
        <f t="shared" si="104"/>
        <v>0</v>
      </c>
    </row>
    <row r="238" spans="2:20" x14ac:dyDescent="0.2">
      <c r="B238" s="308"/>
      <c r="C238" t="str">
        <f t="shared" si="107"/>
        <v>Payable Days for Telephone and Communications</v>
      </c>
      <c r="E238" s="453">
        <f>'Year 1'!E238</f>
        <v>12</v>
      </c>
      <c r="H238" s="379">
        <f t="shared" ref="H238:S238" si="122">H135*$E238/30</f>
        <v>0</v>
      </c>
      <c r="I238" s="380">
        <f t="shared" si="122"/>
        <v>0</v>
      </c>
      <c r="J238" s="380">
        <f t="shared" si="122"/>
        <v>0</v>
      </c>
      <c r="K238" s="380">
        <f t="shared" si="122"/>
        <v>0</v>
      </c>
      <c r="L238" s="380">
        <f t="shared" si="122"/>
        <v>0</v>
      </c>
      <c r="M238" s="380">
        <f t="shared" si="122"/>
        <v>0</v>
      </c>
      <c r="N238" s="380">
        <f t="shared" si="122"/>
        <v>0</v>
      </c>
      <c r="O238" s="380">
        <f t="shared" si="122"/>
        <v>0</v>
      </c>
      <c r="P238" s="380">
        <f t="shared" si="122"/>
        <v>0</v>
      </c>
      <c r="Q238" s="380">
        <f t="shared" si="122"/>
        <v>0</v>
      </c>
      <c r="R238" s="380">
        <f t="shared" si="122"/>
        <v>0</v>
      </c>
      <c r="S238" s="380">
        <f t="shared" si="122"/>
        <v>0</v>
      </c>
      <c r="T238" s="417">
        <f t="shared" si="104"/>
        <v>0</v>
      </c>
    </row>
    <row r="239" spans="2:20" x14ac:dyDescent="0.2">
      <c r="B239" s="308"/>
      <c r="C239" t="str">
        <f t="shared" si="107"/>
        <v>Payable Days for Travel</v>
      </c>
      <c r="E239" s="453">
        <f>'Year 1'!E239</f>
        <v>12</v>
      </c>
      <c r="H239" s="379">
        <f t="shared" ref="H239:S239" si="123">H136*$E239/30</f>
        <v>0</v>
      </c>
      <c r="I239" s="380">
        <f t="shared" si="123"/>
        <v>0</v>
      </c>
      <c r="J239" s="380">
        <f t="shared" si="123"/>
        <v>0</v>
      </c>
      <c r="K239" s="380">
        <f t="shared" si="123"/>
        <v>0</v>
      </c>
      <c r="L239" s="380">
        <f t="shared" si="123"/>
        <v>0</v>
      </c>
      <c r="M239" s="380">
        <f t="shared" si="123"/>
        <v>0</v>
      </c>
      <c r="N239" s="380">
        <f t="shared" si="123"/>
        <v>0</v>
      </c>
      <c r="O239" s="380">
        <f t="shared" si="123"/>
        <v>0</v>
      </c>
      <c r="P239" s="380">
        <f t="shared" si="123"/>
        <v>0</v>
      </c>
      <c r="Q239" s="380">
        <f t="shared" si="123"/>
        <v>0</v>
      </c>
      <c r="R239" s="380">
        <f t="shared" si="123"/>
        <v>0</v>
      </c>
      <c r="S239" s="380">
        <f t="shared" si="123"/>
        <v>0</v>
      </c>
      <c r="T239" s="417">
        <f t="shared" si="104"/>
        <v>0</v>
      </c>
    </row>
    <row r="240" spans="2:20" x14ac:dyDescent="0.2">
      <c r="B240" s="308"/>
      <c r="C240" t="str">
        <f t="shared" si="107"/>
        <v>Payable Days for IT services (infrastructure, security etc)</v>
      </c>
      <c r="E240" s="453">
        <f>'Year 1'!E240</f>
        <v>12</v>
      </c>
      <c r="H240" s="379">
        <f t="shared" ref="H240:S240" si="124">H137*$E240/30</f>
        <v>0</v>
      </c>
      <c r="I240" s="380">
        <f t="shared" si="124"/>
        <v>0</v>
      </c>
      <c r="J240" s="380">
        <f t="shared" si="124"/>
        <v>0</v>
      </c>
      <c r="K240" s="380">
        <f t="shared" si="124"/>
        <v>0</v>
      </c>
      <c r="L240" s="380">
        <f t="shared" si="124"/>
        <v>0</v>
      </c>
      <c r="M240" s="380">
        <f t="shared" si="124"/>
        <v>0</v>
      </c>
      <c r="N240" s="380">
        <f t="shared" si="124"/>
        <v>0</v>
      </c>
      <c r="O240" s="380">
        <f t="shared" si="124"/>
        <v>0</v>
      </c>
      <c r="P240" s="380">
        <f t="shared" si="124"/>
        <v>0</v>
      </c>
      <c r="Q240" s="380">
        <f t="shared" si="124"/>
        <v>0</v>
      </c>
      <c r="R240" s="380">
        <f t="shared" si="124"/>
        <v>0</v>
      </c>
      <c r="S240" s="380">
        <f t="shared" si="124"/>
        <v>0</v>
      </c>
      <c r="T240" s="417">
        <f t="shared" si="104"/>
        <v>0</v>
      </c>
    </row>
    <row r="241" spans="2:20" x14ac:dyDescent="0.2">
      <c r="B241" s="308"/>
      <c r="C241" t="str">
        <f t="shared" si="107"/>
        <v>Payable Days for Utilities</v>
      </c>
      <c r="E241" s="453">
        <f>'Year 1'!E241</f>
        <v>12</v>
      </c>
      <c r="H241" s="379">
        <f t="shared" ref="H241:S241" si="125">H138*$E241/30</f>
        <v>60</v>
      </c>
      <c r="I241" s="380">
        <f t="shared" si="125"/>
        <v>60</v>
      </c>
      <c r="J241" s="380">
        <f t="shared" si="125"/>
        <v>60</v>
      </c>
      <c r="K241" s="380">
        <f t="shared" si="125"/>
        <v>60</v>
      </c>
      <c r="L241" s="380">
        <f t="shared" si="125"/>
        <v>60</v>
      </c>
      <c r="M241" s="380">
        <f t="shared" si="125"/>
        <v>60</v>
      </c>
      <c r="N241" s="380">
        <f t="shared" si="125"/>
        <v>60</v>
      </c>
      <c r="O241" s="380">
        <f t="shared" si="125"/>
        <v>60</v>
      </c>
      <c r="P241" s="380">
        <f t="shared" si="125"/>
        <v>60</v>
      </c>
      <c r="Q241" s="380">
        <f t="shared" si="125"/>
        <v>60</v>
      </c>
      <c r="R241" s="380">
        <f t="shared" si="125"/>
        <v>60</v>
      </c>
      <c r="S241" s="380">
        <f t="shared" si="125"/>
        <v>60</v>
      </c>
      <c r="T241" s="417">
        <f t="shared" si="104"/>
        <v>720</v>
      </c>
    </row>
    <row r="242" spans="2:20" x14ac:dyDescent="0.2">
      <c r="B242" s="308"/>
      <c r="C242" t="str">
        <f t="shared" si="107"/>
        <v>Payable Days for Others</v>
      </c>
      <c r="E242" s="453">
        <f>'Year 1'!E242</f>
        <v>12</v>
      </c>
      <c r="H242" s="379">
        <f t="shared" ref="H242:S242" si="126">H139*$E242/30</f>
        <v>0</v>
      </c>
      <c r="I242" s="380">
        <f t="shared" si="126"/>
        <v>0</v>
      </c>
      <c r="J242" s="380">
        <f t="shared" si="126"/>
        <v>0</v>
      </c>
      <c r="K242" s="380">
        <f t="shared" si="126"/>
        <v>0</v>
      </c>
      <c r="L242" s="380">
        <f t="shared" si="126"/>
        <v>0</v>
      </c>
      <c r="M242" s="380">
        <f t="shared" si="126"/>
        <v>0</v>
      </c>
      <c r="N242" s="380">
        <f t="shared" si="126"/>
        <v>0</v>
      </c>
      <c r="O242" s="380">
        <f t="shared" si="126"/>
        <v>0</v>
      </c>
      <c r="P242" s="380">
        <f t="shared" si="126"/>
        <v>0</v>
      </c>
      <c r="Q242" s="380">
        <f t="shared" si="126"/>
        <v>0</v>
      </c>
      <c r="R242" s="380">
        <f t="shared" si="126"/>
        <v>0</v>
      </c>
      <c r="S242" s="380">
        <f t="shared" si="126"/>
        <v>0</v>
      </c>
      <c r="T242" s="417">
        <f t="shared" si="104"/>
        <v>0</v>
      </c>
    </row>
    <row r="243" spans="2:20" x14ac:dyDescent="0.2">
      <c r="B243" s="308"/>
      <c r="C243" t="str">
        <f>"Payable Days for "&amp;$B86</f>
        <v>Payable Days for Employee Wages</v>
      </c>
      <c r="E243" s="453">
        <f>'Year 1'!E243</f>
        <v>30</v>
      </c>
      <c r="H243" s="379">
        <f t="shared" ref="H243:S243" si="127">H$102*$E243/30</f>
        <v>25264</v>
      </c>
      <c r="I243" s="380">
        <f t="shared" si="127"/>
        <v>25264</v>
      </c>
      <c r="J243" s="380">
        <f t="shared" si="127"/>
        <v>25264</v>
      </c>
      <c r="K243" s="380">
        <f t="shared" si="127"/>
        <v>25264</v>
      </c>
      <c r="L243" s="380">
        <f t="shared" si="127"/>
        <v>25264</v>
      </c>
      <c r="M243" s="380">
        <f t="shared" si="127"/>
        <v>25264</v>
      </c>
      <c r="N243" s="380">
        <f t="shared" si="127"/>
        <v>25264</v>
      </c>
      <c r="O243" s="380">
        <f t="shared" si="127"/>
        <v>25264</v>
      </c>
      <c r="P243" s="380">
        <f t="shared" si="127"/>
        <v>25264</v>
      </c>
      <c r="Q243" s="380">
        <f t="shared" si="127"/>
        <v>25264</v>
      </c>
      <c r="R243" s="380">
        <f t="shared" si="127"/>
        <v>25264</v>
      </c>
      <c r="S243" s="380">
        <f t="shared" si="127"/>
        <v>25264</v>
      </c>
      <c r="T243" s="417">
        <f t="shared" si="104"/>
        <v>303168</v>
      </c>
    </row>
    <row r="244" spans="2:20" x14ac:dyDescent="0.2">
      <c r="B244" s="308"/>
      <c r="C244" t="str">
        <f>"Payable Days for "&amp;$B104</f>
        <v>Payable Days for Payroll Taxes and Benefits</v>
      </c>
      <c r="E244" s="453">
        <f>'Year 1'!E244</f>
        <v>60</v>
      </c>
      <c r="H244" s="379">
        <f t="shared" ref="H244:S244" si="128">H$113*$E244/30</f>
        <v>16649.696</v>
      </c>
      <c r="I244" s="380">
        <f t="shared" si="128"/>
        <v>16649.696</v>
      </c>
      <c r="J244" s="380">
        <f t="shared" si="128"/>
        <v>16649.696</v>
      </c>
      <c r="K244" s="380">
        <f t="shared" si="128"/>
        <v>16649.696</v>
      </c>
      <c r="L244" s="380">
        <f t="shared" si="128"/>
        <v>16649.696</v>
      </c>
      <c r="M244" s="380">
        <f t="shared" si="128"/>
        <v>16649.696</v>
      </c>
      <c r="N244" s="380">
        <f t="shared" si="128"/>
        <v>16649.696</v>
      </c>
      <c r="O244" s="380">
        <f t="shared" si="128"/>
        <v>16649.696</v>
      </c>
      <c r="P244" s="380">
        <f t="shared" si="128"/>
        <v>16649.696</v>
      </c>
      <c r="Q244" s="380">
        <f t="shared" si="128"/>
        <v>16649.696</v>
      </c>
      <c r="R244" s="380">
        <f t="shared" si="128"/>
        <v>16649.696</v>
      </c>
      <c r="S244" s="380">
        <f t="shared" si="128"/>
        <v>16649.696</v>
      </c>
      <c r="T244" s="417">
        <f t="shared" si="104"/>
        <v>199796.35199999998</v>
      </c>
    </row>
    <row r="245" spans="2:20" ht="17" thickBot="1" x14ac:dyDescent="0.25">
      <c r="B245" s="308"/>
      <c r="C245" t="str">
        <f>"Payable Days for "&amp;$C159</f>
        <v xml:space="preserve">Payable Days for </v>
      </c>
      <c r="E245" s="453">
        <f>'Year 1'!E245</f>
        <v>90</v>
      </c>
      <c r="H245" s="379">
        <f t="shared" ref="H245:S245" si="129">H$166*$E245/30</f>
        <v>625</v>
      </c>
      <c r="I245" s="380">
        <f t="shared" si="129"/>
        <v>583.33333333333326</v>
      </c>
      <c r="J245" s="380">
        <f t="shared" si="129"/>
        <v>541.66666666666663</v>
      </c>
      <c r="K245" s="380">
        <f t="shared" si="129"/>
        <v>500.00000000000006</v>
      </c>
      <c r="L245" s="380">
        <f t="shared" si="129"/>
        <v>458.33333333333314</v>
      </c>
      <c r="M245" s="380">
        <f t="shared" si="129"/>
        <v>416.66666666666657</v>
      </c>
      <c r="N245" s="380">
        <f t="shared" si="129"/>
        <v>375.00000000000006</v>
      </c>
      <c r="O245" s="380">
        <f t="shared" si="129"/>
        <v>333.33333333333314</v>
      </c>
      <c r="P245" s="380">
        <f t="shared" si="129"/>
        <v>291.66666666666663</v>
      </c>
      <c r="Q245" s="380">
        <f t="shared" si="129"/>
        <v>250.00000000000003</v>
      </c>
      <c r="R245" s="380">
        <f t="shared" si="129"/>
        <v>208.33333333333314</v>
      </c>
      <c r="S245" s="380">
        <f t="shared" si="129"/>
        <v>166.66666666666657</v>
      </c>
      <c r="T245" s="417">
        <f t="shared" si="104"/>
        <v>4749.9999999999991</v>
      </c>
    </row>
    <row r="246" spans="2:20" ht="17" thickTop="1" x14ac:dyDescent="0.2">
      <c r="B246" s="418" t="s">
        <v>152</v>
      </c>
      <c r="C246" s="419"/>
      <c r="D246" s="419"/>
      <c r="E246" s="419"/>
      <c r="F246" s="419"/>
      <c r="G246" s="420"/>
      <c r="H246" s="421">
        <f>SUM(H216:H245)</f>
        <v>45138.3</v>
      </c>
      <c r="I246" s="422">
        <f t="shared" ref="I246:S246" si="130">SUM(I216:I245)</f>
        <v>45106.573333333341</v>
      </c>
      <c r="J246" s="422">
        <f t="shared" si="130"/>
        <v>45074.734666666664</v>
      </c>
      <c r="K246" s="422">
        <f t="shared" si="130"/>
        <v>45042.597333333339</v>
      </c>
      <c r="L246" s="422">
        <f t="shared" si="130"/>
        <v>45010.348000000005</v>
      </c>
      <c r="M246" s="422">
        <f t="shared" si="130"/>
        <v>44977.799999999996</v>
      </c>
      <c r="N246" s="422">
        <f t="shared" si="130"/>
        <v>44942.872000000003</v>
      </c>
      <c r="O246" s="422">
        <f t="shared" si="130"/>
        <v>44910.417333333338</v>
      </c>
      <c r="P246" s="422">
        <f t="shared" si="130"/>
        <v>44877.663999999997</v>
      </c>
      <c r="Q246" s="422">
        <f t="shared" si="130"/>
        <v>44845.004000000001</v>
      </c>
      <c r="R246" s="422">
        <f t="shared" si="130"/>
        <v>44812.250666666667</v>
      </c>
      <c r="S246" s="422">
        <f t="shared" si="130"/>
        <v>44780.010666666662</v>
      </c>
      <c r="T246" s="423">
        <f>SUM(H246:S246)</f>
        <v>539518.57200000004</v>
      </c>
    </row>
    <row r="247" spans="2:20" ht="17" thickBot="1" x14ac:dyDescent="0.25">
      <c r="B247" s="308"/>
      <c r="H247" s="367"/>
      <c r="I247" s="368"/>
      <c r="J247" s="368"/>
      <c r="K247" s="368"/>
      <c r="L247" s="368"/>
      <c r="M247" s="368"/>
      <c r="N247" s="368"/>
      <c r="O247" s="368"/>
      <c r="P247" s="368"/>
      <c r="Q247" s="368"/>
      <c r="R247" s="368"/>
      <c r="S247" s="368"/>
      <c r="T247" s="407"/>
    </row>
    <row r="248" spans="2:20" ht="17" thickTop="1" x14ac:dyDescent="0.2">
      <c r="B248" s="250" t="s">
        <v>41</v>
      </c>
      <c r="C248" s="237"/>
      <c r="D248" s="237"/>
      <c r="E248" s="237"/>
      <c r="F248" s="237"/>
      <c r="G248" s="237"/>
      <c r="H248" s="239">
        <f>H209+IF(H212="",H213,H212)-H246</f>
        <v>-21448.300000000003</v>
      </c>
      <c r="I248" s="240">
        <f t="shared" ref="I248:S248" si="131">I209+IF(I212="",I213,I212)-I246</f>
        <v>-20512.573333333341</v>
      </c>
      <c r="J248" s="240">
        <f t="shared" si="131"/>
        <v>-19587.734666666664</v>
      </c>
      <c r="K248" s="240">
        <f t="shared" si="131"/>
        <v>-18673.597333333339</v>
      </c>
      <c r="L248" s="240">
        <f t="shared" si="131"/>
        <v>-17770.348000000005</v>
      </c>
      <c r="M248" s="240">
        <f t="shared" si="131"/>
        <v>-16877.799999999996</v>
      </c>
      <c r="N248" s="240">
        <f t="shared" si="131"/>
        <v>-16213.872000000003</v>
      </c>
      <c r="O248" s="240">
        <f t="shared" si="131"/>
        <v>-15321.417333333338</v>
      </c>
      <c r="P248" s="240">
        <f t="shared" si="131"/>
        <v>-14439.663999999997</v>
      </c>
      <c r="Q248" s="240">
        <f t="shared" si="131"/>
        <v>-13558.004000000001</v>
      </c>
      <c r="R248" s="240">
        <f t="shared" si="131"/>
        <v>-12676.250666666667</v>
      </c>
      <c r="S248" s="240">
        <f t="shared" si="131"/>
        <v>-11750.010666666662</v>
      </c>
      <c r="T248" s="251">
        <f>SUM(H248:S248)</f>
        <v>-198829.57199999999</v>
      </c>
    </row>
    <row r="249" spans="2:20" x14ac:dyDescent="0.2">
      <c r="H249" s="367"/>
      <c r="I249" s="368"/>
      <c r="J249" s="368"/>
      <c r="K249" s="368"/>
      <c r="L249" s="368"/>
      <c r="M249" s="368"/>
      <c r="N249" s="368"/>
      <c r="O249" s="368"/>
      <c r="P249" s="368"/>
      <c r="Q249" s="368"/>
      <c r="R249" s="368"/>
      <c r="S249" s="368"/>
      <c r="T249" s="381"/>
    </row>
    <row r="250" spans="2:20" ht="20" x14ac:dyDescent="0.2">
      <c r="B250" s="116" t="s">
        <v>52</v>
      </c>
      <c r="C250" s="327"/>
      <c r="D250" s="327"/>
      <c r="E250" s="327" t="str">
        <f>$E$3</f>
        <v>Year 2 (2021)</v>
      </c>
      <c r="F250" s="327"/>
      <c r="G250" s="327"/>
      <c r="H250" s="360" t="s">
        <v>127</v>
      </c>
      <c r="I250" s="361" t="s">
        <v>128</v>
      </c>
      <c r="J250" s="361" t="s">
        <v>129</v>
      </c>
      <c r="K250" s="361" t="s">
        <v>130</v>
      </c>
      <c r="L250" s="361" t="s">
        <v>131</v>
      </c>
      <c r="M250" s="361" t="s">
        <v>132</v>
      </c>
      <c r="N250" s="361" t="s">
        <v>133</v>
      </c>
      <c r="O250" s="361" t="s">
        <v>134</v>
      </c>
      <c r="P250" s="361" t="s">
        <v>135</v>
      </c>
      <c r="Q250" s="361" t="s">
        <v>136</v>
      </c>
      <c r="R250" s="361" t="s">
        <v>137</v>
      </c>
      <c r="S250" s="361" t="s">
        <v>138</v>
      </c>
      <c r="T250" s="362" t="s">
        <v>179</v>
      </c>
    </row>
    <row r="251" spans="2:20" x14ac:dyDescent="0.2">
      <c r="B251" s="401"/>
      <c r="C251" s="402"/>
      <c r="D251" s="402"/>
      <c r="E251" s="402"/>
      <c r="F251" s="402"/>
      <c r="G251" s="403" t="s">
        <v>57</v>
      </c>
      <c r="H251" s="363">
        <f>H$4</f>
        <v>13</v>
      </c>
      <c r="I251" s="364">
        <f t="shared" ref="I251:S251" si="132">I$4</f>
        <v>14</v>
      </c>
      <c r="J251" s="364">
        <f t="shared" si="132"/>
        <v>15</v>
      </c>
      <c r="K251" s="364">
        <f t="shared" si="132"/>
        <v>16</v>
      </c>
      <c r="L251" s="364">
        <f t="shared" si="132"/>
        <v>17</v>
      </c>
      <c r="M251" s="364">
        <f t="shared" si="132"/>
        <v>18</v>
      </c>
      <c r="N251" s="364">
        <f t="shared" si="132"/>
        <v>19</v>
      </c>
      <c r="O251" s="364">
        <f t="shared" si="132"/>
        <v>20</v>
      </c>
      <c r="P251" s="364">
        <f t="shared" si="132"/>
        <v>21</v>
      </c>
      <c r="Q251" s="364">
        <f t="shared" si="132"/>
        <v>22</v>
      </c>
      <c r="R251" s="364">
        <f t="shared" si="132"/>
        <v>23</v>
      </c>
      <c r="S251" s="364">
        <f t="shared" si="132"/>
        <v>24</v>
      </c>
      <c r="T251" s="405" t="str">
        <f>"Total for " &amp; $E$3</f>
        <v>Total for Year 2 (2021)</v>
      </c>
    </row>
    <row r="252" spans="2:20" x14ac:dyDescent="0.2">
      <c r="B252" s="307" t="s">
        <v>146</v>
      </c>
      <c r="G252" s="15"/>
      <c r="H252" s="398"/>
      <c r="I252" s="399"/>
      <c r="J252" s="399"/>
      <c r="K252" s="399"/>
      <c r="L252" s="399"/>
      <c r="M252" s="399"/>
      <c r="N252" s="399"/>
      <c r="O252" s="399"/>
      <c r="P252" s="399"/>
      <c r="Q252" s="399"/>
      <c r="R252" s="399"/>
      <c r="S252" s="399"/>
      <c r="T252" s="432"/>
    </row>
    <row r="253" spans="2:20" x14ac:dyDescent="0.2">
      <c r="B253" s="308"/>
      <c r="C253" t="s">
        <v>23</v>
      </c>
      <c r="D253" s="5"/>
      <c r="E253" s="7"/>
      <c r="F253" s="7"/>
      <c r="G253" s="5"/>
      <c r="H253" s="379">
        <f>H$183</f>
        <v>-22181.275999999998</v>
      </c>
      <c r="I253" s="380">
        <f t="shared" ref="I253:S253" si="133">I$183</f>
        <v>-21465.400444444447</v>
      </c>
      <c r="J253" s="380">
        <f t="shared" si="133"/>
        <v>-21738.857555555551</v>
      </c>
      <c r="K253" s="380">
        <f t="shared" si="133"/>
        <v>-20065.050666666666</v>
      </c>
      <c r="L253" s="380">
        <f>L$183</f>
        <v>-19374.009777777781</v>
      </c>
      <c r="M253" s="380">
        <f t="shared" si="133"/>
        <v>-18701.438222222216</v>
      </c>
      <c r="N253" s="380">
        <f t="shared" si="133"/>
        <v>-18213.420000000002</v>
      </c>
      <c r="O253" s="380">
        <f t="shared" si="133"/>
        <v>-17526.455111111107</v>
      </c>
      <c r="P253" s="380">
        <f t="shared" si="133"/>
        <v>-16862.026222222219</v>
      </c>
      <c r="Q253" s="380">
        <f t="shared" si="133"/>
        <v>-16189.937333333335</v>
      </c>
      <c r="R253" s="380">
        <f t="shared" si="133"/>
        <v>-15525.341777777781</v>
      </c>
      <c r="S253" s="380">
        <f t="shared" si="133"/>
        <v>-14801.379555555552</v>
      </c>
      <c r="T253" s="417">
        <f t="shared" ref="T253:T257" si="134">SUM(H253:S253)</f>
        <v>-222644.59266666669</v>
      </c>
    </row>
    <row r="254" spans="2:20" x14ac:dyDescent="0.2">
      <c r="B254" s="308"/>
      <c r="C254" t="s">
        <v>147</v>
      </c>
      <c r="D254" s="5"/>
      <c r="E254" s="7"/>
      <c r="F254" s="7"/>
      <c r="G254" s="5"/>
      <c r="H254" s="379">
        <f>H$155</f>
        <v>4.166666666666667</v>
      </c>
      <c r="I254" s="380">
        <f t="shared" ref="I254:S254" si="135">I$155</f>
        <v>0</v>
      </c>
      <c r="J254" s="380">
        <f t="shared" si="135"/>
        <v>1</v>
      </c>
      <c r="K254" s="380">
        <f t="shared" si="135"/>
        <v>0</v>
      </c>
      <c r="L254" s="380">
        <f t="shared" si="135"/>
        <v>0</v>
      </c>
      <c r="M254" s="380">
        <f t="shared" si="135"/>
        <v>0.83333333333333337</v>
      </c>
      <c r="N254" s="380">
        <f t="shared" si="135"/>
        <v>2.5</v>
      </c>
      <c r="O254" s="380">
        <f t="shared" si="135"/>
        <v>0</v>
      </c>
      <c r="P254" s="380">
        <f t="shared" si="135"/>
        <v>0</v>
      </c>
      <c r="Q254" s="380">
        <f t="shared" si="135"/>
        <v>1</v>
      </c>
      <c r="R254" s="380">
        <f t="shared" si="135"/>
        <v>0.83333333333333337</v>
      </c>
      <c r="S254" s="380">
        <f t="shared" si="135"/>
        <v>0</v>
      </c>
      <c r="T254" s="417">
        <f t="shared" si="134"/>
        <v>10.333333333333334</v>
      </c>
    </row>
    <row r="255" spans="2:20" x14ac:dyDescent="0.2">
      <c r="B255" s="308"/>
      <c r="C255" t="s">
        <v>153</v>
      </c>
      <c r="D255" s="5"/>
      <c r="E255" s="7"/>
      <c r="F255" s="7"/>
      <c r="G255" s="5"/>
      <c r="H255" s="379">
        <f>H246-G246</f>
        <v>45138.3</v>
      </c>
      <c r="I255" s="380">
        <f t="shared" ref="I255:S255" si="136">I246-H246</f>
        <v>-31.726666666661913</v>
      </c>
      <c r="J255" s="380">
        <f t="shared" si="136"/>
        <v>-31.838666666677454</v>
      </c>
      <c r="K255" s="380">
        <f t="shared" si="136"/>
        <v>-32.137333333324932</v>
      </c>
      <c r="L255" s="380">
        <f t="shared" si="136"/>
        <v>-32.249333333333198</v>
      </c>
      <c r="M255" s="380">
        <f t="shared" si="136"/>
        <v>-32.548000000009779</v>
      </c>
      <c r="N255" s="380">
        <f t="shared" si="136"/>
        <v>-34.927999999992608</v>
      </c>
      <c r="O255" s="380">
        <f t="shared" si="136"/>
        <v>-32.454666666664707</v>
      </c>
      <c r="P255" s="380">
        <f t="shared" si="136"/>
        <v>-32.753333333341288</v>
      </c>
      <c r="Q255" s="380">
        <f t="shared" si="136"/>
        <v>-32.659999999996217</v>
      </c>
      <c r="R255" s="380">
        <f t="shared" si="136"/>
        <v>-32.753333333334012</v>
      </c>
      <c r="S255" s="380">
        <f t="shared" si="136"/>
        <v>-32.240000000005239</v>
      </c>
      <c r="T255" s="417">
        <f t="shared" si="134"/>
        <v>44780.010666666662</v>
      </c>
    </row>
    <row r="256" spans="2:20" ht="17" thickBot="1" x14ac:dyDescent="0.25">
      <c r="B256" s="308"/>
      <c r="C256" t="s">
        <v>148</v>
      </c>
      <c r="H256" s="379">
        <f>H200</f>
        <v>5000</v>
      </c>
      <c r="I256" s="380">
        <f t="shared" ref="I256:S256" si="137">I200</f>
        <v>0</v>
      </c>
      <c r="J256" s="380">
        <f t="shared" si="137"/>
        <v>1200</v>
      </c>
      <c r="K256" s="380">
        <f t="shared" si="137"/>
        <v>0</v>
      </c>
      <c r="L256" s="380">
        <f t="shared" si="137"/>
        <v>0</v>
      </c>
      <c r="M256" s="380">
        <f t="shared" si="137"/>
        <v>1000</v>
      </c>
      <c r="N256" s="380">
        <f t="shared" si="137"/>
        <v>3000</v>
      </c>
      <c r="O256" s="380">
        <f t="shared" si="137"/>
        <v>0</v>
      </c>
      <c r="P256" s="380">
        <f t="shared" si="137"/>
        <v>0</v>
      </c>
      <c r="Q256" s="380">
        <f t="shared" si="137"/>
        <v>1200</v>
      </c>
      <c r="R256" s="380">
        <f t="shared" si="137"/>
        <v>1000</v>
      </c>
      <c r="S256" s="380">
        <f t="shared" si="137"/>
        <v>0</v>
      </c>
      <c r="T256" s="417">
        <f t="shared" si="134"/>
        <v>12400</v>
      </c>
    </row>
    <row r="257" spans="2:20" ht="17" thickTop="1" x14ac:dyDescent="0.2">
      <c r="B257" s="250" t="s">
        <v>146</v>
      </c>
      <c r="C257" s="237"/>
      <c r="D257" s="237"/>
      <c r="E257" s="237"/>
      <c r="F257" s="237"/>
      <c r="G257" s="237"/>
      <c r="H257" s="167">
        <f>H253+H254+H255-H256</f>
        <v>17961.190666666673</v>
      </c>
      <c r="I257" s="167">
        <f t="shared" ref="I257:S257" si="138">I253+I254+I255-I256</f>
        <v>-21497.127111111109</v>
      </c>
      <c r="J257" s="167">
        <f t="shared" si="138"/>
        <v>-22969.696222222228</v>
      </c>
      <c r="K257" s="167">
        <f t="shared" si="138"/>
        <v>-20097.187999999991</v>
      </c>
      <c r="L257" s="167">
        <f t="shared" si="138"/>
        <v>-19406.259111111114</v>
      </c>
      <c r="M257" s="167">
        <f t="shared" si="138"/>
        <v>-19733.152888888893</v>
      </c>
      <c r="N257" s="167">
        <f t="shared" si="138"/>
        <v>-21245.847999999994</v>
      </c>
      <c r="O257" s="167">
        <f t="shared" si="138"/>
        <v>-17558.909777777772</v>
      </c>
      <c r="P257" s="167">
        <f t="shared" si="138"/>
        <v>-16894.77955555556</v>
      </c>
      <c r="Q257" s="167">
        <f t="shared" si="138"/>
        <v>-17421.597333333331</v>
      </c>
      <c r="R257" s="167">
        <f t="shared" si="138"/>
        <v>-16557.261777777781</v>
      </c>
      <c r="S257" s="167">
        <f t="shared" si="138"/>
        <v>-14833.619555555557</v>
      </c>
      <c r="T257" s="167">
        <f t="shared" si="134"/>
        <v>-190254.24866666662</v>
      </c>
    </row>
    <row r="258" spans="2:20" x14ac:dyDescent="0.2">
      <c r="B258" s="428"/>
      <c r="C258" s="5"/>
      <c r="D258" s="5"/>
      <c r="E258" s="7"/>
      <c r="F258" s="7"/>
      <c r="G258" s="5"/>
      <c r="H258" s="393"/>
      <c r="I258" s="394"/>
      <c r="J258" s="394"/>
      <c r="K258" s="394"/>
      <c r="L258" s="394"/>
      <c r="M258" s="394"/>
      <c r="N258" s="394"/>
      <c r="O258" s="394"/>
      <c r="P258" s="394"/>
      <c r="Q258" s="394"/>
      <c r="R258" s="394"/>
      <c r="S258" s="394"/>
      <c r="T258" s="430"/>
    </row>
    <row r="259" spans="2:20" x14ac:dyDescent="0.2">
      <c r="B259" s="307" t="s">
        <v>140</v>
      </c>
      <c r="G259" s="15"/>
      <c r="H259" s="398"/>
      <c r="I259" s="399"/>
      <c r="J259" s="399"/>
      <c r="K259" s="399"/>
      <c r="L259" s="399"/>
      <c r="M259" s="399"/>
      <c r="N259" s="399"/>
      <c r="O259" s="399"/>
      <c r="P259" s="399"/>
      <c r="Q259" s="399"/>
      <c r="R259" s="399"/>
      <c r="S259" s="399"/>
      <c r="T259" s="432"/>
    </row>
    <row r="260" spans="2:20" x14ac:dyDescent="0.2">
      <c r="B260" s="308"/>
      <c r="C260" s="24" t="s">
        <v>23</v>
      </c>
      <c r="D260" s="5"/>
      <c r="E260" s="7"/>
      <c r="F260" s="7"/>
      <c r="G260" s="5"/>
      <c r="H260" s="379">
        <f t="shared" ref="H260:T260" si="139">H183</f>
        <v>-22181.275999999998</v>
      </c>
      <c r="I260" s="380">
        <f t="shared" si="139"/>
        <v>-21465.400444444447</v>
      </c>
      <c r="J260" s="380">
        <f t="shared" si="139"/>
        <v>-21738.857555555551</v>
      </c>
      <c r="K260" s="380">
        <f t="shared" si="139"/>
        <v>-20065.050666666666</v>
      </c>
      <c r="L260" s="380">
        <f t="shared" si="139"/>
        <v>-19374.009777777781</v>
      </c>
      <c r="M260" s="380">
        <f t="shared" si="139"/>
        <v>-18701.438222222216</v>
      </c>
      <c r="N260" s="380">
        <f t="shared" si="139"/>
        <v>-18213.420000000002</v>
      </c>
      <c r="O260" s="380">
        <f t="shared" si="139"/>
        <v>-17526.455111111107</v>
      </c>
      <c r="P260" s="380">
        <f t="shared" si="139"/>
        <v>-16862.026222222219</v>
      </c>
      <c r="Q260" s="380">
        <f t="shared" si="139"/>
        <v>-16189.937333333335</v>
      </c>
      <c r="R260" s="380">
        <f t="shared" si="139"/>
        <v>-15525.341777777781</v>
      </c>
      <c r="S260" s="380">
        <f t="shared" si="139"/>
        <v>-14801.379555555552</v>
      </c>
      <c r="T260" s="417">
        <f t="shared" si="139"/>
        <v>-222644.59266666669</v>
      </c>
    </row>
    <row r="261" spans="2:20" x14ac:dyDescent="0.2">
      <c r="B261" s="308"/>
      <c r="C261" s="24" t="s">
        <v>45</v>
      </c>
      <c r="H261" s="379">
        <f t="shared" ref="H261:T261" si="140">H155</f>
        <v>4.166666666666667</v>
      </c>
      <c r="I261" s="380">
        <f t="shared" si="140"/>
        <v>0</v>
      </c>
      <c r="J261" s="380">
        <f t="shared" si="140"/>
        <v>1</v>
      </c>
      <c r="K261" s="380">
        <f t="shared" si="140"/>
        <v>0</v>
      </c>
      <c r="L261" s="380">
        <f t="shared" si="140"/>
        <v>0</v>
      </c>
      <c r="M261" s="380">
        <f t="shared" si="140"/>
        <v>0.83333333333333337</v>
      </c>
      <c r="N261" s="380">
        <f t="shared" si="140"/>
        <v>2.5</v>
      </c>
      <c r="O261" s="380">
        <f t="shared" si="140"/>
        <v>0</v>
      </c>
      <c r="P261" s="380">
        <f t="shared" si="140"/>
        <v>0</v>
      </c>
      <c r="Q261" s="380">
        <f t="shared" si="140"/>
        <v>1</v>
      </c>
      <c r="R261" s="380">
        <f t="shared" si="140"/>
        <v>0.83333333333333337</v>
      </c>
      <c r="S261" s="380">
        <f t="shared" si="140"/>
        <v>0</v>
      </c>
      <c r="T261" s="417">
        <f t="shared" si="140"/>
        <v>10.333333333333334</v>
      </c>
    </row>
    <row r="262" spans="2:20" ht="17" thickBot="1" x14ac:dyDescent="0.25">
      <c r="B262" s="308"/>
      <c r="C262" s="24" t="s">
        <v>46</v>
      </c>
      <c r="H262" s="379">
        <f t="shared" ref="H262:S262" si="141">H248-G248</f>
        <v>-21448.300000000003</v>
      </c>
      <c r="I262" s="380">
        <f t="shared" si="141"/>
        <v>935.72666666666191</v>
      </c>
      <c r="J262" s="380">
        <f t="shared" si="141"/>
        <v>924.83866666667745</v>
      </c>
      <c r="K262" s="380">
        <f t="shared" si="141"/>
        <v>914.13733333332493</v>
      </c>
      <c r="L262" s="380">
        <f t="shared" si="141"/>
        <v>903.2493333333332</v>
      </c>
      <c r="M262" s="380">
        <f t="shared" si="141"/>
        <v>892.54800000000978</v>
      </c>
      <c r="N262" s="380">
        <f t="shared" si="141"/>
        <v>663.92799999999261</v>
      </c>
      <c r="O262" s="380">
        <f t="shared" si="141"/>
        <v>892.45466666666471</v>
      </c>
      <c r="P262" s="380">
        <f t="shared" si="141"/>
        <v>881.75333333334129</v>
      </c>
      <c r="Q262" s="380">
        <f t="shared" si="141"/>
        <v>881.65999999999622</v>
      </c>
      <c r="R262" s="380">
        <f t="shared" si="141"/>
        <v>881.75333333333401</v>
      </c>
      <c r="S262" s="380">
        <f t="shared" si="141"/>
        <v>926.24000000000524</v>
      </c>
      <c r="T262" s="417">
        <f t="shared" ref="T262:T268" si="142">SUM(H262:S262)</f>
        <v>-11750.010666666662</v>
      </c>
    </row>
    <row r="263" spans="2:20" ht="17" thickTop="1" x14ac:dyDescent="0.2">
      <c r="B263" s="250" t="s">
        <v>141</v>
      </c>
      <c r="C263" s="237"/>
      <c r="D263" s="237"/>
      <c r="E263" s="237"/>
      <c r="F263" s="237"/>
      <c r="G263" s="237"/>
      <c r="H263" s="167">
        <f>H260+H261-H262</f>
        <v>-728.80933333332723</v>
      </c>
      <c r="I263" s="167">
        <f t="shared" ref="I263:S263" si="143">I260+I261-I262</f>
        <v>-22401.127111111109</v>
      </c>
      <c r="J263" s="167">
        <f t="shared" si="143"/>
        <v>-22662.696222222228</v>
      </c>
      <c r="K263" s="167">
        <f t="shared" si="143"/>
        <v>-20979.187999999991</v>
      </c>
      <c r="L263" s="167">
        <f t="shared" si="143"/>
        <v>-20277.259111111114</v>
      </c>
      <c r="M263" s="167">
        <f t="shared" si="143"/>
        <v>-19593.152888888893</v>
      </c>
      <c r="N263" s="167">
        <f t="shared" si="143"/>
        <v>-18874.847999999994</v>
      </c>
      <c r="O263" s="167">
        <f t="shared" si="143"/>
        <v>-18418.909777777772</v>
      </c>
      <c r="P263" s="167">
        <f t="shared" si="143"/>
        <v>-17743.77955555556</v>
      </c>
      <c r="Q263" s="167">
        <f t="shared" si="143"/>
        <v>-17070.597333333331</v>
      </c>
      <c r="R263" s="167">
        <f t="shared" si="143"/>
        <v>-16406.261777777781</v>
      </c>
      <c r="S263" s="167">
        <f t="shared" si="143"/>
        <v>-15727.619555555557</v>
      </c>
      <c r="T263" s="167">
        <f t="shared" si="142"/>
        <v>-210884.24866666662</v>
      </c>
    </row>
    <row r="264" spans="2:20" x14ac:dyDescent="0.2">
      <c r="B264" s="428"/>
      <c r="C264" s="5"/>
      <c r="D264" s="5"/>
      <c r="E264" s="7"/>
      <c r="F264" s="7"/>
      <c r="G264" s="5"/>
      <c r="H264" s="393"/>
      <c r="I264" s="394"/>
      <c r="J264" s="394"/>
      <c r="K264" s="394"/>
      <c r="L264" s="394"/>
      <c r="M264" s="394"/>
      <c r="N264" s="394"/>
      <c r="O264" s="394"/>
      <c r="P264" s="394"/>
      <c r="Q264" s="394"/>
      <c r="R264" s="394"/>
      <c r="S264" s="394"/>
      <c r="T264" s="430"/>
    </row>
    <row r="265" spans="2:20" x14ac:dyDescent="0.2">
      <c r="B265" s="307" t="s">
        <v>142</v>
      </c>
      <c r="C265" s="5"/>
      <c r="D265" s="5"/>
      <c r="E265" s="7"/>
      <c r="F265" s="7"/>
      <c r="G265" s="5"/>
      <c r="H265" s="393"/>
      <c r="I265" s="394"/>
      <c r="J265" s="394"/>
      <c r="K265" s="394"/>
      <c r="L265" s="394"/>
      <c r="M265" s="394"/>
      <c r="N265" s="394"/>
      <c r="O265" s="394"/>
      <c r="P265" s="394"/>
      <c r="Q265" s="394"/>
      <c r="R265" s="394"/>
      <c r="S265" s="394"/>
      <c r="T265" s="430"/>
    </row>
    <row r="266" spans="2:20" x14ac:dyDescent="0.2">
      <c r="B266" s="308"/>
      <c r="C266" t="s">
        <v>314</v>
      </c>
      <c r="H266" s="382">
        <f>H200</f>
        <v>5000</v>
      </c>
      <c r="I266" s="383">
        <f t="shared" ref="I266:S266" si="144">I200</f>
        <v>0</v>
      </c>
      <c r="J266" s="383">
        <f t="shared" si="144"/>
        <v>1200</v>
      </c>
      <c r="K266" s="383">
        <f t="shared" si="144"/>
        <v>0</v>
      </c>
      <c r="L266" s="383">
        <f t="shared" si="144"/>
        <v>0</v>
      </c>
      <c r="M266" s="383">
        <f t="shared" si="144"/>
        <v>1000</v>
      </c>
      <c r="N266" s="383">
        <f t="shared" si="144"/>
        <v>3000</v>
      </c>
      <c r="O266" s="383">
        <f t="shared" si="144"/>
        <v>0</v>
      </c>
      <c r="P266" s="383">
        <f t="shared" si="144"/>
        <v>0</v>
      </c>
      <c r="Q266" s="383">
        <f t="shared" si="144"/>
        <v>1200</v>
      </c>
      <c r="R266" s="383">
        <f t="shared" si="144"/>
        <v>1000</v>
      </c>
      <c r="S266" s="383">
        <f t="shared" si="144"/>
        <v>0</v>
      </c>
      <c r="T266" s="425">
        <f t="shared" si="142"/>
        <v>12400</v>
      </c>
    </row>
    <row r="267" spans="2:20" ht="17" thickBot="1" x14ac:dyDescent="0.25">
      <c r="B267" s="308"/>
      <c r="C267" s="457" t="s">
        <v>315</v>
      </c>
      <c r="D267" s="457"/>
      <c r="E267" s="457"/>
      <c r="F267" s="457"/>
      <c r="G267" s="457"/>
      <c r="H267" s="458">
        <v>0</v>
      </c>
      <c r="I267" s="459">
        <v>0</v>
      </c>
      <c r="J267" s="459">
        <v>0</v>
      </c>
      <c r="K267" s="459">
        <v>0</v>
      </c>
      <c r="L267" s="459">
        <v>0</v>
      </c>
      <c r="M267" s="459">
        <v>0</v>
      </c>
      <c r="N267" s="459">
        <v>0</v>
      </c>
      <c r="O267" s="459">
        <v>0</v>
      </c>
      <c r="P267" s="459">
        <v>0</v>
      </c>
      <c r="Q267" s="459">
        <v>0</v>
      </c>
      <c r="R267" s="459">
        <v>0</v>
      </c>
      <c r="S267" s="459">
        <v>0</v>
      </c>
      <c r="T267" s="417">
        <f t="shared" si="142"/>
        <v>0</v>
      </c>
    </row>
    <row r="268" spans="2:20" ht="17" thickTop="1" x14ac:dyDescent="0.2">
      <c r="B268" s="250" t="s">
        <v>144</v>
      </c>
      <c r="C268" s="237"/>
      <c r="D268" s="237"/>
      <c r="E268" s="237"/>
      <c r="F268" s="237"/>
      <c r="G268" s="237"/>
      <c r="H268" s="167">
        <f>-H266+H267</f>
        <v>-5000</v>
      </c>
      <c r="I268" s="167">
        <f t="shared" ref="I268:S268" si="145">-I266+I267</f>
        <v>0</v>
      </c>
      <c r="J268" s="167">
        <f t="shared" si="145"/>
        <v>-1200</v>
      </c>
      <c r="K268" s="167">
        <f t="shared" si="145"/>
        <v>0</v>
      </c>
      <c r="L268" s="167">
        <f t="shared" si="145"/>
        <v>0</v>
      </c>
      <c r="M268" s="167">
        <f t="shared" si="145"/>
        <v>-1000</v>
      </c>
      <c r="N268" s="167">
        <f t="shared" si="145"/>
        <v>-3000</v>
      </c>
      <c r="O268" s="167">
        <f t="shared" si="145"/>
        <v>0</v>
      </c>
      <c r="P268" s="167">
        <f t="shared" si="145"/>
        <v>0</v>
      </c>
      <c r="Q268" s="167">
        <f t="shared" si="145"/>
        <v>-1200</v>
      </c>
      <c r="R268" s="167">
        <f t="shared" si="145"/>
        <v>-1000</v>
      </c>
      <c r="S268" s="167">
        <f t="shared" si="145"/>
        <v>0</v>
      </c>
      <c r="T268" s="167">
        <f t="shared" si="142"/>
        <v>-12400</v>
      </c>
    </row>
    <row r="269" spans="2:20" x14ac:dyDescent="0.2">
      <c r="B269" s="428"/>
      <c r="C269" s="5"/>
      <c r="D269" s="5"/>
      <c r="E269" s="7"/>
      <c r="F269" s="7"/>
      <c r="G269" s="5"/>
      <c r="H269" s="393"/>
      <c r="I269" s="394"/>
      <c r="J269" s="394"/>
      <c r="K269" s="394"/>
      <c r="L269" s="394"/>
      <c r="M269" s="394"/>
      <c r="N269" s="394"/>
      <c r="O269" s="394"/>
      <c r="P269" s="394"/>
      <c r="Q269" s="394"/>
      <c r="R269" s="394"/>
      <c r="S269" s="394"/>
      <c r="T269" s="430"/>
    </row>
    <row r="270" spans="2:20" x14ac:dyDescent="0.2">
      <c r="B270" s="307" t="s">
        <v>143</v>
      </c>
      <c r="C270" s="5"/>
      <c r="D270" s="5"/>
      <c r="E270" s="7"/>
      <c r="F270" s="7"/>
      <c r="G270" s="5"/>
      <c r="H270" s="393"/>
      <c r="I270" s="394"/>
      <c r="J270" s="394"/>
      <c r="K270" s="394"/>
      <c r="L270" s="394"/>
      <c r="M270" s="394"/>
      <c r="N270" s="394"/>
      <c r="O270" s="394"/>
      <c r="P270" s="394"/>
      <c r="Q270" s="394"/>
      <c r="R270" s="394"/>
      <c r="S270" s="394"/>
      <c r="T270" s="430"/>
    </row>
    <row r="271" spans="2:20" x14ac:dyDescent="0.2">
      <c r="B271" s="308"/>
      <c r="C271" s="457" t="s">
        <v>44</v>
      </c>
      <c r="D271" s="457"/>
      <c r="E271" s="457"/>
      <c r="F271" s="457"/>
      <c r="G271" s="457"/>
      <c r="H271" s="458">
        <v>0</v>
      </c>
      <c r="I271" s="459">
        <v>0</v>
      </c>
      <c r="J271" s="459">
        <v>0</v>
      </c>
      <c r="K271" s="459">
        <v>0</v>
      </c>
      <c r="L271" s="459">
        <v>0</v>
      </c>
      <c r="M271" s="459">
        <v>0</v>
      </c>
      <c r="N271" s="459">
        <v>0</v>
      </c>
      <c r="O271" s="459">
        <v>0</v>
      </c>
      <c r="P271" s="459">
        <v>0</v>
      </c>
      <c r="Q271" s="459">
        <v>0</v>
      </c>
      <c r="R271" s="459">
        <v>0</v>
      </c>
      <c r="S271" s="459">
        <v>0</v>
      </c>
      <c r="T271" s="417">
        <f t="shared" ref="T271:T283" si="146">SUM(H271:S271)</f>
        <v>0</v>
      </c>
    </row>
    <row r="272" spans="2:20" x14ac:dyDescent="0.2">
      <c r="B272" s="308"/>
      <c r="C272" t="s">
        <v>123</v>
      </c>
      <c r="H272" s="379">
        <f>IFERROR(INDEX('Financing Schedule'!$C$13:$E$17,MATCH(H$251,'Financing Schedule'!$B$13:$B$17,FALSE),3),0)</f>
        <v>0</v>
      </c>
      <c r="I272" s="380">
        <f>IFERROR(INDEX('Financing Schedule'!$C$13:$E$17,MATCH(I$251,'Financing Schedule'!$B$13:$B$17,FALSE),3),0)</f>
        <v>0</v>
      </c>
      <c r="J272" s="380">
        <f>IFERROR(INDEX('Financing Schedule'!$C$13:$E$17,MATCH(J$251,'Financing Schedule'!$B$13:$B$17,FALSE),3),0)</f>
        <v>0</v>
      </c>
      <c r="K272" s="380">
        <f>IFERROR(INDEX('Financing Schedule'!$C$13:$E$17,MATCH(K$251,'Financing Schedule'!$B$13:$B$17,FALSE),3),0)</f>
        <v>0</v>
      </c>
      <c r="L272" s="380">
        <f>IFERROR(INDEX('Financing Schedule'!$C$13:$E$17,MATCH(L$251,'Financing Schedule'!$B$13:$B$17,FALSE),3),0)</f>
        <v>0</v>
      </c>
      <c r="M272" s="380">
        <f>IFERROR(INDEX('Financing Schedule'!$C$13:$E$17,MATCH(M$251,'Financing Schedule'!$B$13:$B$17,FALSE),3),0)</f>
        <v>0</v>
      </c>
      <c r="N272" s="380">
        <f>IFERROR(INDEX('Financing Schedule'!$C$13:$E$17,MATCH(N$251,'Financing Schedule'!$B$13:$B$17,FALSE),3),0)</f>
        <v>0</v>
      </c>
      <c r="O272" s="380">
        <f>IFERROR(INDEX('Financing Schedule'!$C$13:$E$17,MATCH(O$251,'Financing Schedule'!$B$13:$B$17,FALSE),3),0)</f>
        <v>0</v>
      </c>
      <c r="P272" s="380">
        <f>IFERROR(INDEX('Financing Schedule'!$C$13:$E$17,MATCH(P$251,'Financing Schedule'!$B$13:$B$17,FALSE),3),0)</f>
        <v>0</v>
      </c>
      <c r="Q272" s="380">
        <f>IFERROR(INDEX('Financing Schedule'!$C$13:$E$17,MATCH(Q$251,'Financing Schedule'!$B$13:$B$17,FALSE),3),0)</f>
        <v>0</v>
      </c>
      <c r="R272" s="380">
        <f>IFERROR(INDEX('Financing Schedule'!$C$13:$E$17,MATCH(R$251,'Financing Schedule'!$B$13:$B$17,FALSE),3),0)</f>
        <v>0</v>
      </c>
      <c r="S272" s="380">
        <f>IFERROR(INDEX('Financing Schedule'!$C$13:$E$17,MATCH(S$251,'Financing Schedule'!$B$13:$B$17,FALSE),3),0)</f>
        <v>0</v>
      </c>
      <c r="T272" s="417">
        <f>SUM(H272:S272)</f>
        <v>0</v>
      </c>
    </row>
    <row r="273" spans="2:20" x14ac:dyDescent="0.2">
      <c r="B273" s="308"/>
      <c r="C273" s="457" t="s">
        <v>122</v>
      </c>
      <c r="D273" s="457"/>
      <c r="E273" s="457"/>
      <c r="F273" s="457"/>
      <c r="G273" s="457"/>
      <c r="H273" s="458">
        <v>0</v>
      </c>
      <c r="I273" s="459">
        <v>0</v>
      </c>
      <c r="J273" s="459">
        <v>0</v>
      </c>
      <c r="K273" s="459">
        <v>0</v>
      </c>
      <c r="L273" s="459">
        <v>0</v>
      </c>
      <c r="M273" s="459">
        <v>0</v>
      </c>
      <c r="N273" s="459">
        <v>0</v>
      </c>
      <c r="O273" s="459">
        <v>0</v>
      </c>
      <c r="P273" s="459">
        <v>0</v>
      </c>
      <c r="Q273" s="459">
        <v>0</v>
      </c>
      <c r="R273" s="459">
        <v>0</v>
      </c>
      <c r="S273" s="459">
        <v>0</v>
      </c>
      <c r="T273" s="417">
        <f>SUM(H273:S273)</f>
        <v>0</v>
      </c>
    </row>
    <row r="274" spans="2:20" x14ac:dyDescent="0.2">
      <c r="B274" s="308"/>
      <c r="C274" t="s">
        <v>125</v>
      </c>
      <c r="H274" s="379">
        <f>IFERROR(INDEX('Financing Schedule'!$H$13:$L$17,MATCH(H$251,'Financing Schedule'!$G$13:$G$17,FALSE),3),0)</f>
        <v>0</v>
      </c>
      <c r="I274" s="380">
        <f>IFERROR(INDEX('Financing Schedule'!$H$13:$L$17,MATCH(I$251,'Financing Schedule'!$G$13:$G$17,FALSE),3),0)</f>
        <v>0</v>
      </c>
      <c r="J274" s="380">
        <f>IFERROR(INDEX('Financing Schedule'!$H$13:$L$17,MATCH(J$251,'Financing Schedule'!$G$13:$G$17,FALSE),3),0)</f>
        <v>0</v>
      </c>
      <c r="K274" s="380">
        <f>IFERROR(INDEX('Financing Schedule'!$H$13:$L$17,MATCH(K$251,'Financing Schedule'!$G$13:$G$17,FALSE),3),0)</f>
        <v>0</v>
      </c>
      <c r="L274" s="380">
        <f>IFERROR(INDEX('Financing Schedule'!$H$13:$L$17,MATCH(L$251,'Financing Schedule'!$G$13:$G$17,FALSE),3),0)</f>
        <v>0</v>
      </c>
      <c r="M274" s="380">
        <f>IFERROR(INDEX('Financing Schedule'!$H$13:$L$17,MATCH(M$251,'Financing Schedule'!$G$13:$G$17,FALSE),3),0)</f>
        <v>0</v>
      </c>
      <c r="N274" s="380">
        <f>IFERROR(INDEX('Financing Schedule'!$H$13:$L$17,MATCH(N$251,'Financing Schedule'!$G$13:$G$17,FALSE),3),0)</f>
        <v>0</v>
      </c>
      <c r="O274" s="380">
        <f>IFERROR(INDEX('Financing Schedule'!$H$13:$L$17,MATCH(O$251,'Financing Schedule'!$G$13:$G$17,FALSE),3),0)</f>
        <v>0</v>
      </c>
      <c r="P274" s="380">
        <f>IFERROR(INDEX('Financing Schedule'!$H$13:$L$17,MATCH(P$251,'Financing Schedule'!$G$13:$G$17,FALSE),3),0)</f>
        <v>0</v>
      </c>
      <c r="Q274" s="380">
        <f>IFERROR(INDEX('Financing Schedule'!$H$13:$L$17,MATCH(Q$251,'Financing Schedule'!$G$13:$G$17,FALSE),3),0)</f>
        <v>0</v>
      </c>
      <c r="R274" s="380">
        <f>IFERROR(INDEX('Financing Schedule'!$H$13:$L$17,MATCH(R$251,'Financing Schedule'!$G$13:$G$17,FALSE),3),0)</f>
        <v>0</v>
      </c>
      <c r="S274" s="380">
        <f>IFERROR(INDEX('Financing Schedule'!$H$13:$L$17,MATCH(S$251,'Financing Schedule'!$G$13:$G$17,FALSE),3),0)</f>
        <v>0</v>
      </c>
      <c r="T274" s="417">
        <f>SUM(H274:S274)</f>
        <v>0</v>
      </c>
    </row>
    <row r="275" spans="2:20" x14ac:dyDescent="0.2">
      <c r="B275" s="308"/>
      <c r="C275" t="s">
        <v>126</v>
      </c>
      <c r="H275" s="379"/>
      <c r="I275" s="380"/>
      <c r="J275" s="380"/>
      <c r="K275" s="380"/>
      <c r="L275" s="380"/>
      <c r="M275" s="380"/>
      <c r="N275" s="380"/>
      <c r="O275" s="380"/>
      <c r="P275" s="380"/>
      <c r="Q275" s="380"/>
      <c r="R275" s="380"/>
      <c r="S275" s="380"/>
      <c r="T275" s="417"/>
    </row>
    <row r="276" spans="2:20" x14ac:dyDescent="0.2">
      <c r="B276" s="308"/>
      <c r="D276" s="457" t="s">
        <v>156</v>
      </c>
      <c r="E276" s="457"/>
      <c r="F276" s="457"/>
      <c r="G276" s="457"/>
      <c r="H276" s="458">
        <v>0</v>
      </c>
      <c r="I276" s="459">
        <v>0</v>
      </c>
      <c r="J276" s="459">
        <v>0</v>
      </c>
      <c r="K276" s="459">
        <v>0</v>
      </c>
      <c r="L276" s="459">
        <v>0</v>
      </c>
      <c r="M276" s="459">
        <v>0</v>
      </c>
      <c r="N276" s="459">
        <v>0</v>
      </c>
      <c r="O276" s="459">
        <v>0</v>
      </c>
      <c r="P276" s="459">
        <v>0</v>
      </c>
      <c r="Q276" s="459">
        <v>0</v>
      </c>
      <c r="R276" s="459">
        <v>0</v>
      </c>
      <c r="S276" s="459">
        <v>0</v>
      </c>
      <c r="T276" s="417">
        <f>SUM(H276:S276)</f>
        <v>0</v>
      </c>
    </row>
    <row r="277" spans="2:20" x14ac:dyDescent="0.2">
      <c r="B277" s="308"/>
      <c r="D277" t="s">
        <v>158</v>
      </c>
      <c r="H277" s="379">
        <f>IFERROR(IF(AND(H$251&gt;'Financing Schedule'!$G13,H$251&lt;='Financing Schedule'!$G13+'Financing Schedule'!$L13),'Financing Schedule'!$I13,0),0)</f>
        <v>4166.666666666667</v>
      </c>
      <c r="I277" s="380">
        <f>IFERROR(IF(AND(I$251&gt;'Financing Schedule'!$G13,I$251&lt;='Financing Schedule'!$G13+'Financing Schedule'!$L13),'Financing Schedule'!$I13,0),0)</f>
        <v>4166.666666666667</v>
      </c>
      <c r="J277" s="380">
        <f>IFERROR(IF(AND(J$251&gt;'Financing Schedule'!$G13,J$251&lt;='Financing Schedule'!$G13+'Financing Schedule'!$L13),'Financing Schedule'!$I13,0),0)</f>
        <v>4166.666666666667</v>
      </c>
      <c r="K277" s="380">
        <f>IFERROR(IF(AND(K$251&gt;'Financing Schedule'!$G13,K$251&lt;='Financing Schedule'!$G13+'Financing Schedule'!$L13),'Financing Schedule'!$I13,0),0)</f>
        <v>4166.666666666667</v>
      </c>
      <c r="L277" s="380">
        <f>IFERROR(IF(AND(L$251&gt;'Financing Schedule'!$G13,L$251&lt;='Financing Schedule'!$G13+'Financing Schedule'!$L13),'Financing Schedule'!$I13,0),0)</f>
        <v>4166.666666666667</v>
      </c>
      <c r="M277" s="380">
        <f>IFERROR(IF(AND(M$251&gt;'Financing Schedule'!$G13,M$251&lt;='Financing Schedule'!$G13+'Financing Schedule'!$L13),'Financing Schedule'!$I13,0),0)</f>
        <v>4166.666666666667</v>
      </c>
      <c r="N277" s="380">
        <f>IFERROR(IF(AND(N$251&gt;'Financing Schedule'!$G13,N$251&lt;='Financing Schedule'!$G13+'Financing Schedule'!$L13),'Financing Schedule'!$I13,0),0)</f>
        <v>4166.666666666667</v>
      </c>
      <c r="O277" s="380">
        <f>IFERROR(IF(AND(O$251&gt;'Financing Schedule'!$G13,O$251&lt;='Financing Schedule'!$G13+'Financing Schedule'!$L13),'Financing Schedule'!$I13,0),0)</f>
        <v>4166.666666666667</v>
      </c>
      <c r="P277" s="380">
        <f>IFERROR(IF(AND(P$251&gt;'Financing Schedule'!$G13,P$251&lt;='Financing Schedule'!$G13+'Financing Schedule'!$L13),'Financing Schedule'!$I13,0),0)</f>
        <v>4166.666666666667</v>
      </c>
      <c r="Q277" s="380">
        <f>IFERROR(IF(AND(Q$251&gt;'Financing Schedule'!$G13,Q$251&lt;='Financing Schedule'!$G13+'Financing Schedule'!$L13),'Financing Schedule'!$I13,0),0)</f>
        <v>4166.666666666667</v>
      </c>
      <c r="R277" s="380">
        <f>IFERROR(IF(AND(R$251&gt;'Financing Schedule'!$G13,R$251&lt;='Financing Schedule'!$G13+'Financing Schedule'!$L13),'Financing Schedule'!$I13,0),0)</f>
        <v>4166.666666666667</v>
      </c>
      <c r="S277" s="380">
        <f>IFERROR(IF(AND(S$251&gt;'Financing Schedule'!$G13,S$251&lt;='Financing Schedule'!$G13+'Financing Schedule'!$L13),'Financing Schedule'!$I13,0),0)</f>
        <v>4166.666666666667</v>
      </c>
      <c r="T277" s="417">
        <f>SUM(H277:S277)</f>
        <v>49999.999999999993</v>
      </c>
    </row>
    <row r="278" spans="2:20" x14ac:dyDescent="0.2">
      <c r="B278" s="308"/>
      <c r="D278" t="s">
        <v>159</v>
      </c>
      <c r="H278" s="379">
        <f>IFERROR(IF(AND(H$251&gt;'Financing Schedule'!$G14,H$251&lt;='Financing Schedule'!$G14+'Financing Schedule'!$L14),'Financing Schedule'!$I14,0),0)</f>
        <v>0</v>
      </c>
      <c r="I278" s="380">
        <f>IFERROR(IF(AND(I$251&gt;'Financing Schedule'!$G14,I$251&lt;='Financing Schedule'!$G14+'Financing Schedule'!$L14),'Financing Schedule'!$I14,0),0)</f>
        <v>0</v>
      </c>
      <c r="J278" s="380">
        <f>IFERROR(IF(AND(J$251&gt;'Financing Schedule'!$G14,J$251&lt;='Financing Schedule'!$G14+'Financing Schedule'!$L14),'Financing Schedule'!$I14,0),0)</f>
        <v>0</v>
      </c>
      <c r="K278" s="380">
        <f>IFERROR(IF(AND(K$251&gt;'Financing Schedule'!$G14,K$251&lt;='Financing Schedule'!$G14+'Financing Schedule'!$L14),'Financing Schedule'!$I14,0),0)</f>
        <v>0</v>
      </c>
      <c r="L278" s="380">
        <f>IFERROR(IF(AND(L$251&gt;'Financing Schedule'!$G14,L$251&lt;='Financing Schedule'!$G14+'Financing Schedule'!$L14),'Financing Schedule'!$I14,0),0)</f>
        <v>0</v>
      </c>
      <c r="M278" s="380">
        <f>IFERROR(IF(AND(M$251&gt;'Financing Schedule'!$G14,M$251&lt;='Financing Schedule'!$G14+'Financing Schedule'!$L14),'Financing Schedule'!$I14,0),0)</f>
        <v>0</v>
      </c>
      <c r="N278" s="380">
        <f>IFERROR(IF(AND(N$251&gt;'Financing Schedule'!$G14,N$251&lt;='Financing Schedule'!$G14+'Financing Schedule'!$L14),'Financing Schedule'!$I14,0),0)</f>
        <v>0</v>
      </c>
      <c r="O278" s="380">
        <f>IFERROR(IF(AND(O$251&gt;'Financing Schedule'!$G14,O$251&lt;='Financing Schedule'!$G14+'Financing Schedule'!$L14),'Financing Schedule'!$I14,0),0)</f>
        <v>0</v>
      </c>
      <c r="P278" s="380">
        <f>IFERROR(IF(AND(P$251&gt;'Financing Schedule'!$G14,P$251&lt;='Financing Schedule'!$G14+'Financing Schedule'!$L14),'Financing Schedule'!$I14,0),0)</f>
        <v>0</v>
      </c>
      <c r="Q278" s="380">
        <f>IFERROR(IF(AND(Q$251&gt;'Financing Schedule'!$G14,Q$251&lt;='Financing Schedule'!$G14+'Financing Schedule'!$L14),'Financing Schedule'!$I14,0),0)</f>
        <v>0</v>
      </c>
      <c r="R278" s="380">
        <f>IFERROR(IF(AND(R$251&gt;'Financing Schedule'!$G14,R$251&lt;='Financing Schedule'!$G14+'Financing Schedule'!$L14),'Financing Schedule'!$I14,0),0)</f>
        <v>0</v>
      </c>
      <c r="S278" s="380">
        <f>IFERROR(IF(AND(S$251&gt;'Financing Schedule'!$G14,S$251&lt;='Financing Schedule'!$G14+'Financing Schedule'!$L14),'Financing Schedule'!$I14,0),0)</f>
        <v>0</v>
      </c>
      <c r="T278" s="417">
        <f t="shared" ref="T278:T281" si="147">SUM(H278:S278)</f>
        <v>0</v>
      </c>
    </row>
    <row r="279" spans="2:20" x14ac:dyDescent="0.2">
      <c r="B279" s="308"/>
      <c r="D279" t="s">
        <v>160</v>
      </c>
      <c r="H279" s="379">
        <f>IFERROR(IF(AND(H$251&gt;'Financing Schedule'!$G15,H$251&lt;='Financing Schedule'!$G15+'Financing Schedule'!$L15),'Financing Schedule'!$I15,0),0)</f>
        <v>0</v>
      </c>
      <c r="I279" s="380">
        <f>IFERROR(IF(AND(I$251&gt;'Financing Schedule'!$G15,I$251&lt;='Financing Schedule'!$G15+'Financing Schedule'!$L15),'Financing Schedule'!$I15,0),0)</f>
        <v>0</v>
      </c>
      <c r="J279" s="380">
        <f>IFERROR(IF(AND(J$251&gt;'Financing Schedule'!$G15,J$251&lt;='Financing Schedule'!$G15+'Financing Schedule'!$L15),'Financing Schedule'!$I15,0),0)</f>
        <v>0</v>
      </c>
      <c r="K279" s="380">
        <f>IFERROR(IF(AND(K$251&gt;'Financing Schedule'!$G15,K$251&lt;='Financing Schedule'!$G15+'Financing Schedule'!$L15),'Financing Schedule'!$I15,0),0)</f>
        <v>0</v>
      </c>
      <c r="L279" s="380">
        <f>IFERROR(IF(AND(L$251&gt;'Financing Schedule'!$G15,L$251&lt;='Financing Schedule'!$G15+'Financing Schedule'!$L15),'Financing Schedule'!$I15,0),0)</f>
        <v>0</v>
      </c>
      <c r="M279" s="380">
        <f>IFERROR(IF(AND(M$251&gt;'Financing Schedule'!$G15,M$251&lt;='Financing Schedule'!$G15+'Financing Schedule'!$L15),'Financing Schedule'!$I15,0),0)</f>
        <v>0</v>
      </c>
      <c r="N279" s="380">
        <f>IFERROR(IF(AND(N$251&gt;'Financing Schedule'!$G15,N$251&lt;='Financing Schedule'!$G15+'Financing Schedule'!$L15),'Financing Schedule'!$I15,0),0)</f>
        <v>0</v>
      </c>
      <c r="O279" s="380">
        <f>IFERROR(IF(AND(O$251&gt;'Financing Schedule'!$G15,O$251&lt;='Financing Schedule'!$G15+'Financing Schedule'!$L15),'Financing Schedule'!$I15,0),0)</f>
        <v>0</v>
      </c>
      <c r="P279" s="380">
        <f>IFERROR(IF(AND(P$251&gt;'Financing Schedule'!$G15,P$251&lt;='Financing Schedule'!$G15+'Financing Schedule'!$L15),'Financing Schedule'!$I15,0),0)</f>
        <v>0</v>
      </c>
      <c r="Q279" s="380">
        <f>IFERROR(IF(AND(Q$251&gt;'Financing Schedule'!$G15,Q$251&lt;='Financing Schedule'!$G15+'Financing Schedule'!$L15),'Financing Schedule'!$I15,0),0)</f>
        <v>0</v>
      </c>
      <c r="R279" s="380">
        <f>IFERROR(IF(AND(R$251&gt;'Financing Schedule'!$G15,R$251&lt;='Financing Schedule'!$G15+'Financing Schedule'!$L15),'Financing Schedule'!$I15,0),0)</f>
        <v>0</v>
      </c>
      <c r="S279" s="380">
        <f>IFERROR(IF(AND(S$251&gt;'Financing Schedule'!$G15,S$251&lt;='Financing Schedule'!$G15+'Financing Schedule'!$L15),'Financing Schedule'!$I15,0),0)</f>
        <v>0</v>
      </c>
      <c r="T279" s="417">
        <f t="shared" si="147"/>
        <v>0</v>
      </c>
    </row>
    <row r="280" spans="2:20" x14ac:dyDescent="0.2">
      <c r="B280" s="308"/>
      <c r="D280" t="s">
        <v>161</v>
      </c>
      <c r="H280" s="379">
        <f>IFERROR(IF(AND(H$251&gt;'Financing Schedule'!$G16,H$251&lt;='Financing Schedule'!$G16+'Financing Schedule'!$L16),'Financing Schedule'!$I16,0),0)</f>
        <v>0</v>
      </c>
      <c r="I280" s="380">
        <f>IFERROR(IF(AND(I$251&gt;'Financing Schedule'!$G16,I$251&lt;='Financing Schedule'!$G16+'Financing Schedule'!$L16),'Financing Schedule'!$I16,0),0)</f>
        <v>0</v>
      </c>
      <c r="J280" s="380">
        <f>IFERROR(IF(AND(J$251&gt;'Financing Schedule'!$G16,J$251&lt;='Financing Schedule'!$G16+'Financing Schedule'!$L16),'Financing Schedule'!$I16,0),0)</f>
        <v>0</v>
      </c>
      <c r="K280" s="380">
        <f>IFERROR(IF(AND(K$251&gt;'Financing Schedule'!$G16,K$251&lt;='Financing Schedule'!$G16+'Financing Schedule'!$L16),'Financing Schedule'!$I16,0),0)</f>
        <v>0</v>
      </c>
      <c r="L280" s="380">
        <f>IFERROR(IF(AND(L$251&gt;'Financing Schedule'!$G16,L$251&lt;='Financing Schedule'!$G16+'Financing Schedule'!$L16),'Financing Schedule'!$I16,0),0)</f>
        <v>0</v>
      </c>
      <c r="M280" s="380">
        <f>IFERROR(IF(AND(M$251&gt;'Financing Schedule'!$G16,M$251&lt;='Financing Schedule'!$G16+'Financing Schedule'!$L16),'Financing Schedule'!$I16,0),0)</f>
        <v>0</v>
      </c>
      <c r="N280" s="380">
        <f>IFERROR(IF(AND(N$251&gt;'Financing Schedule'!$G16,N$251&lt;='Financing Schedule'!$G16+'Financing Schedule'!$L16),'Financing Schedule'!$I16,0),0)</f>
        <v>0</v>
      </c>
      <c r="O280" s="380">
        <f>IFERROR(IF(AND(O$251&gt;'Financing Schedule'!$G16,O$251&lt;='Financing Schedule'!$G16+'Financing Schedule'!$L16),'Financing Schedule'!$I16,0),0)</f>
        <v>0</v>
      </c>
      <c r="P280" s="380">
        <f>IFERROR(IF(AND(P$251&gt;'Financing Schedule'!$G16,P$251&lt;='Financing Schedule'!$G16+'Financing Schedule'!$L16),'Financing Schedule'!$I16,0),0)</f>
        <v>0</v>
      </c>
      <c r="Q280" s="380">
        <f>IFERROR(IF(AND(Q$251&gt;'Financing Schedule'!$G16,Q$251&lt;='Financing Schedule'!$G16+'Financing Schedule'!$L16),'Financing Schedule'!$I16,0),0)</f>
        <v>0</v>
      </c>
      <c r="R280" s="380">
        <f>IFERROR(IF(AND(R$251&gt;'Financing Schedule'!$G16,R$251&lt;='Financing Schedule'!$G16+'Financing Schedule'!$L16),'Financing Schedule'!$I16,0),0)</f>
        <v>0</v>
      </c>
      <c r="S280" s="380">
        <f>IFERROR(IF(AND(S$251&gt;'Financing Schedule'!$G16,S$251&lt;='Financing Schedule'!$G16+'Financing Schedule'!$L16),'Financing Schedule'!$I16,0),0)</f>
        <v>0</v>
      </c>
      <c r="T280" s="417">
        <f t="shared" si="147"/>
        <v>0</v>
      </c>
    </row>
    <row r="281" spans="2:20" ht="17" thickBot="1" x14ac:dyDescent="0.25">
      <c r="B281" s="308"/>
      <c r="D281" t="s">
        <v>162</v>
      </c>
      <c r="H281" s="379">
        <f>IFERROR(IF(AND(H$251&gt;'Financing Schedule'!$G17,H$251&lt;='Financing Schedule'!$G17+'Financing Schedule'!$L17),'Financing Schedule'!$I17,0),0)</f>
        <v>0</v>
      </c>
      <c r="I281" s="380">
        <f>IFERROR(IF(AND(I$251&gt;'Financing Schedule'!$G17,I$251&lt;='Financing Schedule'!$G17+'Financing Schedule'!$L17),'Financing Schedule'!$I17,0),0)</f>
        <v>0</v>
      </c>
      <c r="J281" s="380">
        <f>IFERROR(IF(AND(J$251&gt;'Financing Schedule'!$G17,J$251&lt;='Financing Schedule'!$G17+'Financing Schedule'!$L17),'Financing Schedule'!$I17,0),0)</f>
        <v>0</v>
      </c>
      <c r="K281" s="380">
        <f>IFERROR(IF(AND(K$251&gt;'Financing Schedule'!$G17,K$251&lt;='Financing Schedule'!$G17+'Financing Schedule'!$L17),'Financing Schedule'!$I17,0),0)</f>
        <v>0</v>
      </c>
      <c r="L281" s="380">
        <f>IFERROR(IF(AND(L$251&gt;'Financing Schedule'!$G17,L$251&lt;='Financing Schedule'!$G17+'Financing Schedule'!$L17),'Financing Schedule'!$I17,0),0)</f>
        <v>0</v>
      </c>
      <c r="M281" s="380">
        <f>IFERROR(IF(AND(M$251&gt;'Financing Schedule'!$G17,M$251&lt;='Financing Schedule'!$G17+'Financing Schedule'!$L17),'Financing Schedule'!$I17,0),0)</f>
        <v>0</v>
      </c>
      <c r="N281" s="380">
        <f>IFERROR(IF(AND(N$251&gt;'Financing Schedule'!$G17,N$251&lt;='Financing Schedule'!$G17+'Financing Schedule'!$L17),'Financing Schedule'!$I17,0),0)</f>
        <v>0</v>
      </c>
      <c r="O281" s="380">
        <f>IFERROR(IF(AND(O$251&gt;'Financing Schedule'!$G17,O$251&lt;='Financing Schedule'!$G17+'Financing Schedule'!$L17),'Financing Schedule'!$I17,0),0)</f>
        <v>0</v>
      </c>
      <c r="P281" s="380">
        <f>IFERROR(IF(AND(P$251&gt;'Financing Schedule'!$G17,P$251&lt;='Financing Schedule'!$G17+'Financing Schedule'!$L17),'Financing Schedule'!$I17,0),0)</f>
        <v>0</v>
      </c>
      <c r="Q281" s="380">
        <f>IFERROR(IF(AND(Q$251&gt;'Financing Schedule'!$G17,Q$251&lt;='Financing Schedule'!$G17+'Financing Schedule'!$L17),'Financing Schedule'!$I17,0),0)</f>
        <v>0</v>
      </c>
      <c r="R281" s="380">
        <f>IFERROR(IF(AND(R$251&gt;'Financing Schedule'!$G17,R$251&lt;='Financing Schedule'!$G17+'Financing Schedule'!$L17),'Financing Schedule'!$I17,0),0)</f>
        <v>0</v>
      </c>
      <c r="S281" s="380">
        <f>IFERROR(IF(AND(S$251&gt;'Financing Schedule'!$G17,S$251&lt;='Financing Schedule'!$G17+'Financing Schedule'!$L17),'Financing Schedule'!$I17,0),0)</f>
        <v>0</v>
      </c>
      <c r="T281" s="417">
        <f t="shared" si="147"/>
        <v>0</v>
      </c>
    </row>
    <row r="282" spans="2:20" ht="18" thickTop="1" thickBot="1" x14ac:dyDescent="0.25">
      <c r="B282" s="308"/>
      <c r="C282" s="41" t="s">
        <v>124</v>
      </c>
      <c r="D282" s="42"/>
      <c r="E282" s="41"/>
      <c r="F282" s="43"/>
      <c r="G282" s="42"/>
      <c r="H282" s="391">
        <f>SUM(H276:H281)</f>
        <v>4166.666666666667</v>
      </c>
      <c r="I282" s="392">
        <f t="shared" ref="I282:S282" si="148">SUM(I276:I281)</f>
        <v>4166.666666666667</v>
      </c>
      <c r="J282" s="392">
        <f t="shared" si="148"/>
        <v>4166.666666666667</v>
      </c>
      <c r="K282" s="392">
        <f t="shared" si="148"/>
        <v>4166.666666666667</v>
      </c>
      <c r="L282" s="392">
        <f t="shared" si="148"/>
        <v>4166.666666666667</v>
      </c>
      <c r="M282" s="392">
        <f t="shared" si="148"/>
        <v>4166.666666666667</v>
      </c>
      <c r="N282" s="392">
        <f t="shared" si="148"/>
        <v>4166.666666666667</v>
      </c>
      <c r="O282" s="392">
        <f t="shared" si="148"/>
        <v>4166.666666666667</v>
      </c>
      <c r="P282" s="392">
        <f t="shared" si="148"/>
        <v>4166.666666666667</v>
      </c>
      <c r="Q282" s="392">
        <f t="shared" si="148"/>
        <v>4166.666666666667</v>
      </c>
      <c r="R282" s="392">
        <f t="shared" si="148"/>
        <v>4166.666666666667</v>
      </c>
      <c r="S282" s="392">
        <f t="shared" si="148"/>
        <v>4166.666666666667</v>
      </c>
      <c r="T282" s="433">
        <f>SUM(H282:S282)</f>
        <v>49999.999999999993</v>
      </c>
    </row>
    <row r="283" spans="2:20" ht="17" thickTop="1" x14ac:dyDescent="0.2">
      <c r="B283" s="250" t="s">
        <v>145</v>
      </c>
      <c r="C283" s="237"/>
      <c r="D283" s="237"/>
      <c r="E283" s="237"/>
      <c r="F283" s="237"/>
      <c r="G283" s="237"/>
      <c r="H283" s="167">
        <f t="shared" ref="H283:S283" si="149">SUM(H271,H272,H274)-SUM(H273,H$282)</f>
        <v>-4166.666666666667</v>
      </c>
      <c r="I283" s="167">
        <f t="shared" si="149"/>
        <v>-4166.666666666667</v>
      </c>
      <c r="J283" s="167">
        <f t="shared" si="149"/>
        <v>-4166.666666666667</v>
      </c>
      <c r="K283" s="167">
        <f t="shared" si="149"/>
        <v>-4166.666666666667</v>
      </c>
      <c r="L283" s="167">
        <f t="shared" si="149"/>
        <v>-4166.666666666667</v>
      </c>
      <c r="M283" s="167">
        <f t="shared" si="149"/>
        <v>-4166.666666666667</v>
      </c>
      <c r="N283" s="167">
        <f t="shared" si="149"/>
        <v>-4166.666666666667</v>
      </c>
      <c r="O283" s="167">
        <f t="shared" si="149"/>
        <v>-4166.666666666667</v>
      </c>
      <c r="P283" s="167">
        <f t="shared" si="149"/>
        <v>-4166.666666666667</v>
      </c>
      <c r="Q283" s="167">
        <f t="shared" si="149"/>
        <v>-4166.666666666667</v>
      </c>
      <c r="R283" s="167">
        <f t="shared" si="149"/>
        <v>-4166.666666666667</v>
      </c>
      <c r="S283" s="167">
        <f t="shared" si="149"/>
        <v>-4166.666666666667</v>
      </c>
      <c r="T283" s="167">
        <f t="shared" si="146"/>
        <v>-49999.999999999993</v>
      </c>
    </row>
    <row r="284" spans="2:20" x14ac:dyDescent="0.2">
      <c r="B284" s="428"/>
      <c r="C284" s="5"/>
      <c r="D284" s="5"/>
      <c r="E284" s="7"/>
      <c r="F284" s="7"/>
      <c r="G284" s="5"/>
      <c r="H284" s="393"/>
      <c r="I284" s="394"/>
      <c r="J284" s="394"/>
      <c r="K284" s="394"/>
      <c r="L284" s="394"/>
      <c r="M284" s="394"/>
      <c r="N284" s="394"/>
      <c r="O284" s="394"/>
      <c r="P284" s="394"/>
      <c r="Q284" s="394"/>
      <c r="R284" s="394"/>
      <c r="S284" s="394"/>
      <c r="T284" s="430"/>
    </row>
    <row r="285" spans="2:20" x14ac:dyDescent="0.2">
      <c r="B285" s="308" t="s">
        <v>50</v>
      </c>
      <c r="H285" s="379">
        <f>'Year 1'!$S$287</f>
        <v>-466020.32066666667</v>
      </c>
      <c r="I285" s="380">
        <f t="shared" ref="I285:S285" si="150">H287</f>
        <v>-475915.79666666663</v>
      </c>
      <c r="J285" s="380">
        <f t="shared" si="150"/>
        <v>-502483.59044444439</v>
      </c>
      <c r="K285" s="380">
        <f t="shared" si="150"/>
        <v>-530512.95333333325</v>
      </c>
      <c r="L285" s="380">
        <f t="shared" si="150"/>
        <v>-555658.80799999996</v>
      </c>
      <c r="M285" s="380">
        <f t="shared" si="150"/>
        <v>-580102.73377777776</v>
      </c>
      <c r="N285" s="380">
        <f t="shared" si="150"/>
        <v>-604862.55333333334</v>
      </c>
      <c r="O285" s="380">
        <f t="shared" si="150"/>
        <v>-630904.06799999997</v>
      </c>
      <c r="P285" s="380">
        <f t="shared" si="150"/>
        <v>-653489.64444444445</v>
      </c>
      <c r="Q285" s="380">
        <f t="shared" si="150"/>
        <v>-675400.09066666663</v>
      </c>
      <c r="R285" s="380">
        <f t="shared" si="150"/>
        <v>-697837.35466666659</v>
      </c>
      <c r="S285" s="380">
        <f t="shared" si="150"/>
        <v>-719410.28311111103</v>
      </c>
      <c r="T285" s="417">
        <f>H285</f>
        <v>-466020.32066666667</v>
      </c>
    </row>
    <row r="286" spans="2:20" x14ac:dyDescent="0.2">
      <c r="B286" s="308"/>
      <c r="C286" s="24" t="s">
        <v>49</v>
      </c>
      <c r="H286" s="379">
        <f t="shared" ref="H286:T286" si="151">H263+H268+H283</f>
        <v>-9895.4759999999951</v>
      </c>
      <c r="I286" s="380">
        <f t="shared" si="151"/>
        <v>-26567.793777777777</v>
      </c>
      <c r="J286" s="380">
        <f t="shared" si="151"/>
        <v>-28029.362888888896</v>
      </c>
      <c r="K286" s="380">
        <f t="shared" si="151"/>
        <v>-25145.854666666659</v>
      </c>
      <c r="L286" s="380">
        <f t="shared" si="151"/>
        <v>-24443.925777777782</v>
      </c>
      <c r="M286" s="380">
        <f t="shared" si="151"/>
        <v>-24759.819555555561</v>
      </c>
      <c r="N286" s="380">
        <f t="shared" si="151"/>
        <v>-26041.514666666662</v>
      </c>
      <c r="O286" s="380">
        <f t="shared" si="151"/>
        <v>-22585.576444444439</v>
      </c>
      <c r="P286" s="380">
        <f t="shared" si="151"/>
        <v>-21910.446222222228</v>
      </c>
      <c r="Q286" s="380">
        <f t="shared" si="151"/>
        <v>-22437.263999999999</v>
      </c>
      <c r="R286" s="380">
        <f t="shared" si="151"/>
        <v>-21572.928444444449</v>
      </c>
      <c r="S286" s="380">
        <f t="shared" si="151"/>
        <v>-19894.286222222225</v>
      </c>
      <c r="T286" s="417">
        <f t="shared" si="151"/>
        <v>-273284.24866666662</v>
      </c>
    </row>
    <row r="287" spans="2:20" ht="17" thickBot="1" x14ac:dyDescent="0.25">
      <c r="B287" s="308" t="s">
        <v>51</v>
      </c>
      <c r="H287" s="379">
        <f>H285+H286</f>
        <v>-475915.79666666663</v>
      </c>
      <c r="I287" s="380">
        <f t="shared" ref="I287:T287" si="152">I285+I286</f>
        <v>-502483.59044444439</v>
      </c>
      <c r="J287" s="380">
        <f t="shared" si="152"/>
        <v>-530512.95333333325</v>
      </c>
      <c r="K287" s="380">
        <f t="shared" si="152"/>
        <v>-555658.80799999996</v>
      </c>
      <c r="L287" s="380">
        <f t="shared" si="152"/>
        <v>-580102.73377777776</v>
      </c>
      <c r="M287" s="380">
        <f t="shared" si="152"/>
        <v>-604862.55333333334</v>
      </c>
      <c r="N287" s="380">
        <f t="shared" si="152"/>
        <v>-630904.06799999997</v>
      </c>
      <c r="O287" s="380">
        <f t="shared" si="152"/>
        <v>-653489.64444444445</v>
      </c>
      <c r="P287" s="380">
        <f t="shared" si="152"/>
        <v>-675400.09066666663</v>
      </c>
      <c r="Q287" s="380">
        <f t="shared" si="152"/>
        <v>-697837.35466666659</v>
      </c>
      <c r="R287" s="380">
        <f t="shared" si="152"/>
        <v>-719410.28311111103</v>
      </c>
      <c r="S287" s="380">
        <f t="shared" si="152"/>
        <v>-739304.56933333329</v>
      </c>
      <c r="T287" s="417">
        <f t="shared" si="152"/>
        <v>-739304.56933333329</v>
      </c>
    </row>
    <row r="288" spans="2:20" ht="17" thickTop="1" x14ac:dyDescent="0.2">
      <c r="B288" s="250" t="s">
        <v>54</v>
      </c>
      <c r="C288" s="237"/>
      <c r="D288" s="237"/>
      <c r="E288" s="237"/>
      <c r="F288" s="237"/>
      <c r="G288" s="237"/>
      <c r="H288" s="167">
        <f>H287</f>
        <v>-475915.79666666663</v>
      </c>
      <c r="I288" s="167">
        <f t="shared" ref="I288:T288" si="153">I287</f>
        <v>-502483.59044444439</v>
      </c>
      <c r="J288" s="167">
        <f t="shared" si="153"/>
        <v>-530512.95333333325</v>
      </c>
      <c r="K288" s="167">
        <f t="shared" si="153"/>
        <v>-555658.80799999996</v>
      </c>
      <c r="L288" s="167">
        <f t="shared" si="153"/>
        <v>-580102.73377777776</v>
      </c>
      <c r="M288" s="167">
        <f t="shared" si="153"/>
        <v>-604862.55333333334</v>
      </c>
      <c r="N288" s="167">
        <f t="shared" si="153"/>
        <v>-630904.06799999997</v>
      </c>
      <c r="O288" s="167">
        <f t="shared" si="153"/>
        <v>-653489.64444444445</v>
      </c>
      <c r="P288" s="167">
        <f t="shared" si="153"/>
        <v>-675400.09066666663</v>
      </c>
      <c r="Q288" s="167">
        <f t="shared" si="153"/>
        <v>-697837.35466666659</v>
      </c>
      <c r="R288" s="167">
        <f t="shared" si="153"/>
        <v>-719410.28311111103</v>
      </c>
      <c r="S288" s="167">
        <f t="shared" si="153"/>
        <v>-739304.56933333329</v>
      </c>
      <c r="T288" s="167">
        <f t="shared" si="153"/>
        <v>-739304.56933333329</v>
      </c>
    </row>
    <row r="289" spans="2:20" ht="17" thickBot="1" x14ac:dyDescent="0.25">
      <c r="B289" s="308"/>
      <c r="H289" s="367"/>
      <c r="I289" s="368"/>
      <c r="J289" s="368"/>
      <c r="K289" s="368"/>
      <c r="L289" s="368"/>
      <c r="M289" s="368"/>
      <c r="N289" s="368"/>
      <c r="O289" s="368"/>
      <c r="P289" s="368"/>
      <c r="Q289" s="368"/>
      <c r="R289" s="368"/>
      <c r="S289" s="368"/>
      <c r="T289" s="407"/>
    </row>
    <row r="290" spans="2:20" ht="17" thickTop="1" x14ac:dyDescent="0.2">
      <c r="B290" s="250" t="s">
        <v>48</v>
      </c>
      <c r="C290" s="237"/>
      <c r="D290" s="237"/>
      <c r="E290" s="237"/>
      <c r="F290" s="237"/>
      <c r="G290" s="237"/>
      <c r="H290" s="239">
        <f>IF(H288&lt;0,ABS(H288),0)</f>
        <v>475915.79666666663</v>
      </c>
      <c r="I290" s="240">
        <f t="shared" ref="I290:T290" si="154">IF(I288&lt;0,ABS(I288),0)</f>
        <v>502483.59044444439</v>
      </c>
      <c r="J290" s="240">
        <f t="shared" si="154"/>
        <v>530512.95333333325</v>
      </c>
      <c r="K290" s="240">
        <f t="shared" si="154"/>
        <v>555658.80799999996</v>
      </c>
      <c r="L290" s="240">
        <f t="shared" si="154"/>
        <v>580102.73377777776</v>
      </c>
      <c r="M290" s="240">
        <f t="shared" si="154"/>
        <v>604862.55333333334</v>
      </c>
      <c r="N290" s="240">
        <f t="shared" si="154"/>
        <v>630904.06799999997</v>
      </c>
      <c r="O290" s="240">
        <f t="shared" si="154"/>
        <v>653489.64444444445</v>
      </c>
      <c r="P290" s="240">
        <f t="shared" si="154"/>
        <v>675400.09066666663</v>
      </c>
      <c r="Q290" s="240">
        <f t="shared" si="154"/>
        <v>697837.35466666659</v>
      </c>
      <c r="R290" s="240">
        <f t="shared" si="154"/>
        <v>719410.28311111103</v>
      </c>
      <c r="S290" s="240">
        <f t="shared" si="154"/>
        <v>739304.56933333329</v>
      </c>
      <c r="T290" s="251">
        <f t="shared" si="154"/>
        <v>739304.56933333329</v>
      </c>
    </row>
  </sheetData>
  <mergeCells count="10">
    <mergeCell ref="C174:C175"/>
    <mergeCell ref="C176:C177"/>
    <mergeCell ref="C170:C171"/>
    <mergeCell ref="C172:C173"/>
    <mergeCell ref="D1:H1"/>
    <mergeCell ref="G85:G86"/>
    <mergeCell ref="F168:G169"/>
    <mergeCell ref="E85:E86"/>
    <mergeCell ref="E103:E104"/>
    <mergeCell ref="F103:G104"/>
  </mergeCells>
  <conditionalFormatting sqref="H257:T257">
    <cfRule type="cellIs" dxfId="20" priority="1" operator="lessThan">
      <formula>0</formula>
    </cfRule>
  </conditionalFormatting>
  <conditionalFormatting sqref="H263:T263">
    <cfRule type="cellIs" dxfId="19" priority="2" operator="lessThan">
      <formula>0</formula>
    </cfRule>
  </conditionalFormatting>
  <conditionalFormatting sqref="H268:T268">
    <cfRule type="cellIs" dxfId="18" priority="3" operator="lessThan">
      <formula>0</formula>
    </cfRule>
  </conditionalFormatting>
  <conditionalFormatting sqref="H283:T283">
    <cfRule type="cellIs" dxfId="17" priority="4" operator="lessThan">
      <formula>0</formula>
    </cfRule>
  </conditionalFormatting>
  <conditionalFormatting sqref="H288:T288">
    <cfRule type="cellIs" dxfId="16" priority="5" operator="lessThan">
      <formula>0</formula>
    </cfRule>
  </conditionalFormatting>
  <dataValidations count="1">
    <dataValidation type="list" showInputMessage="1" showErrorMessage="1" sqref="E170 E178:E179 E174 E176 E172" xr:uid="{00000000-0002-0000-0300-000000000000}">
      <formula1>$A$301:$A$304</formula1>
    </dataValidation>
  </dataValidations>
  <hyperlinks>
    <hyperlink ref="B1" location="Introduction!A1" display="Return to Introduction Page" xr:uid="{00000000-0004-0000-0300-000000000000}"/>
  </hyperlinks>
  <pageMargins left="0.7" right="0.7" top="0.75" bottom="0.75" header="0.3" footer="0.3"/>
  <pageSetup paperSize="9" orientation="portrait" horizontalDpi="0" verticalDpi="0"/>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300-000001000000}">
          <x14:formula1>
            <xm:f>Introduction!$A$301:$A$304</xm:f>
          </x14:formula1>
          <xm:sqref>E181</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T290"/>
  <sheetViews>
    <sheetView showGridLines="0" workbookViewId="0">
      <pane xSplit="7" topLeftCell="H1" activePane="topRight" state="frozen"/>
      <selection pane="topRight" activeCell="E3" sqref="E3"/>
    </sheetView>
  </sheetViews>
  <sheetFormatPr baseColWidth="10" defaultColWidth="11.1640625" defaultRowHeight="16" x14ac:dyDescent="0.2"/>
  <cols>
    <col min="1" max="1" width="7" style="25" customWidth="1"/>
    <col min="2" max="2" width="11" style="309" customWidth="1"/>
    <col min="3" max="3" width="18.83203125" customWidth="1"/>
    <col min="4" max="4" width="27.6640625" customWidth="1"/>
    <col min="5" max="5" width="15.33203125" customWidth="1"/>
    <col min="6" max="7" width="13.83203125" customWidth="1"/>
    <col min="8" max="20" width="19.83203125" customWidth="1"/>
    <col min="21" max="26" width="11" customWidth="1"/>
    <col min="27" max="27" width="13.33203125" customWidth="1"/>
  </cols>
  <sheetData>
    <row r="1" spans="1:20" ht="25" x14ac:dyDescent="0.25">
      <c r="A1" s="56"/>
      <c r="B1" s="108" t="s">
        <v>88</v>
      </c>
      <c r="C1" s="108"/>
      <c r="D1" s="495"/>
      <c r="E1" s="495"/>
      <c r="F1" s="495"/>
      <c r="G1" s="495"/>
      <c r="H1" s="495"/>
      <c r="I1" s="309" t="str">
        <f>"tip: input your assumptions and forecast parameters for "&amp; $E$3&amp;" on the left or in the lightly green highlighted cells below."</f>
        <v>tip: input your assumptions and forecast parameters for Year 3 (2022) on the left or in the lightly green highlighted cells below.</v>
      </c>
      <c r="J1" s="47"/>
    </row>
    <row r="2" spans="1:20" x14ac:dyDescent="0.2">
      <c r="B2" s="304"/>
      <c r="C2" s="108"/>
    </row>
    <row r="3" spans="1:20" ht="20" x14ac:dyDescent="0.2">
      <c r="B3" s="116" t="s">
        <v>0</v>
      </c>
      <c r="C3" s="327"/>
      <c r="D3" s="327"/>
      <c r="E3" s="327" t="str">
        <f>"Year 3 ("&amp;'Financing Schedule'!$D$5+2&amp;")"</f>
        <v>Year 3 (2022)</v>
      </c>
      <c r="F3" s="327"/>
      <c r="G3" s="327"/>
      <c r="H3" s="360" t="s">
        <v>127</v>
      </c>
      <c r="I3" s="361" t="s">
        <v>128</v>
      </c>
      <c r="J3" s="361" t="s">
        <v>129</v>
      </c>
      <c r="K3" s="361" t="s">
        <v>130</v>
      </c>
      <c r="L3" s="361" t="s">
        <v>131</v>
      </c>
      <c r="M3" s="361" t="s">
        <v>132</v>
      </c>
      <c r="N3" s="361" t="s">
        <v>133</v>
      </c>
      <c r="O3" s="361" t="s">
        <v>134</v>
      </c>
      <c r="P3" s="361" t="s">
        <v>135</v>
      </c>
      <c r="Q3" s="361" t="s">
        <v>136</v>
      </c>
      <c r="R3" s="361" t="s">
        <v>137</v>
      </c>
      <c r="S3" s="361" t="s">
        <v>138</v>
      </c>
      <c r="T3" s="362" t="s">
        <v>179</v>
      </c>
    </row>
    <row r="4" spans="1:20" x14ac:dyDescent="0.2">
      <c r="B4" s="401"/>
      <c r="C4" s="402"/>
      <c r="D4" s="402"/>
      <c r="E4" s="402"/>
      <c r="F4" s="402"/>
      <c r="G4" s="403" t="s">
        <v>57</v>
      </c>
      <c r="H4" s="363">
        <v>25</v>
      </c>
      <c r="I4" s="364">
        <f t="shared" ref="I4:S4" si="0">H4+1</f>
        <v>26</v>
      </c>
      <c r="J4" s="364">
        <f t="shared" si="0"/>
        <v>27</v>
      </c>
      <c r="K4" s="364">
        <f t="shared" si="0"/>
        <v>28</v>
      </c>
      <c r="L4" s="364">
        <f t="shared" si="0"/>
        <v>29</v>
      </c>
      <c r="M4" s="364">
        <f t="shared" si="0"/>
        <v>30</v>
      </c>
      <c r="N4" s="364">
        <f t="shared" si="0"/>
        <v>31</v>
      </c>
      <c r="O4" s="364">
        <f t="shared" si="0"/>
        <v>32</v>
      </c>
      <c r="P4" s="364">
        <f t="shared" si="0"/>
        <v>33</v>
      </c>
      <c r="Q4" s="364">
        <f t="shared" si="0"/>
        <v>34</v>
      </c>
      <c r="R4" s="364">
        <f t="shared" si="0"/>
        <v>35</v>
      </c>
      <c r="S4" s="364">
        <f t="shared" si="0"/>
        <v>36</v>
      </c>
      <c r="T4" s="405" t="str">
        <f>"Total for " &amp; $E$3</f>
        <v>Total for Year 3 (2022)</v>
      </c>
    </row>
    <row r="5" spans="1:20" x14ac:dyDescent="0.2">
      <c r="B5" s="308"/>
      <c r="H5" s="365"/>
      <c r="I5" s="366"/>
      <c r="J5" s="366"/>
      <c r="K5" s="366"/>
      <c r="L5" s="366"/>
      <c r="M5" s="366"/>
      <c r="N5" s="366"/>
      <c r="O5" s="366"/>
      <c r="P5" s="366"/>
      <c r="Q5" s="366"/>
      <c r="R5" s="366"/>
      <c r="S5" s="366"/>
      <c r="T5" s="406"/>
    </row>
    <row r="6" spans="1:20" x14ac:dyDescent="0.2">
      <c r="B6" s="307" t="str">
        <f>'Year 2'!B6</f>
        <v>Product Revenue</v>
      </c>
      <c r="C6" s="9"/>
      <c r="D6" s="11"/>
      <c r="E6" s="12"/>
      <c r="H6" s="367"/>
      <c r="I6" s="368"/>
      <c r="J6" s="368"/>
      <c r="K6" s="368"/>
      <c r="L6" s="368"/>
      <c r="M6" s="368"/>
      <c r="N6" s="368"/>
      <c r="O6" s="368"/>
      <c r="P6" s="368"/>
      <c r="Q6" s="368"/>
      <c r="R6" s="368"/>
      <c r="S6" s="368"/>
      <c r="T6" s="407"/>
    </row>
    <row r="7" spans="1:20" x14ac:dyDescent="0.2">
      <c r="B7" s="308"/>
      <c r="C7" t="s">
        <v>188</v>
      </c>
      <c r="E7" s="452">
        <f>'Year 2'!E7</f>
        <v>120</v>
      </c>
      <c r="G7" s="13"/>
      <c r="H7" s="367"/>
      <c r="I7" s="369"/>
      <c r="J7" s="369"/>
      <c r="K7" s="369"/>
      <c r="L7" s="369"/>
      <c r="M7" s="369"/>
      <c r="N7" s="369"/>
      <c r="O7" s="369"/>
      <c r="P7" s="369"/>
      <c r="Q7" s="369"/>
      <c r="R7" s="369"/>
      <c r="S7" s="369"/>
      <c r="T7" s="408"/>
    </row>
    <row r="8" spans="1:20" x14ac:dyDescent="0.2">
      <c r="B8" s="308"/>
      <c r="C8" t="s">
        <v>189</v>
      </c>
      <c r="E8" s="453">
        <f>IF('Year 2'!S11="",'Year 2'!S10,'Year 2'!S11)</f>
        <v>161</v>
      </c>
      <c r="H8" s="367"/>
      <c r="I8" s="368"/>
      <c r="J8" s="368"/>
      <c r="K8" s="368"/>
      <c r="L8" s="368"/>
      <c r="M8" s="368"/>
      <c r="N8" s="368"/>
      <c r="O8" s="368"/>
      <c r="P8" s="368"/>
      <c r="Q8" s="368"/>
      <c r="R8" s="368"/>
      <c r="S8" s="368"/>
      <c r="T8" s="409"/>
    </row>
    <row r="9" spans="1:20" x14ac:dyDescent="0.2">
      <c r="B9" s="308"/>
      <c r="C9" t="str">
        <f>$E$3&amp;" Sales Growth"</f>
        <v>Year 3 (2022) Sales Growth</v>
      </c>
      <c r="E9" s="454">
        <v>0.4</v>
      </c>
      <c r="G9" s="13"/>
      <c r="H9" s="370"/>
      <c r="I9" s="371"/>
      <c r="J9" s="371"/>
      <c r="K9" s="371"/>
      <c r="L9" s="371"/>
      <c r="M9" s="371"/>
      <c r="N9" s="371"/>
      <c r="O9" s="371"/>
      <c r="P9" s="371"/>
      <c r="Q9" s="371"/>
      <c r="R9" s="371"/>
      <c r="S9" s="372"/>
      <c r="T9" s="410"/>
    </row>
    <row r="10" spans="1:20" x14ac:dyDescent="0.2">
      <c r="B10" s="307" t="s">
        <v>262</v>
      </c>
      <c r="G10" s="13"/>
      <c r="H10" s="455"/>
      <c r="I10" s="456"/>
      <c r="J10" s="456"/>
      <c r="K10" s="456"/>
      <c r="L10" s="456"/>
      <c r="M10" s="456"/>
      <c r="N10" s="456"/>
      <c r="O10" s="456"/>
      <c r="P10" s="456"/>
      <c r="Q10" s="456"/>
      <c r="R10" s="456"/>
      <c r="S10" s="456"/>
      <c r="T10" s="410" t="str">
        <f>IF(SUM(H10:S10)=0,"",SUM(H10:S10))</f>
        <v/>
      </c>
    </row>
    <row r="11" spans="1:20" ht="17" thickBot="1" x14ac:dyDescent="0.25">
      <c r="B11" s="307" t="s">
        <v>294</v>
      </c>
      <c r="H11" s="370">
        <f>IFERROR(IF(H10="",ROUNDDOWN($E8+((H$4-$H$4+1)/12)*($S11-$E8),0),""),"")</f>
        <v>166</v>
      </c>
      <c r="I11" s="371">
        <f t="shared" ref="I11:R11" si="1">IFERROR(IF(I10="",ROUNDDOWN($E$8+((I$4-$H$4+1)/12)*($S11-$E$8),0),""),"")</f>
        <v>171</v>
      </c>
      <c r="J11" s="371">
        <f t="shared" si="1"/>
        <v>177</v>
      </c>
      <c r="K11" s="371">
        <f t="shared" si="1"/>
        <v>182</v>
      </c>
      <c r="L11" s="371">
        <f t="shared" si="1"/>
        <v>187</v>
      </c>
      <c r="M11" s="371">
        <f t="shared" si="1"/>
        <v>193</v>
      </c>
      <c r="N11" s="371">
        <f t="shared" si="1"/>
        <v>198</v>
      </c>
      <c r="O11" s="371">
        <f t="shared" si="1"/>
        <v>203</v>
      </c>
      <c r="P11" s="371">
        <f t="shared" si="1"/>
        <v>209</v>
      </c>
      <c r="Q11" s="371">
        <f t="shared" si="1"/>
        <v>214</v>
      </c>
      <c r="R11" s="371">
        <f t="shared" si="1"/>
        <v>219</v>
      </c>
      <c r="S11" s="371">
        <f>IFERROR(IF(S10="",ROUNDDOWN($E8*(1+$E9),0),""),"")</f>
        <v>225</v>
      </c>
      <c r="T11" s="410">
        <f>IF(SUM(H11:S11)=0,"",SUM(H11:S11))</f>
        <v>2344</v>
      </c>
    </row>
    <row r="12" spans="1:20" ht="17" thickTop="1" x14ac:dyDescent="0.2">
      <c r="B12" s="418" t="s">
        <v>257</v>
      </c>
      <c r="C12" s="419"/>
      <c r="D12" s="419"/>
      <c r="E12" s="419"/>
      <c r="F12" s="419"/>
      <c r="G12" s="420"/>
      <c r="H12" s="421">
        <f>IF(H11="",H10*$E7,H11*$E7)</f>
        <v>19920</v>
      </c>
      <c r="I12" s="422">
        <f>IF(I11="",I10*$E7,I11*$E7)</f>
        <v>20520</v>
      </c>
      <c r="J12" s="422">
        <f t="shared" ref="J12:S12" si="2">IF(J11="",J10*$E7,J11*$E7)</f>
        <v>21240</v>
      </c>
      <c r="K12" s="422">
        <f t="shared" si="2"/>
        <v>21840</v>
      </c>
      <c r="L12" s="422">
        <f t="shared" si="2"/>
        <v>22440</v>
      </c>
      <c r="M12" s="422">
        <f t="shared" si="2"/>
        <v>23160</v>
      </c>
      <c r="N12" s="422">
        <f t="shared" si="2"/>
        <v>23760</v>
      </c>
      <c r="O12" s="422">
        <f t="shared" si="2"/>
        <v>24360</v>
      </c>
      <c r="P12" s="422">
        <f t="shared" si="2"/>
        <v>25080</v>
      </c>
      <c r="Q12" s="422">
        <f t="shared" si="2"/>
        <v>25680</v>
      </c>
      <c r="R12" s="422">
        <f t="shared" si="2"/>
        <v>26280</v>
      </c>
      <c r="S12" s="422">
        <f t="shared" si="2"/>
        <v>27000</v>
      </c>
      <c r="T12" s="423">
        <f>SUM(H12:S12)</f>
        <v>281280</v>
      </c>
    </row>
    <row r="13" spans="1:20" x14ac:dyDescent="0.2">
      <c r="B13" s="308"/>
      <c r="G13" s="14"/>
      <c r="H13" s="373"/>
      <c r="I13" s="374"/>
      <c r="J13" s="374"/>
      <c r="K13" s="374"/>
      <c r="L13" s="374"/>
      <c r="M13" s="374"/>
      <c r="N13" s="374"/>
      <c r="O13" s="374"/>
      <c r="P13" s="374"/>
      <c r="Q13" s="374"/>
      <c r="R13" s="374"/>
      <c r="S13" s="374"/>
      <c r="T13" s="411"/>
    </row>
    <row r="14" spans="1:20" x14ac:dyDescent="0.2">
      <c r="B14" s="307" t="str">
        <f>'Year 2'!B14</f>
        <v>Service Revenue</v>
      </c>
      <c r="C14" s="9"/>
      <c r="D14" s="11"/>
      <c r="E14" s="58"/>
      <c r="H14" s="367"/>
      <c r="I14" s="368"/>
      <c r="J14" s="368"/>
      <c r="K14" s="368"/>
      <c r="L14" s="368"/>
      <c r="M14" s="368"/>
      <c r="N14" s="368"/>
      <c r="O14" s="368"/>
      <c r="P14" s="368"/>
      <c r="Q14" s="368"/>
      <c r="R14" s="368"/>
      <c r="S14" s="368"/>
      <c r="T14" s="407"/>
    </row>
    <row r="15" spans="1:20" x14ac:dyDescent="0.2">
      <c r="B15" s="308"/>
      <c r="C15" t="s">
        <v>255</v>
      </c>
      <c r="E15" s="452">
        <f>'Year 2'!E15</f>
        <v>10</v>
      </c>
      <c r="G15" s="13"/>
      <c r="H15" s="367"/>
      <c r="I15" s="369"/>
      <c r="J15" s="369"/>
      <c r="K15" s="369"/>
      <c r="L15" s="369"/>
      <c r="M15" s="369"/>
      <c r="N15" s="369"/>
      <c r="O15" s="369"/>
      <c r="P15" s="369"/>
      <c r="Q15" s="369"/>
      <c r="R15" s="369"/>
      <c r="S15" s="369"/>
      <c r="T15" s="408"/>
    </row>
    <row r="16" spans="1:20" x14ac:dyDescent="0.2">
      <c r="B16" s="308"/>
      <c r="C16" t="s">
        <v>256</v>
      </c>
      <c r="E16" s="453">
        <f>IF('Year 2'!S19="",'Year 2'!S18,'Year 2'!S19)</f>
        <v>46</v>
      </c>
      <c r="F16" t="s">
        <v>14</v>
      </c>
      <c r="H16" s="367"/>
      <c r="I16" s="368"/>
      <c r="J16" s="368"/>
      <c r="K16" s="368"/>
      <c r="L16" s="368"/>
      <c r="M16" s="368"/>
      <c r="N16" s="368"/>
      <c r="O16" s="368"/>
      <c r="P16" s="368"/>
      <c r="Q16" s="368"/>
      <c r="R16" s="368"/>
      <c r="S16" s="368"/>
      <c r="T16" s="409"/>
    </row>
    <row r="17" spans="2:20" x14ac:dyDescent="0.2">
      <c r="B17" s="308"/>
      <c r="C17" t="str">
        <f>$E$3&amp;" Sales Growth"</f>
        <v>Year 3 (2022) Sales Growth</v>
      </c>
      <c r="E17" s="454">
        <v>0.6</v>
      </c>
      <c r="G17" s="13"/>
      <c r="H17" s="370"/>
      <c r="I17" s="371"/>
      <c r="J17" s="371"/>
      <c r="K17" s="371"/>
      <c r="L17" s="371"/>
      <c r="M17" s="371"/>
      <c r="N17" s="371"/>
      <c r="O17" s="371"/>
      <c r="P17" s="371"/>
      <c r="Q17" s="371"/>
      <c r="R17" s="371"/>
      <c r="S17" s="372"/>
      <c r="T17" s="410"/>
    </row>
    <row r="18" spans="2:20" x14ac:dyDescent="0.2">
      <c r="B18" s="307" t="s">
        <v>260</v>
      </c>
      <c r="G18" s="13"/>
      <c r="H18" s="455"/>
      <c r="I18" s="456"/>
      <c r="J18" s="456"/>
      <c r="K18" s="456"/>
      <c r="L18" s="456"/>
      <c r="M18" s="456"/>
      <c r="N18" s="456"/>
      <c r="O18" s="456"/>
      <c r="P18" s="456"/>
      <c r="Q18" s="456"/>
      <c r="R18" s="456"/>
      <c r="S18" s="456"/>
      <c r="T18" s="410" t="str">
        <f>IF(SUM(H18:S18)=0,"",SUM(H18:S18))</f>
        <v/>
      </c>
    </row>
    <row r="19" spans="2:20" ht="17" thickBot="1" x14ac:dyDescent="0.25">
      <c r="B19" s="307" t="s">
        <v>263</v>
      </c>
      <c r="H19" s="370">
        <f>IFERROR(IF(H18="",ROUNDDOWN($E16+((H$4-$H$4+1)/12)*($S19-$E16),0),""),"")</f>
        <v>48</v>
      </c>
      <c r="I19" s="371">
        <f t="shared" ref="I19:R19" si="3">IFERROR(IF(I18="",ROUNDDOWN($E16+((I$4-$H$4+1)/12)*($S19-$E16),0),""),"")</f>
        <v>50</v>
      </c>
      <c r="J19" s="371">
        <f t="shared" si="3"/>
        <v>52</v>
      </c>
      <c r="K19" s="371">
        <f t="shared" si="3"/>
        <v>55</v>
      </c>
      <c r="L19" s="371">
        <f t="shared" si="3"/>
        <v>57</v>
      </c>
      <c r="M19" s="371">
        <f t="shared" si="3"/>
        <v>59</v>
      </c>
      <c r="N19" s="371">
        <f t="shared" si="3"/>
        <v>61</v>
      </c>
      <c r="O19" s="371">
        <f t="shared" si="3"/>
        <v>64</v>
      </c>
      <c r="P19" s="371">
        <f t="shared" si="3"/>
        <v>66</v>
      </c>
      <c r="Q19" s="371">
        <f t="shared" si="3"/>
        <v>68</v>
      </c>
      <c r="R19" s="371">
        <f t="shared" si="3"/>
        <v>70</v>
      </c>
      <c r="S19" s="371">
        <f>IFERROR(IF(S18="",ROUNDDOWN($E16*(1+$E17),0),""),"")</f>
        <v>73</v>
      </c>
      <c r="T19" s="410">
        <f>IF(SUM(H19:S19)=0,"",SUM(H19:S19))</f>
        <v>723</v>
      </c>
    </row>
    <row r="20" spans="2:20" ht="17" thickTop="1" x14ac:dyDescent="0.2">
      <c r="B20" s="418" t="s">
        <v>258</v>
      </c>
      <c r="C20" s="419"/>
      <c r="D20" s="419"/>
      <c r="E20" s="419"/>
      <c r="F20" s="419"/>
      <c r="G20" s="420"/>
      <c r="H20" s="421">
        <f>IF(H19="",H18*$E15,H19*$E15)</f>
        <v>480</v>
      </c>
      <c r="I20" s="422">
        <f>IF(I19="",I18*$E15,I19*$E15)</f>
        <v>500</v>
      </c>
      <c r="J20" s="422">
        <f t="shared" ref="J20:S20" si="4">IF(J19="",J18*$E15,J19*$E15)</f>
        <v>520</v>
      </c>
      <c r="K20" s="422">
        <f t="shared" si="4"/>
        <v>550</v>
      </c>
      <c r="L20" s="422">
        <f t="shared" si="4"/>
        <v>570</v>
      </c>
      <c r="M20" s="422">
        <f t="shared" si="4"/>
        <v>590</v>
      </c>
      <c r="N20" s="422">
        <f t="shared" si="4"/>
        <v>610</v>
      </c>
      <c r="O20" s="422">
        <f t="shared" si="4"/>
        <v>640</v>
      </c>
      <c r="P20" s="422">
        <f t="shared" si="4"/>
        <v>660</v>
      </c>
      <c r="Q20" s="422">
        <f t="shared" si="4"/>
        <v>680</v>
      </c>
      <c r="R20" s="422">
        <f t="shared" si="4"/>
        <v>700</v>
      </c>
      <c r="S20" s="422">
        <f t="shared" si="4"/>
        <v>730</v>
      </c>
      <c r="T20" s="423">
        <f>SUM(H20:S20)</f>
        <v>7230</v>
      </c>
    </row>
    <row r="21" spans="2:20" x14ac:dyDescent="0.2">
      <c r="B21" s="307"/>
      <c r="E21" s="15"/>
      <c r="G21" s="13"/>
      <c r="H21" s="367"/>
      <c r="I21" s="368"/>
      <c r="J21" s="368"/>
      <c r="K21" s="368"/>
      <c r="L21" s="368"/>
      <c r="M21" s="368"/>
      <c r="N21" s="368"/>
      <c r="O21" s="368"/>
      <c r="P21" s="368"/>
      <c r="Q21" s="368"/>
      <c r="R21" s="368"/>
      <c r="S21" s="368"/>
      <c r="T21" s="412"/>
    </row>
    <row r="22" spans="2:20" x14ac:dyDescent="0.2">
      <c r="B22" s="307" t="str">
        <f>'Year 2'!B22</f>
        <v>Billable Hours Revenue</v>
      </c>
      <c r="C22" s="9"/>
      <c r="D22" s="11"/>
      <c r="E22" s="58"/>
      <c r="H22" s="367"/>
      <c r="I22" s="368"/>
      <c r="J22" s="368"/>
      <c r="K22" s="368"/>
      <c r="L22" s="368"/>
      <c r="M22" s="368"/>
      <c r="N22" s="368"/>
      <c r="O22" s="368"/>
      <c r="P22" s="368"/>
      <c r="Q22" s="368"/>
      <c r="R22" s="368"/>
      <c r="S22" s="368"/>
      <c r="T22" s="407"/>
    </row>
    <row r="23" spans="2:20" x14ac:dyDescent="0.2">
      <c r="B23" s="308"/>
      <c r="C23" t="s">
        <v>249</v>
      </c>
      <c r="E23" s="452">
        <f>'Year 2'!E23</f>
        <v>150</v>
      </c>
      <c r="G23" s="13"/>
      <c r="H23" s="367"/>
      <c r="I23" s="369"/>
      <c r="J23" s="369"/>
      <c r="K23" s="369"/>
      <c r="L23" s="369"/>
      <c r="M23" s="369"/>
      <c r="N23" s="369"/>
      <c r="O23" s="369"/>
      <c r="P23" s="369"/>
      <c r="Q23" s="369"/>
      <c r="R23" s="369"/>
      <c r="S23" s="369"/>
      <c r="T23" s="408"/>
    </row>
    <row r="24" spans="2:20" x14ac:dyDescent="0.2">
      <c r="B24" s="308"/>
      <c r="C24" t="s">
        <v>250</v>
      </c>
      <c r="E24" s="453">
        <f>IF('Year 2'!S27="",'Year 2'!S26,'Year 2'!S27)</f>
        <v>93.6</v>
      </c>
      <c r="H24" s="367"/>
      <c r="I24" s="368"/>
      <c r="J24" s="368"/>
      <c r="K24" s="368"/>
      <c r="L24" s="368"/>
      <c r="M24" s="368"/>
      <c r="N24" s="368"/>
      <c r="O24" s="368"/>
      <c r="P24" s="368"/>
      <c r="Q24" s="368"/>
      <c r="R24" s="368"/>
      <c r="S24" s="368"/>
      <c r="T24" s="409"/>
    </row>
    <row r="25" spans="2:20" x14ac:dyDescent="0.2">
      <c r="B25" s="308"/>
      <c r="C25" t="str">
        <f>$E$3&amp;" Billable Hours Growth"</f>
        <v>Year 3 (2022) Billable Hours Growth</v>
      </c>
      <c r="E25" s="454">
        <v>0.6</v>
      </c>
      <c r="G25" s="13"/>
      <c r="H25" s="370"/>
      <c r="I25" s="371"/>
      <c r="J25" s="371"/>
      <c r="K25" s="371"/>
      <c r="L25" s="371"/>
      <c r="M25" s="371"/>
      <c r="N25" s="371"/>
      <c r="O25" s="371"/>
      <c r="P25" s="371"/>
      <c r="Q25" s="371"/>
      <c r="R25" s="371"/>
      <c r="S25" s="372"/>
      <c r="T25" s="410"/>
    </row>
    <row r="26" spans="2:20" x14ac:dyDescent="0.2">
      <c r="B26" s="307" t="s">
        <v>261</v>
      </c>
      <c r="G26" s="13"/>
      <c r="H26" s="455"/>
      <c r="I26" s="456"/>
      <c r="J26" s="456"/>
      <c r="K26" s="456"/>
      <c r="L26" s="456"/>
      <c r="M26" s="456"/>
      <c r="N26" s="456"/>
      <c r="O26" s="456"/>
      <c r="P26" s="456"/>
      <c r="Q26" s="456"/>
      <c r="R26" s="456"/>
      <c r="S26" s="456"/>
      <c r="T26" s="410" t="str">
        <f>IF(SUM(H26:S26)=0,"",SUM(H26:S26))</f>
        <v/>
      </c>
    </row>
    <row r="27" spans="2:20" ht="17" thickBot="1" x14ac:dyDescent="0.25">
      <c r="B27" s="307" t="s">
        <v>251</v>
      </c>
      <c r="H27" s="375">
        <f>IFERROR(IF(H26="",ROUNDDOWN($E24+((H$4-$H$4+1)/12)*($S27-$E24),0),""),"")</f>
        <v>98</v>
      </c>
      <c r="I27" s="376">
        <f t="shared" ref="I27:R27" si="5">IFERROR(IF(I26="",ROUNDDOWN($E24+((I$4-$H$4+1)/12)*($S27-$E24),0),""),"")</f>
        <v>102</v>
      </c>
      <c r="J27" s="376">
        <f t="shared" si="5"/>
        <v>107</v>
      </c>
      <c r="K27" s="376">
        <f t="shared" si="5"/>
        <v>112</v>
      </c>
      <c r="L27" s="376">
        <f t="shared" si="5"/>
        <v>116</v>
      </c>
      <c r="M27" s="376">
        <f t="shared" si="5"/>
        <v>121</v>
      </c>
      <c r="N27" s="376">
        <f t="shared" si="5"/>
        <v>126</v>
      </c>
      <c r="O27" s="376">
        <f t="shared" si="5"/>
        <v>131</v>
      </c>
      <c r="P27" s="376">
        <f t="shared" si="5"/>
        <v>135</v>
      </c>
      <c r="Q27" s="376">
        <f t="shared" si="5"/>
        <v>140</v>
      </c>
      <c r="R27" s="376">
        <f t="shared" si="5"/>
        <v>145</v>
      </c>
      <c r="S27" s="376">
        <f>IFERROR(IF(S26="",ROUNDDOWN($E24*(1+$E25),1),""),"")</f>
        <v>149.69999999999999</v>
      </c>
      <c r="T27" s="410">
        <f>IF(SUM(H27:S27)=0,"",SUM(H27:S27))</f>
        <v>1482.7</v>
      </c>
    </row>
    <row r="28" spans="2:20" ht="17" thickTop="1" x14ac:dyDescent="0.2">
      <c r="B28" s="418" t="s">
        <v>252</v>
      </c>
      <c r="C28" s="419"/>
      <c r="D28" s="419"/>
      <c r="E28" s="419"/>
      <c r="F28" s="419"/>
      <c r="G28" s="420"/>
      <c r="H28" s="421">
        <f>IF(H27="",H26*$E23,H27*$E23)</f>
        <v>14700</v>
      </c>
      <c r="I28" s="422">
        <f>IF(I27="",I26*$E23,I27*$E23)</f>
        <v>15300</v>
      </c>
      <c r="J28" s="422">
        <f t="shared" ref="J28:S28" si="6">IF(J27="",J26*$E23,J27*$E23)</f>
        <v>16050</v>
      </c>
      <c r="K28" s="422">
        <f t="shared" si="6"/>
        <v>16800</v>
      </c>
      <c r="L28" s="422">
        <f t="shared" si="6"/>
        <v>17400</v>
      </c>
      <c r="M28" s="422">
        <f t="shared" si="6"/>
        <v>18150</v>
      </c>
      <c r="N28" s="422">
        <f t="shared" si="6"/>
        <v>18900</v>
      </c>
      <c r="O28" s="422">
        <f t="shared" si="6"/>
        <v>19650</v>
      </c>
      <c r="P28" s="422">
        <f t="shared" si="6"/>
        <v>20250</v>
      </c>
      <c r="Q28" s="422">
        <f t="shared" si="6"/>
        <v>21000</v>
      </c>
      <c r="R28" s="422">
        <f t="shared" si="6"/>
        <v>21750</v>
      </c>
      <c r="S28" s="422">
        <f t="shared" si="6"/>
        <v>22455</v>
      </c>
      <c r="T28" s="423">
        <f>SUM(H28:S28)</f>
        <v>222405</v>
      </c>
    </row>
    <row r="29" spans="2:20" x14ac:dyDescent="0.2">
      <c r="B29" s="308"/>
      <c r="E29" s="59"/>
      <c r="G29" s="13"/>
      <c r="H29" s="367"/>
      <c r="I29" s="368"/>
      <c r="J29" s="368"/>
      <c r="K29" s="368"/>
      <c r="L29" s="368"/>
      <c r="M29" s="368"/>
      <c r="N29" s="368"/>
      <c r="O29" s="368"/>
      <c r="P29" s="368"/>
      <c r="Q29" s="368"/>
      <c r="R29" s="368"/>
      <c r="S29" s="368"/>
      <c r="T29" s="412"/>
    </row>
    <row r="30" spans="2:20" x14ac:dyDescent="0.2">
      <c r="B30" s="307" t="str">
        <f>'Year 2'!B30</f>
        <v>Subscription Revenue</v>
      </c>
      <c r="C30" s="9"/>
      <c r="D30" s="11"/>
      <c r="E30" s="58"/>
      <c r="H30" s="367"/>
      <c r="I30" s="368"/>
      <c r="J30" s="368"/>
      <c r="K30" s="368"/>
      <c r="L30" s="368"/>
      <c r="M30" s="368"/>
      <c r="N30" s="368"/>
      <c r="O30" s="368"/>
      <c r="P30" s="368"/>
      <c r="Q30" s="368"/>
      <c r="R30" s="368"/>
      <c r="S30" s="368"/>
      <c r="T30" s="407"/>
    </row>
    <row r="31" spans="2:20" x14ac:dyDescent="0.2">
      <c r="B31" s="308"/>
      <c r="C31" t="s">
        <v>245</v>
      </c>
      <c r="E31" s="452">
        <f>'Year 2'!E31</f>
        <v>20</v>
      </c>
      <c r="G31" s="13"/>
      <c r="H31" s="367"/>
      <c r="I31" s="369"/>
      <c r="J31" s="369"/>
      <c r="K31" s="369"/>
      <c r="L31" s="369"/>
      <c r="M31" s="369"/>
      <c r="N31" s="369"/>
      <c r="O31" s="369"/>
      <c r="P31" s="369"/>
      <c r="Q31" s="369"/>
      <c r="R31" s="369"/>
      <c r="S31" s="369"/>
      <c r="T31" s="408"/>
    </row>
    <row r="32" spans="2:20" x14ac:dyDescent="0.2">
      <c r="B32" s="308"/>
      <c r="C32" t="s">
        <v>244</v>
      </c>
      <c r="E32" s="452">
        <f>'Year 2'!E32</f>
        <v>11</v>
      </c>
      <c r="H32" s="367"/>
      <c r="I32" s="368"/>
      <c r="J32" s="368"/>
      <c r="K32" s="368"/>
      <c r="L32" s="368"/>
      <c r="M32" s="368"/>
      <c r="N32" s="368"/>
      <c r="O32" s="368"/>
      <c r="P32" s="368"/>
      <c r="Q32" s="368"/>
      <c r="R32" s="368"/>
      <c r="S32" s="368"/>
      <c r="T32" s="409"/>
    </row>
    <row r="33" spans="2:20" x14ac:dyDescent="0.2">
      <c r="B33" s="308"/>
      <c r="C33" t="s">
        <v>259</v>
      </c>
      <c r="E33" s="453">
        <f>'Year 2'!S38</f>
        <v>54</v>
      </c>
      <c r="H33" s="367"/>
      <c r="I33" s="368"/>
      <c r="J33" s="368"/>
      <c r="K33" s="368"/>
      <c r="L33" s="368"/>
      <c r="M33" s="368"/>
      <c r="N33" s="368"/>
      <c r="O33" s="368"/>
      <c r="P33" s="368"/>
      <c r="Q33" s="368"/>
      <c r="R33" s="368"/>
      <c r="S33" s="368"/>
      <c r="T33" s="409"/>
    </row>
    <row r="34" spans="2:20" x14ac:dyDescent="0.2">
      <c r="B34" s="308"/>
      <c r="C34" t="str">
        <f>"Number of new customers per month "&amp;$E$3</f>
        <v>Number of new customers per month Year 3 (2022)</v>
      </c>
      <c r="E34" s="453">
        <v>15</v>
      </c>
      <c r="G34" s="13"/>
      <c r="H34" s="370"/>
      <c r="I34" s="371"/>
      <c r="J34" s="371"/>
      <c r="K34" s="371"/>
      <c r="L34" s="371"/>
      <c r="M34" s="371"/>
      <c r="N34" s="371"/>
      <c r="O34" s="371"/>
      <c r="P34" s="371"/>
      <c r="Q34" s="371"/>
      <c r="R34" s="371"/>
      <c r="S34" s="372"/>
      <c r="T34" s="410"/>
    </row>
    <row r="35" spans="2:20" x14ac:dyDescent="0.2">
      <c r="B35" s="308"/>
      <c r="C35" t="str">
        <f>$E$3&amp;" Churn rate"</f>
        <v>Year 3 (2022) Churn rate</v>
      </c>
      <c r="E35" s="454">
        <v>0.26</v>
      </c>
      <c r="G35" s="13"/>
      <c r="H35" s="370"/>
      <c r="I35" s="371"/>
      <c r="J35" s="371"/>
      <c r="K35" s="371"/>
      <c r="L35" s="371"/>
      <c r="M35" s="371"/>
      <c r="N35" s="371"/>
      <c r="O35" s="371"/>
      <c r="P35" s="371"/>
      <c r="Q35" s="371"/>
      <c r="R35" s="371"/>
      <c r="S35" s="372"/>
      <c r="T35" s="410"/>
    </row>
    <row r="36" spans="2:20" x14ac:dyDescent="0.2">
      <c r="B36" s="307" t="s">
        <v>273</v>
      </c>
      <c r="G36" s="13"/>
      <c r="H36" s="455"/>
      <c r="I36" s="456"/>
      <c r="J36" s="456"/>
      <c r="K36" s="456"/>
      <c r="L36" s="456"/>
      <c r="M36" s="456"/>
      <c r="N36" s="456"/>
      <c r="O36" s="456"/>
      <c r="P36" s="456"/>
      <c r="Q36" s="456"/>
      <c r="R36" s="456"/>
      <c r="S36" s="456"/>
      <c r="T36" s="410" t="str">
        <f>IF(SUM(H36:S36)=0,"",SUM(H36:S36))</f>
        <v/>
      </c>
    </row>
    <row r="37" spans="2:20" x14ac:dyDescent="0.2">
      <c r="B37" s="307" t="s">
        <v>272</v>
      </c>
      <c r="H37" s="370">
        <f>IF(H36="",$E$34,"")</f>
        <v>15</v>
      </c>
      <c r="I37" s="371">
        <f t="shared" ref="I37:S37" si="7">IF(I36="",$E$34,"")</f>
        <v>15</v>
      </c>
      <c r="J37" s="371">
        <f t="shared" si="7"/>
        <v>15</v>
      </c>
      <c r="K37" s="371">
        <f t="shared" si="7"/>
        <v>15</v>
      </c>
      <c r="L37" s="371">
        <f t="shared" si="7"/>
        <v>15</v>
      </c>
      <c r="M37" s="371">
        <f t="shared" si="7"/>
        <v>15</v>
      </c>
      <c r="N37" s="371">
        <f t="shared" si="7"/>
        <v>15</v>
      </c>
      <c r="O37" s="371">
        <f t="shared" si="7"/>
        <v>15</v>
      </c>
      <c r="P37" s="371">
        <f t="shared" si="7"/>
        <v>15</v>
      </c>
      <c r="Q37" s="371">
        <f t="shared" si="7"/>
        <v>15</v>
      </c>
      <c r="R37" s="371">
        <f t="shared" si="7"/>
        <v>15</v>
      </c>
      <c r="S37" s="371">
        <f t="shared" si="7"/>
        <v>15</v>
      </c>
      <c r="T37" s="410">
        <f>IF(SUM(H37:S37)=0,"",SUM(H37:S37))</f>
        <v>180</v>
      </c>
    </row>
    <row r="38" spans="2:20" ht="17" thickBot="1" x14ac:dyDescent="0.25">
      <c r="B38" s="307" t="s">
        <v>246</v>
      </c>
      <c r="H38" s="370">
        <f>ROUNDDOWN(IF(H$37="",H$36+$E$33-($E$33*$E$35),H$37+$E$33-($E$33*$E$35)),0)</f>
        <v>54</v>
      </c>
      <c r="I38" s="371">
        <f>ROUNDDOWN(IF(I37="",I$36+H$38-(H$38*$E$35),I$37+H$38-(H$38*$E$35)),0)</f>
        <v>54</v>
      </c>
      <c r="J38" s="371">
        <f t="shared" ref="J38:S38" si="8">ROUNDDOWN(IF(J37="",J$36+I$38-(I$38*$E$35),J$37+I$38-(I$38*$E$35)),0)</f>
        <v>54</v>
      </c>
      <c r="K38" s="371">
        <f t="shared" si="8"/>
        <v>54</v>
      </c>
      <c r="L38" s="371">
        <f t="shared" si="8"/>
        <v>54</v>
      </c>
      <c r="M38" s="371">
        <f t="shared" si="8"/>
        <v>54</v>
      </c>
      <c r="N38" s="371">
        <f t="shared" si="8"/>
        <v>54</v>
      </c>
      <c r="O38" s="371">
        <f t="shared" si="8"/>
        <v>54</v>
      </c>
      <c r="P38" s="371">
        <f t="shared" si="8"/>
        <v>54</v>
      </c>
      <c r="Q38" s="371">
        <f t="shared" si="8"/>
        <v>54</v>
      </c>
      <c r="R38" s="371">
        <f t="shared" si="8"/>
        <v>54</v>
      </c>
      <c r="S38" s="371">
        <f t="shared" si="8"/>
        <v>54</v>
      </c>
      <c r="T38" s="410">
        <f>S38</f>
        <v>54</v>
      </c>
    </row>
    <row r="39" spans="2:20" ht="17" thickTop="1" x14ac:dyDescent="0.2">
      <c r="B39" s="418" t="s">
        <v>247</v>
      </c>
      <c r="C39" s="419"/>
      <c r="D39" s="419"/>
      <c r="E39" s="419"/>
      <c r="F39" s="419"/>
      <c r="G39" s="420"/>
      <c r="H39" s="421">
        <f>IF(H$37="",H$38*$E$32+H$36*$E$31,H$38*$E$32+H$37*$E$31)</f>
        <v>894</v>
      </c>
      <c r="I39" s="422">
        <f t="shared" ref="I39:S39" si="9">IF(I$37="",I$38*$E$32+I$36*$E$31,I$38*$E$32+I$37*$E$31)</f>
        <v>894</v>
      </c>
      <c r="J39" s="422">
        <f t="shared" si="9"/>
        <v>894</v>
      </c>
      <c r="K39" s="422">
        <f t="shared" si="9"/>
        <v>894</v>
      </c>
      <c r="L39" s="422">
        <f t="shared" si="9"/>
        <v>894</v>
      </c>
      <c r="M39" s="422">
        <f t="shared" si="9"/>
        <v>894</v>
      </c>
      <c r="N39" s="422">
        <f t="shared" si="9"/>
        <v>894</v>
      </c>
      <c r="O39" s="422">
        <f t="shared" si="9"/>
        <v>894</v>
      </c>
      <c r="P39" s="422">
        <f t="shared" si="9"/>
        <v>894</v>
      </c>
      <c r="Q39" s="422">
        <f t="shared" si="9"/>
        <v>894</v>
      </c>
      <c r="R39" s="422">
        <f t="shared" si="9"/>
        <v>894</v>
      </c>
      <c r="S39" s="422">
        <f t="shared" si="9"/>
        <v>894</v>
      </c>
      <c r="T39" s="423">
        <f>SUM(H39:S39)</f>
        <v>10728</v>
      </c>
    </row>
    <row r="40" spans="2:20" ht="17" thickBot="1" x14ac:dyDescent="0.25">
      <c r="B40" s="404"/>
      <c r="C40" s="2"/>
      <c r="D40" s="2"/>
      <c r="E40" s="2"/>
      <c r="F40" s="2"/>
      <c r="G40" s="3"/>
      <c r="H40" s="377"/>
      <c r="I40" s="378"/>
      <c r="J40" s="378"/>
      <c r="K40" s="378"/>
      <c r="L40" s="378"/>
      <c r="M40" s="378"/>
      <c r="N40" s="378"/>
      <c r="O40" s="378"/>
      <c r="P40" s="378"/>
      <c r="Q40" s="378"/>
      <c r="R40" s="378"/>
      <c r="S40" s="368"/>
      <c r="T40" s="413"/>
    </row>
    <row r="41" spans="2:20" ht="17" thickTop="1" x14ac:dyDescent="0.2">
      <c r="B41" s="236" t="s">
        <v>208</v>
      </c>
      <c r="C41" s="237"/>
      <c r="D41" s="237"/>
      <c r="E41" s="237"/>
      <c r="F41" s="237"/>
      <c r="G41" s="237"/>
      <c r="H41" s="239">
        <f t="shared" ref="H41:S41" si="10">SUM(H12,H20,H28,H39)</f>
        <v>35994</v>
      </c>
      <c r="I41" s="240">
        <f t="shared" si="10"/>
        <v>37214</v>
      </c>
      <c r="J41" s="240">
        <f t="shared" si="10"/>
        <v>38704</v>
      </c>
      <c r="K41" s="240">
        <f t="shared" si="10"/>
        <v>40084</v>
      </c>
      <c r="L41" s="240">
        <f t="shared" si="10"/>
        <v>41304</v>
      </c>
      <c r="M41" s="240">
        <f t="shared" si="10"/>
        <v>42794</v>
      </c>
      <c r="N41" s="240">
        <f t="shared" si="10"/>
        <v>44164</v>
      </c>
      <c r="O41" s="240">
        <f t="shared" si="10"/>
        <v>45544</v>
      </c>
      <c r="P41" s="240">
        <f t="shared" si="10"/>
        <v>46884</v>
      </c>
      <c r="Q41" s="240">
        <f t="shared" si="10"/>
        <v>48254</v>
      </c>
      <c r="R41" s="240">
        <f t="shared" si="10"/>
        <v>49624</v>
      </c>
      <c r="S41" s="240">
        <f t="shared" si="10"/>
        <v>51079</v>
      </c>
      <c r="T41" s="240">
        <f>SUM(H41:S41)</f>
        <v>521643</v>
      </c>
    </row>
    <row r="42" spans="2:20" x14ac:dyDescent="0.2">
      <c r="B42" s="400"/>
      <c r="C42" s="5"/>
      <c r="D42" s="5"/>
      <c r="E42" s="5"/>
      <c r="F42" s="5"/>
      <c r="G42" s="5"/>
      <c r="H42" s="414"/>
      <c r="I42" s="415"/>
      <c r="J42" s="415"/>
      <c r="K42" s="415"/>
      <c r="L42" s="415"/>
      <c r="M42" s="415"/>
      <c r="N42" s="415"/>
      <c r="O42" s="415"/>
      <c r="P42" s="415"/>
      <c r="Q42" s="415"/>
      <c r="R42" s="415"/>
      <c r="S42" s="415"/>
      <c r="T42" s="416"/>
    </row>
    <row r="43" spans="2:20" ht="20" x14ac:dyDescent="0.2">
      <c r="B43" s="116" t="s">
        <v>365</v>
      </c>
      <c r="C43" s="327"/>
      <c r="D43" s="327"/>
      <c r="E43" s="327" t="str">
        <f>$E$3</f>
        <v>Year 3 (2022)</v>
      </c>
      <c r="F43" s="327"/>
      <c r="G43" s="327"/>
      <c r="H43" s="360" t="s">
        <v>127</v>
      </c>
      <c r="I43" s="361" t="s">
        <v>128</v>
      </c>
      <c r="J43" s="361" t="s">
        <v>129</v>
      </c>
      <c r="K43" s="361" t="s">
        <v>130</v>
      </c>
      <c r="L43" s="361" t="s">
        <v>131</v>
      </c>
      <c r="M43" s="361" t="s">
        <v>132</v>
      </c>
      <c r="N43" s="361" t="s">
        <v>133</v>
      </c>
      <c r="O43" s="361" t="s">
        <v>134</v>
      </c>
      <c r="P43" s="361" t="s">
        <v>135</v>
      </c>
      <c r="Q43" s="361" t="s">
        <v>136</v>
      </c>
      <c r="R43" s="361" t="s">
        <v>137</v>
      </c>
      <c r="S43" s="361" t="s">
        <v>138</v>
      </c>
      <c r="T43" s="362" t="s">
        <v>179</v>
      </c>
    </row>
    <row r="44" spans="2:20" x14ac:dyDescent="0.2">
      <c r="B44" s="401"/>
      <c r="C44" s="402"/>
      <c r="D44" s="402"/>
      <c r="E44" s="402"/>
      <c r="F44" s="402"/>
      <c r="G44" s="403" t="s">
        <v>57</v>
      </c>
      <c r="H44" s="363">
        <f>H$4</f>
        <v>25</v>
      </c>
      <c r="I44" s="364">
        <f t="shared" ref="I44:S44" si="11">I$4</f>
        <v>26</v>
      </c>
      <c r="J44" s="364">
        <f t="shared" si="11"/>
        <v>27</v>
      </c>
      <c r="K44" s="364">
        <f t="shared" si="11"/>
        <v>28</v>
      </c>
      <c r="L44" s="364">
        <f t="shared" si="11"/>
        <v>29</v>
      </c>
      <c r="M44" s="364">
        <f t="shared" si="11"/>
        <v>30</v>
      </c>
      <c r="N44" s="364">
        <f t="shared" si="11"/>
        <v>31</v>
      </c>
      <c r="O44" s="364">
        <f t="shared" si="11"/>
        <v>32</v>
      </c>
      <c r="P44" s="364">
        <f t="shared" si="11"/>
        <v>33</v>
      </c>
      <c r="Q44" s="364">
        <f t="shared" si="11"/>
        <v>34</v>
      </c>
      <c r="R44" s="364">
        <f t="shared" si="11"/>
        <v>35</v>
      </c>
      <c r="S44" s="364">
        <f t="shared" si="11"/>
        <v>36</v>
      </c>
      <c r="T44" s="405" t="str">
        <f>"Total for " &amp; $E$3</f>
        <v>Total for Year 3 (2022)</v>
      </c>
    </row>
    <row r="45" spans="2:20" x14ac:dyDescent="0.2">
      <c r="B45" s="308"/>
      <c r="E45" s="12" t="s">
        <v>312</v>
      </c>
      <c r="H45" s="367"/>
      <c r="I45" s="368"/>
      <c r="J45" s="368"/>
      <c r="K45" s="368"/>
      <c r="L45" s="368"/>
      <c r="M45" s="368"/>
      <c r="N45" s="368"/>
      <c r="O45" s="368"/>
      <c r="P45" s="368"/>
      <c r="Q45" s="368"/>
      <c r="R45" s="368"/>
      <c r="S45" s="368"/>
      <c r="T45" s="407"/>
    </row>
    <row r="46" spans="2:20" x14ac:dyDescent="0.2">
      <c r="B46" s="307" t="s">
        <v>367</v>
      </c>
      <c r="E46" s="454">
        <v>0.03</v>
      </c>
      <c r="H46" s="379">
        <f>H$12*$E46</f>
        <v>597.6</v>
      </c>
      <c r="I46" s="380">
        <f t="shared" ref="I46:S46" si="12">I$12*$E46</f>
        <v>615.6</v>
      </c>
      <c r="J46" s="380">
        <f t="shared" si="12"/>
        <v>637.19999999999993</v>
      </c>
      <c r="K46" s="380">
        <f t="shared" si="12"/>
        <v>655.19999999999993</v>
      </c>
      <c r="L46" s="380">
        <f t="shared" si="12"/>
        <v>673.19999999999993</v>
      </c>
      <c r="M46" s="380">
        <f t="shared" si="12"/>
        <v>694.8</v>
      </c>
      <c r="N46" s="380">
        <f t="shared" si="12"/>
        <v>712.8</v>
      </c>
      <c r="O46" s="380">
        <f t="shared" si="12"/>
        <v>730.8</v>
      </c>
      <c r="P46" s="380">
        <f t="shared" si="12"/>
        <v>752.4</v>
      </c>
      <c r="Q46" s="380">
        <f t="shared" si="12"/>
        <v>770.4</v>
      </c>
      <c r="R46" s="380">
        <f t="shared" si="12"/>
        <v>788.4</v>
      </c>
      <c r="S46" s="380">
        <f t="shared" si="12"/>
        <v>810</v>
      </c>
      <c r="T46" s="417">
        <f t="shared" ref="T46:T49" si="13">SUM(H46:S46)</f>
        <v>8438.3999999999978</v>
      </c>
    </row>
    <row r="47" spans="2:20" x14ac:dyDescent="0.2">
      <c r="B47" s="307" t="s">
        <v>368</v>
      </c>
      <c r="E47" s="454">
        <v>0.03</v>
      </c>
      <c r="H47" s="379">
        <f>H$20*$E47</f>
        <v>14.399999999999999</v>
      </c>
      <c r="I47" s="380">
        <f t="shared" ref="I47:S47" si="14">I$20*$E47</f>
        <v>15</v>
      </c>
      <c r="J47" s="380">
        <f t="shared" si="14"/>
        <v>15.6</v>
      </c>
      <c r="K47" s="380">
        <f t="shared" si="14"/>
        <v>16.5</v>
      </c>
      <c r="L47" s="380">
        <f t="shared" si="14"/>
        <v>17.099999999999998</v>
      </c>
      <c r="M47" s="380">
        <f t="shared" si="14"/>
        <v>17.7</v>
      </c>
      <c r="N47" s="380">
        <f t="shared" si="14"/>
        <v>18.3</v>
      </c>
      <c r="O47" s="380">
        <f t="shared" si="14"/>
        <v>19.2</v>
      </c>
      <c r="P47" s="380">
        <f t="shared" si="14"/>
        <v>19.8</v>
      </c>
      <c r="Q47" s="380">
        <f t="shared" si="14"/>
        <v>20.399999999999999</v>
      </c>
      <c r="R47" s="380">
        <f t="shared" si="14"/>
        <v>21</v>
      </c>
      <c r="S47" s="380">
        <f t="shared" si="14"/>
        <v>21.9</v>
      </c>
      <c r="T47" s="417">
        <f t="shared" si="13"/>
        <v>216.9</v>
      </c>
    </row>
    <row r="48" spans="2:20" x14ac:dyDescent="0.2">
      <c r="B48" s="307" t="s">
        <v>369</v>
      </c>
      <c r="E48" s="454">
        <v>0.05</v>
      </c>
      <c r="H48" s="379">
        <f>H$28*$E48</f>
        <v>735</v>
      </c>
      <c r="I48" s="380">
        <f t="shared" ref="I48:S48" si="15">I$28*$E48</f>
        <v>765</v>
      </c>
      <c r="J48" s="380">
        <f t="shared" si="15"/>
        <v>802.5</v>
      </c>
      <c r="K48" s="380">
        <f t="shared" si="15"/>
        <v>840</v>
      </c>
      <c r="L48" s="380">
        <f t="shared" si="15"/>
        <v>870</v>
      </c>
      <c r="M48" s="380">
        <f t="shared" si="15"/>
        <v>907.5</v>
      </c>
      <c r="N48" s="380">
        <f t="shared" si="15"/>
        <v>945</v>
      </c>
      <c r="O48" s="380">
        <f t="shared" si="15"/>
        <v>982.5</v>
      </c>
      <c r="P48" s="380">
        <f t="shared" si="15"/>
        <v>1012.5</v>
      </c>
      <c r="Q48" s="380">
        <f t="shared" si="15"/>
        <v>1050</v>
      </c>
      <c r="R48" s="380">
        <f t="shared" si="15"/>
        <v>1087.5</v>
      </c>
      <c r="S48" s="380">
        <f t="shared" si="15"/>
        <v>1122.75</v>
      </c>
      <c r="T48" s="417">
        <f t="shared" si="13"/>
        <v>11120.25</v>
      </c>
    </row>
    <row r="49" spans="2:20" ht="17" thickBot="1" x14ac:dyDescent="0.25">
      <c r="B49" s="307" t="s">
        <v>370</v>
      </c>
      <c r="E49" s="454">
        <v>0.06</v>
      </c>
      <c r="H49" s="379">
        <f>H$39*$E49</f>
        <v>53.64</v>
      </c>
      <c r="I49" s="380">
        <f t="shared" ref="I49:S49" si="16">I$39*$E49</f>
        <v>53.64</v>
      </c>
      <c r="J49" s="380">
        <f t="shared" si="16"/>
        <v>53.64</v>
      </c>
      <c r="K49" s="380">
        <f t="shared" si="16"/>
        <v>53.64</v>
      </c>
      <c r="L49" s="380">
        <f t="shared" si="16"/>
        <v>53.64</v>
      </c>
      <c r="M49" s="380">
        <f t="shared" si="16"/>
        <v>53.64</v>
      </c>
      <c r="N49" s="380">
        <f t="shared" si="16"/>
        <v>53.64</v>
      </c>
      <c r="O49" s="380">
        <f t="shared" si="16"/>
        <v>53.64</v>
      </c>
      <c r="P49" s="380">
        <f t="shared" si="16"/>
        <v>53.64</v>
      </c>
      <c r="Q49" s="380">
        <f t="shared" si="16"/>
        <v>53.64</v>
      </c>
      <c r="R49" s="380">
        <f t="shared" si="16"/>
        <v>53.64</v>
      </c>
      <c r="S49" s="380">
        <f t="shared" si="16"/>
        <v>53.64</v>
      </c>
      <c r="T49" s="417">
        <f t="shared" si="13"/>
        <v>643.67999999999995</v>
      </c>
    </row>
    <row r="50" spans="2:20" ht="17" thickTop="1" x14ac:dyDescent="0.2">
      <c r="B50" s="250" t="s">
        <v>366</v>
      </c>
      <c r="C50" s="237"/>
      <c r="D50" s="237"/>
      <c r="E50" s="237"/>
      <c r="F50" s="237"/>
      <c r="G50" s="237"/>
      <c r="H50" s="239">
        <f>SUM(H46:H49)</f>
        <v>1400.64</v>
      </c>
      <c r="I50" s="240">
        <f t="shared" ref="I50:S50" si="17">SUM(I46:I49)</f>
        <v>1449.24</v>
      </c>
      <c r="J50" s="240">
        <f t="shared" si="17"/>
        <v>1508.94</v>
      </c>
      <c r="K50" s="240">
        <f t="shared" si="17"/>
        <v>1565.34</v>
      </c>
      <c r="L50" s="240">
        <f t="shared" si="17"/>
        <v>1613.94</v>
      </c>
      <c r="M50" s="240">
        <f t="shared" si="17"/>
        <v>1673.64</v>
      </c>
      <c r="N50" s="240">
        <f t="shared" si="17"/>
        <v>1729.74</v>
      </c>
      <c r="O50" s="240">
        <f t="shared" si="17"/>
        <v>1786.14</v>
      </c>
      <c r="P50" s="240">
        <f t="shared" si="17"/>
        <v>1838.34</v>
      </c>
      <c r="Q50" s="240">
        <f t="shared" si="17"/>
        <v>1894.44</v>
      </c>
      <c r="R50" s="240">
        <f t="shared" si="17"/>
        <v>1950.5400000000002</v>
      </c>
      <c r="S50" s="240">
        <f t="shared" si="17"/>
        <v>2008.2900000000002</v>
      </c>
      <c r="T50" s="251">
        <f>SUM(H50:S50)</f>
        <v>20419.23</v>
      </c>
    </row>
    <row r="51" spans="2:20" x14ac:dyDescent="0.2">
      <c r="H51" s="367"/>
      <c r="I51" s="368"/>
      <c r="J51" s="368"/>
      <c r="K51" s="368"/>
      <c r="L51" s="368"/>
      <c r="M51" s="368"/>
      <c r="N51" s="368"/>
      <c r="O51" s="368"/>
      <c r="P51" s="368"/>
      <c r="Q51" s="368"/>
      <c r="R51" s="368"/>
      <c r="S51" s="368"/>
      <c r="T51" s="381"/>
    </row>
    <row r="52" spans="2:20" ht="20" x14ac:dyDescent="0.2">
      <c r="B52" s="116" t="s">
        <v>11</v>
      </c>
      <c r="C52" s="327"/>
      <c r="D52" s="327"/>
      <c r="E52" s="327" t="str">
        <f>$E$3</f>
        <v>Year 3 (2022)</v>
      </c>
      <c r="F52" s="327"/>
      <c r="G52" s="327"/>
      <c r="H52" s="360" t="s">
        <v>127</v>
      </c>
      <c r="I52" s="361" t="s">
        <v>128</v>
      </c>
      <c r="J52" s="361" t="s">
        <v>129</v>
      </c>
      <c r="K52" s="361" t="s">
        <v>130</v>
      </c>
      <c r="L52" s="361" t="s">
        <v>131</v>
      </c>
      <c r="M52" s="361" t="s">
        <v>132</v>
      </c>
      <c r="N52" s="361" t="s">
        <v>133</v>
      </c>
      <c r="O52" s="361" t="s">
        <v>134</v>
      </c>
      <c r="P52" s="361" t="s">
        <v>135</v>
      </c>
      <c r="Q52" s="361" t="s">
        <v>136</v>
      </c>
      <c r="R52" s="361" t="s">
        <v>137</v>
      </c>
      <c r="S52" s="361" t="s">
        <v>138</v>
      </c>
      <c r="T52" s="362" t="s">
        <v>179</v>
      </c>
    </row>
    <row r="53" spans="2:20" x14ac:dyDescent="0.2">
      <c r="B53" s="401"/>
      <c r="C53" s="402"/>
      <c r="D53" s="402"/>
      <c r="E53" s="402"/>
      <c r="F53" s="402"/>
      <c r="G53" s="403" t="s">
        <v>57</v>
      </c>
      <c r="H53" s="363">
        <f>H$4</f>
        <v>25</v>
      </c>
      <c r="I53" s="364">
        <f t="shared" ref="I53:S53" si="18">I$4</f>
        <v>26</v>
      </c>
      <c r="J53" s="364">
        <f t="shared" si="18"/>
        <v>27</v>
      </c>
      <c r="K53" s="364">
        <f t="shared" si="18"/>
        <v>28</v>
      </c>
      <c r="L53" s="364">
        <f t="shared" si="18"/>
        <v>29</v>
      </c>
      <c r="M53" s="364">
        <f t="shared" si="18"/>
        <v>30</v>
      </c>
      <c r="N53" s="364">
        <f t="shared" si="18"/>
        <v>31</v>
      </c>
      <c r="O53" s="364">
        <f t="shared" si="18"/>
        <v>32</v>
      </c>
      <c r="P53" s="364">
        <f t="shared" si="18"/>
        <v>33</v>
      </c>
      <c r="Q53" s="364">
        <f t="shared" si="18"/>
        <v>34</v>
      </c>
      <c r="R53" s="364">
        <f t="shared" si="18"/>
        <v>35</v>
      </c>
      <c r="S53" s="364">
        <f t="shared" si="18"/>
        <v>36</v>
      </c>
      <c r="T53" s="405" t="str">
        <f>"Total for " &amp; $E$3</f>
        <v>Total for Year 3 (2022)</v>
      </c>
    </row>
    <row r="54" spans="2:20" x14ac:dyDescent="0.2">
      <c r="B54" s="308"/>
      <c r="H54" s="367"/>
      <c r="I54" s="368"/>
      <c r="J54" s="368"/>
      <c r="K54" s="368"/>
      <c r="L54" s="368"/>
      <c r="M54" s="368"/>
      <c r="N54" s="368"/>
      <c r="O54" s="368"/>
      <c r="P54" s="368"/>
      <c r="Q54" s="368"/>
      <c r="R54" s="368"/>
      <c r="S54" s="368"/>
      <c r="T54" s="407"/>
    </row>
    <row r="55" spans="2:20" x14ac:dyDescent="0.2">
      <c r="B55" s="307" t="s">
        <v>267</v>
      </c>
      <c r="C55" s="10"/>
      <c r="D55" s="11"/>
      <c r="E55" s="12" t="s">
        <v>312</v>
      </c>
      <c r="H55" s="367"/>
      <c r="I55" s="368"/>
      <c r="J55" s="368"/>
      <c r="K55" s="368"/>
      <c r="L55" s="368"/>
      <c r="M55" s="368"/>
      <c r="N55" s="368"/>
      <c r="O55" s="368"/>
      <c r="P55" s="368"/>
      <c r="Q55" s="368"/>
      <c r="R55" s="368"/>
      <c r="S55" s="368"/>
      <c r="T55" s="407"/>
    </row>
    <row r="56" spans="2:20" x14ac:dyDescent="0.2">
      <c r="B56" s="307"/>
      <c r="C56" t="s">
        <v>264</v>
      </c>
      <c r="D56" s="11"/>
      <c r="E56" s="454">
        <f>'Year 2'!E56</f>
        <v>0.03</v>
      </c>
      <c r="H56" s="379">
        <f>H$12*$E56</f>
        <v>597.6</v>
      </c>
      <c r="I56" s="380">
        <f t="shared" ref="I56:S56" si="19">I$12*$E56</f>
        <v>615.6</v>
      </c>
      <c r="J56" s="380">
        <f t="shared" si="19"/>
        <v>637.19999999999993</v>
      </c>
      <c r="K56" s="380">
        <f t="shared" si="19"/>
        <v>655.19999999999993</v>
      </c>
      <c r="L56" s="380">
        <f t="shared" si="19"/>
        <v>673.19999999999993</v>
      </c>
      <c r="M56" s="380">
        <f t="shared" si="19"/>
        <v>694.8</v>
      </c>
      <c r="N56" s="380">
        <f t="shared" si="19"/>
        <v>712.8</v>
      </c>
      <c r="O56" s="380">
        <f t="shared" si="19"/>
        <v>730.8</v>
      </c>
      <c r="P56" s="380">
        <f t="shared" si="19"/>
        <v>752.4</v>
      </c>
      <c r="Q56" s="380">
        <f t="shared" si="19"/>
        <v>770.4</v>
      </c>
      <c r="R56" s="380">
        <f t="shared" si="19"/>
        <v>788.4</v>
      </c>
      <c r="S56" s="380">
        <f t="shared" si="19"/>
        <v>810</v>
      </c>
      <c r="T56" s="417">
        <f t="shared" ref="T56" si="20">SUM(H56:S56)</f>
        <v>8438.3999999999978</v>
      </c>
    </row>
    <row r="57" spans="2:20" x14ac:dyDescent="0.2">
      <c r="B57" s="307"/>
      <c r="C57" t="s">
        <v>265</v>
      </c>
      <c r="D57" s="11"/>
      <c r="E57" s="454">
        <f>'Year 2'!E57</f>
        <v>0.02</v>
      </c>
      <c r="H57" s="379">
        <f>H$20*$E57</f>
        <v>9.6</v>
      </c>
      <c r="I57" s="380">
        <f t="shared" ref="I57:S57" si="21">I$20*$E57</f>
        <v>10</v>
      </c>
      <c r="J57" s="380">
        <f t="shared" si="21"/>
        <v>10.4</v>
      </c>
      <c r="K57" s="380">
        <f t="shared" si="21"/>
        <v>11</v>
      </c>
      <c r="L57" s="380">
        <f t="shared" si="21"/>
        <v>11.4</v>
      </c>
      <c r="M57" s="380">
        <f t="shared" si="21"/>
        <v>11.8</v>
      </c>
      <c r="N57" s="380">
        <f t="shared" si="21"/>
        <v>12.200000000000001</v>
      </c>
      <c r="O57" s="380">
        <f t="shared" si="21"/>
        <v>12.8</v>
      </c>
      <c r="P57" s="380">
        <f t="shared" si="21"/>
        <v>13.200000000000001</v>
      </c>
      <c r="Q57" s="380">
        <f t="shared" si="21"/>
        <v>13.6</v>
      </c>
      <c r="R57" s="380">
        <f t="shared" si="21"/>
        <v>14</v>
      </c>
      <c r="S57" s="380">
        <f t="shared" si="21"/>
        <v>14.6</v>
      </c>
      <c r="T57" s="417">
        <f t="shared" ref="T57:T60" si="22">SUM(H57:S57)</f>
        <v>144.6</v>
      </c>
    </row>
    <row r="58" spans="2:20" x14ac:dyDescent="0.2">
      <c r="B58" s="307"/>
      <c r="C58" t="s">
        <v>285</v>
      </c>
      <c r="D58" s="11"/>
      <c r="E58" s="454">
        <f>'Year 2'!E58</f>
        <v>0.01</v>
      </c>
      <c r="H58" s="379">
        <f>H$28*$E58</f>
        <v>147</v>
      </c>
      <c r="I58" s="380">
        <f t="shared" ref="I58:S58" si="23">I$28*$E58</f>
        <v>153</v>
      </c>
      <c r="J58" s="380">
        <f t="shared" si="23"/>
        <v>160.5</v>
      </c>
      <c r="K58" s="380">
        <f t="shared" si="23"/>
        <v>168</v>
      </c>
      <c r="L58" s="380">
        <f t="shared" si="23"/>
        <v>174</v>
      </c>
      <c r="M58" s="380">
        <f t="shared" si="23"/>
        <v>181.5</v>
      </c>
      <c r="N58" s="380">
        <f t="shared" si="23"/>
        <v>189</v>
      </c>
      <c r="O58" s="380">
        <f t="shared" si="23"/>
        <v>196.5</v>
      </c>
      <c r="P58" s="380">
        <f t="shared" si="23"/>
        <v>202.5</v>
      </c>
      <c r="Q58" s="380">
        <f t="shared" si="23"/>
        <v>210</v>
      </c>
      <c r="R58" s="380">
        <f t="shared" si="23"/>
        <v>217.5</v>
      </c>
      <c r="S58" s="380">
        <f t="shared" si="23"/>
        <v>224.55</v>
      </c>
      <c r="T58" s="417">
        <f t="shared" si="22"/>
        <v>2224.0500000000002</v>
      </c>
    </row>
    <row r="59" spans="2:20" ht="17" thickBot="1" x14ac:dyDescent="0.25">
      <c r="B59" s="308"/>
      <c r="C59" t="s">
        <v>266</v>
      </c>
      <c r="D59" s="11"/>
      <c r="E59" s="454">
        <f>'Year 2'!E59</f>
        <v>0.04</v>
      </c>
      <c r="H59" s="379">
        <f>H$39*$E59</f>
        <v>35.76</v>
      </c>
      <c r="I59" s="380">
        <f t="shared" ref="I59:S59" si="24">I$39*$E59</f>
        <v>35.76</v>
      </c>
      <c r="J59" s="380">
        <f t="shared" si="24"/>
        <v>35.76</v>
      </c>
      <c r="K59" s="380">
        <f t="shared" si="24"/>
        <v>35.76</v>
      </c>
      <c r="L59" s="380">
        <f t="shared" si="24"/>
        <v>35.76</v>
      </c>
      <c r="M59" s="380">
        <f t="shared" si="24"/>
        <v>35.76</v>
      </c>
      <c r="N59" s="380">
        <f t="shared" si="24"/>
        <v>35.76</v>
      </c>
      <c r="O59" s="380">
        <f t="shared" si="24"/>
        <v>35.76</v>
      </c>
      <c r="P59" s="380">
        <f t="shared" si="24"/>
        <v>35.76</v>
      </c>
      <c r="Q59" s="380">
        <f t="shared" si="24"/>
        <v>35.76</v>
      </c>
      <c r="R59" s="380">
        <f t="shared" si="24"/>
        <v>35.76</v>
      </c>
      <c r="S59" s="380">
        <f t="shared" si="24"/>
        <v>35.76</v>
      </c>
      <c r="T59" s="417">
        <f t="shared" si="22"/>
        <v>429.11999999999995</v>
      </c>
    </row>
    <row r="60" spans="2:20" ht="17" thickTop="1" x14ac:dyDescent="0.2">
      <c r="B60" s="418" t="s">
        <v>274</v>
      </c>
      <c r="C60" s="419"/>
      <c r="D60" s="419"/>
      <c r="E60" s="419"/>
      <c r="F60" s="419"/>
      <c r="G60" s="420"/>
      <c r="H60" s="421">
        <f>SUM(H56:H59)</f>
        <v>789.96</v>
      </c>
      <c r="I60" s="422">
        <f t="shared" ref="I60:S60" si="25">SUM(I56:I59)</f>
        <v>814.36</v>
      </c>
      <c r="J60" s="422">
        <f t="shared" si="25"/>
        <v>843.8599999999999</v>
      </c>
      <c r="K60" s="422">
        <f t="shared" si="25"/>
        <v>869.95999999999992</v>
      </c>
      <c r="L60" s="422">
        <f t="shared" si="25"/>
        <v>894.3599999999999</v>
      </c>
      <c r="M60" s="422">
        <f t="shared" si="25"/>
        <v>923.8599999999999</v>
      </c>
      <c r="N60" s="422">
        <f t="shared" si="25"/>
        <v>949.76</v>
      </c>
      <c r="O60" s="422">
        <f t="shared" si="25"/>
        <v>975.8599999999999</v>
      </c>
      <c r="P60" s="422">
        <f t="shared" si="25"/>
        <v>1003.86</v>
      </c>
      <c r="Q60" s="422">
        <f t="shared" si="25"/>
        <v>1029.76</v>
      </c>
      <c r="R60" s="422">
        <f t="shared" si="25"/>
        <v>1055.6600000000001</v>
      </c>
      <c r="S60" s="422">
        <f t="shared" si="25"/>
        <v>1084.9100000000001</v>
      </c>
      <c r="T60" s="423">
        <f t="shared" si="22"/>
        <v>11236.169999999998</v>
      </c>
    </row>
    <row r="61" spans="2:20" x14ac:dyDescent="0.2">
      <c r="B61" s="424"/>
      <c r="C61" s="10"/>
      <c r="D61" s="11"/>
      <c r="E61" s="16"/>
      <c r="F61" s="57"/>
      <c r="G61" s="57"/>
      <c r="H61" s="382"/>
      <c r="I61" s="383"/>
      <c r="J61" s="383"/>
      <c r="K61" s="383"/>
      <c r="L61" s="383"/>
      <c r="M61" s="383"/>
      <c r="N61" s="383"/>
      <c r="O61" s="383"/>
      <c r="P61" s="383"/>
      <c r="Q61" s="383"/>
      <c r="R61" s="383"/>
      <c r="S61" s="383"/>
      <c r="T61" s="407"/>
    </row>
    <row r="62" spans="2:20" x14ac:dyDescent="0.2">
      <c r="B62" s="307" t="s">
        <v>209</v>
      </c>
      <c r="C62" s="10"/>
      <c r="D62" s="11"/>
      <c r="E62" s="12" t="s">
        <v>312</v>
      </c>
      <c r="F62" s="57"/>
      <c r="G62" s="57"/>
      <c r="H62" s="367"/>
      <c r="I62" s="368"/>
      <c r="J62" s="368"/>
      <c r="K62" s="368"/>
      <c r="L62" s="368" t="s">
        <v>14</v>
      </c>
      <c r="M62" s="368"/>
      <c r="N62" s="368"/>
      <c r="O62" s="368"/>
      <c r="P62" s="368"/>
      <c r="Q62" s="368"/>
      <c r="R62" s="368"/>
      <c r="S62" s="368"/>
      <c r="T62" s="407"/>
    </row>
    <row r="63" spans="2:20" x14ac:dyDescent="0.2">
      <c r="B63" s="307"/>
      <c r="C63" t="s">
        <v>268</v>
      </c>
      <c r="D63" s="11"/>
      <c r="E63" s="454">
        <f>'Year 2'!E63</f>
        <v>0.02</v>
      </c>
      <c r="F63" s="37"/>
      <c r="H63" s="382">
        <f>$E63*H$12</f>
        <v>398.40000000000003</v>
      </c>
      <c r="I63" s="383">
        <f t="shared" ref="I63:S63" si="26">$E63*I$12</f>
        <v>410.40000000000003</v>
      </c>
      <c r="J63" s="383">
        <f t="shared" si="26"/>
        <v>424.8</v>
      </c>
      <c r="K63" s="383">
        <f t="shared" si="26"/>
        <v>436.8</v>
      </c>
      <c r="L63" s="383">
        <f t="shared" si="26"/>
        <v>448.8</v>
      </c>
      <c r="M63" s="383">
        <f t="shared" si="26"/>
        <v>463.2</v>
      </c>
      <c r="N63" s="383">
        <f t="shared" si="26"/>
        <v>475.2</v>
      </c>
      <c r="O63" s="383">
        <f t="shared" si="26"/>
        <v>487.2</v>
      </c>
      <c r="P63" s="383">
        <f t="shared" si="26"/>
        <v>501.6</v>
      </c>
      <c r="Q63" s="383">
        <f t="shared" si="26"/>
        <v>513.6</v>
      </c>
      <c r="R63" s="383">
        <f t="shared" si="26"/>
        <v>525.6</v>
      </c>
      <c r="S63" s="383">
        <f t="shared" si="26"/>
        <v>540</v>
      </c>
      <c r="T63" s="417">
        <f t="shared" ref="T63:T67" si="27">SUM(H63:S63)</f>
        <v>5625.6</v>
      </c>
    </row>
    <row r="64" spans="2:20" x14ac:dyDescent="0.2">
      <c r="B64" s="307"/>
      <c r="C64" t="s">
        <v>269</v>
      </c>
      <c r="D64" s="11"/>
      <c r="E64" s="454">
        <f>'Year 2'!E64</f>
        <v>0</v>
      </c>
      <c r="F64" s="37"/>
      <c r="H64" s="382">
        <f>$E64*H$20</f>
        <v>0</v>
      </c>
      <c r="I64" s="383">
        <f t="shared" ref="I64:S64" si="28">$E64*I$20</f>
        <v>0</v>
      </c>
      <c r="J64" s="383">
        <f t="shared" si="28"/>
        <v>0</v>
      </c>
      <c r="K64" s="383">
        <f t="shared" si="28"/>
        <v>0</v>
      </c>
      <c r="L64" s="383">
        <f t="shared" si="28"/>
        <v>0</v>
      </c>
      <c r="M64" s="383">
        <f t="shared" si="28"/>
        <v>0</v>
      </c>
      <c r="N64" s="383">
        <f t="shared" si="28"/>
        <v>0</v>
      </c>
      <c r="O64" s="383">
        <f t="shared" si="28"/>
        <v>0</v>
      </c>
      <c r="P64" s="383">
        <f t="shared" si="28"/>
        <v>0</v>
      </c>
      <c r="Q64" s="383">
        <f t="shared" si="28"/>
        <v>0</v>
      </c>
      <c r="R64" s="383">
        <f t="shared" si="28"/>
        <v>0</v>
      </c>
      <c r="S64" s="383">
        <f t="shared" si="28"/>
        <v>0</v>
      </c>
      <c r="T64" s="417">
        <f t="shared" si="27"/>
        <v>0</v>
      </c>
    </row>
    <row r="65" spans="2:20" x14ac:dyDescent="0.2">
      <c r="B65" s="307"/>
      <c r="C65" t="s">
        <v>270</v>
      </c>
      <c r="D65" s="11"/>
      <c r="E65" s="454">
        <f>'Year 2'!E65</f>
        <v>0.3</v>
      </c>
      <c r="F65" s="37"/>
      <c r="H65" s="382">
        <f>$E65*H$28</f>
        <v>4410</v>
      </c>
      <c r="I65" s="383">
        <f t="shared" ref="I65:S65" si="29">$E65*I$28</f>
        <v>4590</v>
      </c>
      <c r="J65" s="383">
        <f t="shared" si="29"/>
        <v>4815</v>
      </c>
      <c r="K65" s="383">
        <f t="shared" si="29"/>
        <v>5040</v>
      </c>
      <c r="L65" s="383">
        <f t="shared" si="29"/>
        <v>5220</v>
      </c>
      <c r="M65" s="383">
        <f t="shared" si="29"/>
        <v>5445</v>
      </c>
      <c r="N65" s="383">
        <f t="shared" si="29"/>
        <v>5670</v>
      </c>
      <c r="O65" s="383">
        <f t="shared" si="29"/>
        <v>5895</v>
      </c>
      <c r="P65" s="383">
        <f t="shared" si="29"/>
        <v>6075</v>
      </c>
      <c r="Q65" s="383">
        <f t="shared" si="29"/>
        <v>6300</v>
      </c>
      <c r="R65" s="383">
        <f t="shared" si="29"/>
        <v>6525</v>
      </c>
      <c r="S65" s="383">
        <f t="shared" si="29"/>
        <v>6736.5</v>
      </c>
      <c r="T65" s="417">
        <f t="shared" si="27"/>
        <v>66721.5</v>
      </c>
    </row>
    <row r="66" spans="2:20" ht="17" thickBot="1" x14ac:dyDescent="0.25">
      <c r="B66" s="307"/>
      <c r="C66" t="s">
        <v>271</v>
      </c>
      <c r="D66" s="11"/>
      <c r="E66" s="454">
        <f>'Year 2'!E66</f>
        <v>0.12</v>
      </c>
      <c r="F66" s="37"/>
      <c r="H66" s="382">
        <f>IF(H$37="",$E66*H$36*($E$31+$E$32),$E66*$E$34*($E$31+$E$32))</f>
        <v>55.8</v>
      </c>
      <c r="I66" s="383">
        <f t="shared" ref="I66:S66" si="30">IF(I$37="",$E66*I$36*($E$31+$E$32),$E66*$E$34*($E$31+$E$32))</f>
        <v>55.8</v>
      </c>
      <c r="J66" s="383">
        <f t="shared" si="30"/>
        <v>55.8</v>
      </c>
      <c r="K66" s="383">
        <f t="shared" si="30"/>
        <v>55.8</v>
      </c>
      <c r="L66" s="383">
        <f t="shared" si="30"/>
        <v>55.8</v>
      </c>
      <c r="M66" s="383">
        <f t="shared" si="30"/>
        <v>55.8</v>
      </c>
      <c r="N66" s="383">
        <f t="shared" si="30"/>
        <v>55.8</v>
      </c>
      <c r="O66" s="383">
        <f t="shared" si="30"/>
        <v>55.8</v>
      </c>
      <c r="P66" s="383">
        <f t="shared" si="30"/>
        <v>55.8</v>
      </c>
      <c r="Q66" s="383">
        <f t="shared" si="30"/>
        <v>55.8</v>
      </c>
      <c r="R66" s="383">
        <f t="shared" si="30"/>
        <v>55.8</v>
      </c>
      <c r="S66" s="383">
        <f t="shared" si="30"/>
        <v>55.8</v>
      </c>
      <c r="T66" s="417">
        <f t="shared" si="27"/>
        <v>669.59999999999991</v>
      </c>
    </row>
    <row r="67" spans="2:20" ht="17" thickTop="1" x14ac:dyDescent="0.2">
      <c r="B67" s="418" t="s">
        <v>275</v>
      </c>
      <c r="C67" s="419"/>
      <c r="D67" s="419"/>
      <c r="E67" s="419"/>
      <c r="F67" s="419"/>
      <c r="G67" s="420"/>
      <c r="H67" s="421">
        <f t="shared" ref="H67:S67" si="31">SUM(H63:H66)</f>
        <v>4864.2</v>
      </c>
      <c r="I67" s="422">
        <f t="shared" si="31"/>
        <v>5056.2</v>
      </c>
      <c r="J67" s="422">
        <f t="shared" si="31"/>
        <v>5295.6</v>
      </c>
      <c r="K67" s="422">
        <f t="shared" si="31"/>
        <v>5532.6</v>
      </c>
      <c r="L67" s="422">
        <f t="shared" si="31"/>
        <v>5724.6</v>
      </c>
      <c r="M67" s="422">
        <f t="shared" si="31"/>
        <v>5964</v>
      </c>
      <c r="N67" s="422">
        <f t="shared" si="31"/>
        <v>6201</v>
      </c>
      <c r="O67" s="422">
        <f t="shared" si="31"/>
        <v>6438</v>
      </c>
      <c r="P67" s="422">
        <f t="shared" si="31"/>
        <v>6632.4000000000005</v>
      </c>
      <c r="Q67" s="422">
        <f t="shared" si="31"/>
        <v>6869.4000000000005</v>
      </c>
      <c r="R67" s="422">
        <f t="shared" si="31"/>
        <v>7106.4000000000005</v>
      </c>
      <c r="S67" s="422">
        <f t="shared" si="31"/>
        <v>7332.3</v>
      </c>
      <c r="T67" s="423">
        <f t="shared" si="27"/>
        <v>73016.7</v>
      </c>
    </row>
    <row r="68" spans="2:20" x14ac:dyDescent="0.2">
      <c r="B68" s="307"/>
      <c r="C68" s="10"/>
      <c r="D68" s="11"/>
      <c r="E68" s="16"/>
      <c r="H68" s="382"/>
      <c r="I68" s="384"/>
      <c r="J68" s="384"/>
      <c r="K68" s="384"/>
      <c r="L68" s="384"/>
      <c r="M68" s="384"/>
      <c r="N68" s="384"/>
      <c r="O68" s="384"/>
      <c r="P68" s="384"/>
      <c r="Q68" s="384"/>
      <c r="R68" s="384"/>
      <c r="S68" s="383"/>
      <c r="T68" s="407"/>
    </row>
    <row r="69" spans="2:20" x14ac:dyDescent="0.2">
      <c r="B69" s="307" t="s">
        <v>277</v>
      </c>
      <c r="C69" s="10"/>
      <c r="D69" s="11"/>
      <c r="E69" s="16" t="s">
        <v>180</v>
      </c>
      <c r="F69" s="16" t="s">
        <v>283</v>
      </c>
      <c r="G69" s="17" t="s">
        <v>16</v>
      </c>
      <c r="H69" s="367"/>
      <c r="I69" s="368"/>
      <c r="J69" s="368"/>
      <c r="K69" s="368"/>
      <c r="L69" s="368"/>
      <c r="M69" s="368"/>
      <c r="N69" s="368"/>
      <c r="O69" s="368"/>
      <c r="P69" s="368"/>
      <c r="Q69" s="368"/>
      <c r="R69" s="368"/>
      <c r="S69" s="368"/>
      <c r="T69" s="407"/>
    </row>
    <row r="70" spans="2:20" x14ac:dyDescent="0.2">
      <c r="B70" s="308"/>
      <c r="C70" t="s">
        <v>278</v>
      </c>
      <c r="E70" s="453" t="str">
        <f>IF(AND('Year 2'!$F70&lt;&gt;"",'Year 2'!$F70&gt;'Year 2'!$S$53),'Year 3'!$H$53,"")</f>
        <v/>
      </c>
      <c r="F70" s="453" t="str">
        <f>IF(AND('Year 2'!$F70&lt;&gt;"",'Year 2'!$F70&gt;'Year 2'!$S$53),'Year 2'!$F70,"")</f>
        <v/>
      </c>
      <c r="G70" s="452" t="str">
        <f>IF(AND('Year 2'!$F70&lt;&gt;"",'Year 2'!$F70&gt;'Year 2'!$S$53),'Year 2'!$G70,"")</f>
        <v/>
      </c>
      <c r="H70" s="382">
        <f>IF(AND($E70&lt;=H$53,$F70&gt;=H$53),$G70,0)</f>
        <v>0</v>
      </c>
      <c r="I70" s="383">
        <f t="shared" ref="I70:S70" si="32">IF(AND($E70&lt;=I$53,$F70&gt;=I$53),$G70,0)</f>
        <v>0</v>
      </c>
      <c r="J70" s="383">
        <f t="shared" si="32"/>
        <v>0</v>
      </c>
      <c r="K70" s="383">
        <f t="shared" si="32"/>
        <v>0</v>
      </c>
      <c r="L70" s="383">
        <f t="shared" si="32"/>
        <v>0</v>
      </c>
      <c r="M70" s="383">
        <f t="shared" si="32"/>
        <v>0</v>
      </c>
      <c r="N70" s="383">
        <f t="shared" si="32"/>
        <v>0</v>
      </c>
      <c r="O70" s="383">
        <f t="shared" si="32"/>
        <v>0</v>
      </c>
      <c r="P70" s="383">
        <f t="shared" si="32"/>
        <v>0</v>
      </c>
      <c r="Q70" s="383">
        <f t="shared" si="32"/>
        <v>0</v>
      </c>
      <c r="R70" s="383">
        <f t="shared" si="32"/>
        <v>0</v>
      </c>
      <c r="S70" s="383">
        <f t="shared" si="32"/>
        <v>0</v>
      </c>
      <c r="T70" s="417">
        <f t="shared" ref="T70:T73" si="33">SUM(H70:S70)</f>
        <v>0</v>
      </c>
    </row>
    <row r="71" spans="2:20" x14ac:dyDescent="0.2">
      <c r="B71" s="308"/>
      <c r="C71" t="s">
        <v>279</v>
      </c>
      <c r="E71" s="453" t="str">
        <f>IF(AND('Year 2'!$F71&lt;&gt;"",'Year 2'!$F71&gt;'Year 2'!$S$53),'Year 3'!$H$53,"")</f>
        <v/>
      </c>
      <c r="F71" s="453" t="str">
        <f>IF(AND('Year 2'!$F71&lt;&gt;"",'Year 2'!$F71&gt;'Year 2'!$S$53),'Year 2'!$F71,"")</f>
        <v/>
      </c>
      <c r="G71" s="452" t="str">
        <f>IF(AND('Year 2'!$F71&lt;&gt;"",'Year 2'!$F71&gt;'Year 2'!$S$53),'Year 2'!$G71,"")</f>
        <v/>
      </c>
      <c r="H71" s="382">
        <f t="shared" ref="H71:S73" si="34">IF(AND($E71&lt;=H$53,$F71&gt;=H$53),$G71,0)</f>
        <v>0</v>
      </c>
      <c r="I71" s="383">
        <f t="shared" si="34"/>
        <v>0</v>
      </c>
      <c r="J71" s="383">
        <f t="shared" si="34"/>
        <v>0</v>
      </c>
      <c r="K71" s="383">
        <f t="shared" si="34"/>
        <v>0</v>
      </c>
      <c r="L71" s="383">
        <f t="shared" si="34"/>
        <v>0</v>
      </c>
      <c r="M71" s="383">
        <f t="shared" si="34"/>
        <v>0</v>
      </c>
      <c r="N71" s="383">
        <f t="shared" si="34"/>
        <v>0</v>
      </c>
      <c r="O71" s="383">
        <f t="shared" si="34"/>
        <v>0</v>
      </c>
      <c r="P71" s="383">
        <f t="shared" si="34"/>
        <v>0</v>
      </c>
      <c r="Q71" s="383">
        <f t="shared" si="34"/>
        <v>0</v>
      </c>
      <c r="R71" s="383">
        <f t="shared" si="34"/>
        <v>0</v>
      </c>
      <c r="S71" s="383">
        <f t="shared" si="34"/>
        <v>0</v>
      </c>
      <c r="T71" s="417">
        <f t="shared" si="33"/>
        <v>0</v>
      </c>
    </row>
    <row r="72" spans="2:20" x14ac:dyDescent="0.2">
      <c r="B72" s="308"/>
      <c r="C72" t="s">
        <v>280</v>
      </c>
      <c r="E72" s="453">
        <f>IF(AND('Year 2'!$F72&lt;&gt;"",'Year 2'!$F72&gt;'Year 2'!$S$53),'Year 3'!$H$53,"")</f>
        <v>25</v>
      </c>
      <c r="F72" s="453">
        <f>IF(AND('Year 2'!$F72&lt;&gt;"",'Year 2'!$F72&gt;'Year 2'!$S$53),'Year 2'!$F72,"")</f>
        <v>45</v>
      </c>
      <c r="G72" s="452">
        <f>IF(AND('Year 2'!$F72&lt;&gt;"",'Year 2'!$F72&gt;'Year 2'!$S$53),'Year 2'!$G72,"")</f>
        <v>20</v>
      </c>
      <c r="H72" s="382">
        <f t="shared" si="34"/>
        <v>20</v>
      </c>
      <c r="I72" s="383">
        <f t="shared" si="34"/>
        <v>20</v>
      </c>
      <c r="J72" s="383">
        <f t="shared" si="34"/>
        <v>20</v>
      </c>
      <c r="K72" s="383">
        <f t="shared" si="34"/>
        <v>20</v>
      </c>
      <c r="L72" s="383">
        <f t="shared" si="34"/>
        <v>20</v>
      </c>
      <c r="M72" s="383">
        <f t="shared" si="34"/>
        <v>20</v>
      </c>
      <c r="N72" s="383">
        <f t="shared" si="34"/>
        <v>20</v>
      </c>
      <c r="O72" s="383">
        <f t="shared" si="34"/>
        <v>20</v>
      </c>
      <c r="P72" s="383">
        <f t="shared" si="34"/>
        <v>20</v>
      </c>
      <c r="Q72" s="383">
        <f t="shared" si="34"/>
        <v>20</v>
      </c>
      <c r="R72" s="383">
        <f t="shared" si="34"/>
        <v>20</v>
      </c>
      <c r="S72" s="383">
        <f t="shared" si="34"/>
        <v>20</v>
      </c>
      <c r="T72" s="417">
        <f t="shared" si="33"/>
        <v>240</v>
      </c>
    </row>
    <row r="73" spans="2:20" ht="17" thickBot="1" x14ac:dyDescent="0.25">
      <c r="B73" s="308"/>
      <c r="C73" t="s">
        <v>281</v>
      </c>
      <c r="E73" s="453">
        <f>IF(AND('Year 2'!$F73&lt;&gt;"",'Year 2'!$F73&gt;'Year 2'!$S$53),'Year 3'!$H$53,"")</f>
        <v>25</v>
      </c>
      <c r="F73" s="453">
        <f>IF(AND('Year 2'!$F73&lt;&gt;"",'Year 2'!$F73&gt;'Year 2'!$S$53),'Year 2'!$F73,"")</f>
        <v>27</v>
      </c>
      <c r="G73" s="452">
        <f>IF(AND('Year 2'!$F73&lt;&gt;"",'Year 2'!$F73&gt;'Year 2'!$S$53),'Year 2'!$G73,"")</f>
        <v>400</v>
      </c>
      <c r="H73" s="382">
        <f t="shared" si="34"/>
        <v>400</v>
      </c>
      <c r="I73" s="383">
        <f t="shared" si="34"/>
        <v>400</v>
      </c>
      <c r="J73" s="383">
        <f t="shared" si="34"/>
        <v>400</v>
      </c>
      <c r="K73" s="383">
        <f t="shared" si="34"/>
        <v>0</v>
      </c>
      <c r="L73" s="383">
        <f t="shared" si="34"/>
        <v>0</v>
      </c>
      <c r="M73" s="383">
        <f t="shared" si="34"/>
        <v>0</v>
      </c>
      <c r="N73" s="383">
        <f t="shared" si="34"/>
        <v>0</v>
      </c>
      <c r="O73" s="383">
        <f t="shared" si="34"/>
        <v>0</v>
      </c>
      <c r="P73" s="383">
        <f t="shared" si="34"/>
        <v>0</v>
      </c>
      <c r="Q73" s="383">
        <f t="shared" si="34"/>
        <v>0</v>
      </c>
      <c r="R73" s="383">
        <f t="shared" si="34"/>
        <v>0</v>
      </c>
      <c r="S73" s="383">
        <f t="shared" si="34"/>
        <v>0</v>
      </c>
      <c r="T73" s="417">
        <f t="shared" si="33"/>
        <v>1200</v>
      </c>
    </row>
    <row r="74" spans="2:20" ht="17" thickTop="1" x14ac:dyDescent="0.2">
      <c r="B74" s="418" t="s">
        <v>282</v>
      </c>
      <c r="C74" s="419"/>
      <c r="D74" s="419"/>
      <c r="E74" s="419"/>
      <c r="F74" s="419"/>
      <c r="G74" s="420"/>
      <c r="H74" s="421">
        <f>SUM(H70:H73)</f>
        <v>420</v>
      </c>
      <c r="I74" s="422">
        <f t="shared" ref="I74:S74" si="35">SUM(I70:I73)</f>
        <v>420</v>
      </c>
      <c r="J74" s="422">
        <f t="shared" si="35"/>
        <v>420</v>
      </c>
      <c r="K74" s="422">
        <f t="shared" si="35"/>
        <v>20</v>
      </c>
      <c r="L74" s="422">
        <f t="shared" si="35"/>
        <v>20</v>
      </c>
      <c r="M74" s="422">
        <f t="shared" si="35"/>
        <v>20</v>
      </c>
      <c r="N74" s="422">
        <f t="shared" si="35"/>
        <v>20</v>
      </c>
      <c r="O74" s="422">
        <f t="shared" si="35"/>
        <v>20</v>
      </c>
      <c r="P74" s="422">
        <f t="shared" si="35"/>
        <v>20</v>
      </c>
      <c r="Q74" s="422">
        <f t="shared" si="35"/>
        <v>20</v>
      </c>
      <c r="R74" s="422">
        <f t="shared" si="35"/>
        <v>20</v>
      </c>
      <c r="S74" s="422">
        <f t="shared" si="35"/>
        <v>20</v>
      </c>
      <c r="T74" s="423">
        <f>SUM(H74:S74)</f>
        <v>1440</v>
      </c>
    </row>
    <row r="75" spans="2:20" x14ac:dyDescent="0.2">
      <c r="B75" s="308"/>
      <c r="H75" s="367"/>
      <c r="I75" s="383"/>
      <c r="J75" s="383"/>
      <c r="K75" s="383"/>
      <c r="L75" s="383"/>
      <c r="M75" s="383"/>
      <c r="N75" s="383"/>
      <c r="O75" s="383"/>
      <c r="P75" s="383"/>
      <c r="Q75" s="383"/>
      <c r="R75" s="383"/>
      <c r="S75" s="383"/>
      <c r="T75" s="407"/>
    </row>
    <row r="76" spans="2:20" x14ac:dyDescent="0.2">
      <c r="B76" s="307" t="s">
        <v>25</v>
      </c>
      <c r="C76" s="10"/>
      <c r="D76" s="11"/>
      <c r="E76" s="17" t="s">
        <v>12</v>
      </c>
      <c r="G76" s="32"/>
      <c r="H76" s="367"/>
      <c r="I76" s="368"/>
      <c r="J76" s="368"/>
      <c r="K76" s="368"/>
      <c r="L76" s="368"/>
      <c r="M76" s="368"/>
      <c r="N76" s="368"/>
      <c r="O76" s="368"/>
      <c r="P76" s="368"/>
      <c r="Q76" s="368"/>
      <c r="R76" s="368"/>
      <c r="S76" s="368"/>
      <c r="T76" s="407"/>
    </row>
    <row r="77" spans="2:20" x14ac:dyDescent="0.2">
      <c r="B77" s="308"/>
      <c r="C77" t="s">
        <v>26</v>
      </c>
      <c r="D77" s="11"/>
      <c r="E77" s="454">
        <v>3.4000000000000002E-2</v>
      </c>
      <c r="H77" s="379">
        <f t="shared" ref="H77:S78" si="36">H$41*$E77</f>
        <v>1223.796</v>
      </c>
      <c r="I77" s="380">
        <f t="shared" si="36"/>
        <v>1265.2760000000001</v>
      </c>
      <c r="J77" s="380">
        <f t="shared" si="36"/>
        <v>1315.9360000000001</v>
      </c>
      <c r="K77" s="380">
        <f t="shared" si="36"/>
        <v>1362.856</v>
      </c>
      <c r="L77" s="380">
        <f t="shared" si="36"/>
        <v>1404.336</v>
      </c>
      <c r="M77" s="380">
        <f t="shared" si="36"/>
        <v>1454.9960000000001</v>
      </c>
      <c r="N77" s="380">
        <f t="shared" si="36"/>
        <v>1501.576</v>
      </c>
      <c r="O77" s="380">
        <f t="shared" si="36"/>
        <v>1548.4960000000001</v>
      </c>
      <c r="P77" s="380">
        <f t="shared" si="36"/>
        <v>1594.056</v>
      </c>
      <c r="Q77" s="380">
        <f t="shared" si="36"/>
        <v>1640.6360000000002</v>
      </c>
      <c r="R77" s="380">
        <f t="shared" si="36"/>
        <v>1687.2160000000001</v>
      </c>
      <c r="S77" s="380">
        <f t="shared" si="36"/>
        <v>1736.6860000000001</v>
      </c>
      <c r="T77" s="417"/>
    </row>
    <row r="78" spans="2:20" ht="17" thickBot="1" x14ac:dyDescent="0.25">
      <c r="B78" s="404"/>
      <c r="C78" s="2" t="s">
        <v>27</v>
      </c>
      <c r="D78" s="4"/>
      <c r="E78" s="454">
        <v>0.05</v>
      </c>
      <c r="F78" s="2"/>
      <c r="G78" s="2"/>
      <c r="H78" s="379">
        <f t="shared" si="36"/>
        <v>1799.7</v>
      </c>
      <c r="I78" s="380">
        <f t="shared" si="36"/>
        <v>1860.7</v>
      </c>
      <c r="J78" s="380">
        <f t="shared" si="36"/>
        <v>1935.2</v>
      </c>
      <c r="K78" s="380">
        <f t="shared" si="36"/>
        <v>2004.2</v>
      </c>
      <c r="L78" s="380">
        <f t="shared" si="36"/>
        <v>2065.2000000000003</v>
      </c>
      <c r="M78" s="380">
        <f t="shared" si="36"/>
        <v>2139.7000000000003</v>
      </c>
      <c r="N78" s="380">
        <f t="shared" si="36"/>
        <v>2208.2000000000003</v>
      </c>
      <c r="O78" s="380">
        <f t="shared" si="36"/>
        <v>2277.2000000000003</v>
      </c>
      <c r="P78" s="380">
        <f t="shared" si="36"/>
        <v>2344.2000000000003</v>
      </c>
      <c r="Q78" s="380">
        <f t="shared" si="36"/>
        <v>2412.7000000000003</v>
      </c>
      <c r="R78" s="380">
        <f t="shared" si="36"/>
        <v>2481.2000000000003</v>
      </c>
      <c r="S78" s="380">
        <f t="shared" si="36"/>
        <v>2553.9500000000003</v>
      </c>
      <c r="T78" s="417"/>
    </row>
    <row r="79" spans="2:20" ht="17" thickTop="1" x14ac:dyDescent="0.2">
      <c r="B79" s="418" t="s">
        <v>13</v>
      </c>
      <c r="C79" s="419"/>
      <c r="D79" s="419"/>
      <c r="E79" s="419"/>
      <c r="F79" s="419"/>
      <c r="G79" s="420"/>
      <c r="H79" s="421">
        <f t="shared" ref="H79:S79" si="37">SUM(H77:H78)</f>
        <v>3023.4960000000001</v>
      </c>
      <c r="I79" s="422">
        <f t="shared" si="37"/>
        <v>3125.9760000000001</v>
      </c>
      <c r="J79" s="422">
        <f t="shared" si="37"/>
        <v>3251.1360000000004</v>
      </c>
      <c r="K79" s="422">
        <f t="shared" si="37"/>
        <v>3367.056</v>
      </c>
      <c r="L79" s="422">
        <f t="shared" si="37"/>
        <v>3469.5360000000001</v>
      </c>
      <c r="M79" s="422">
        <f t="shared" si="37"/>
        <v>3594.6960000000004</v>
      </c>
      <c r="N79" s="422">
        <f t="shared" si="37"/>
        <v>3709.7760000000003</v>
      </c>
      <c r="O79" s="422">
        <f t="shared" si="37"/>
        <v>3825.6960000000004</v>
      </c>
      <c r="P79" s="422">
        <f t="shared" si="37"/>
        <v>3938.2560000000003</v>
      </c>
      <c r="Q79" s="422">
        <f t="shared" si="37"/>
        <v>4053.3360000000002</v>
      </c>
      <c r="R79" s="422">
        <f t="shared" si="37"/>
        <v>4168.4160000000002</v>
      </c>
      <c r="S79" s="422">
        <f t="shared" si="37"/>
        <v>4290.6360000000004</v>
      </c>
      <c r="T79" s="423">
        <f>SUM(H79:S79)</f>
        <v>43818.012000000002</v>
      </c>
    </row>
    <row r="80" spans="2:20" ht="17" thickBot="1" x14ac:dyDescent="0.25">
      <c r="B80" s="308"/>
      <c r="C80" s="10"/>
      <c r="D80" s="11"/>
      <c r="E80" s="16"/>
      <c r="H80" s="385"/>
      <c r="I80" s="386"/>
      <c r="J80" s="386"/>
      <c r="K80" s="386"/>
      <c r="L80" s="386"/>
      <c r="M80" s="386"/>
      <c r="N80" s="386"/>
      <c r="O80" s="386"/>
      <c r="P80" s="386"/>
      <c r="Q80" s="386"/>
      <c r="R80" s="386"/>
      <c r="S80" s="386"/>
      <c r="T80" s="425"/>
    </row>
    <row r="81" spans="2:20" ht="17" thickTop="1" x14ac:dyDescent="0.2">
      <c r="B81" s="250" t="s">
        <v>28</v>
      </c>
      <c r="C81" s="237"/>
      <c r="D81" s="237"/>
      <c r="E81" s="237"/>
      <c r="F81" s="237"/>
      <c r="G81" s="237"/>
      <c r="H81" s="239">
        <f>SUM(H60,H67,H74,H79)</f>
        <v>9097.655999999999</v>
      </c>
      <c r="I81" s="240">
        <f t="shared" ref="I81:S81" si="38">SUM(I60,I67,I74,I79)</f>
        <v>9416.5360000000001</v>
      </c>
      <c r="J81" s="240">
        <f t="shared" si="38"/>
        <v>9810.5960000000014</v>
      </c>
      <c r="K81" s="240">
        <f t="shared" si="38"/>
        <v>9789.616</v>
      </c>
      <c r="L81" s="240">
        <f t="shared" si="38"/>
        <v>10108.495999999999</v>
      </c>
      <c r="M81" s="240">
        <f t="shared" si="38"/>
        <v>10502.556</v>
      </c>
      <c r="N81" s="240">
        <f t="shared" si="38"/>
        <v>10880.536</v>
      </c>
      <c r="O81" s="240">
        <f t="shared" si="38"/>
        <v>11259.556</v>
      </c>
      <c r="P81" s="240">
        <f t="shared" si="38"/>
        <v>11594.516</v>
      </c>
      <c r="Q81" s="240">
        <f t="shared" si="38"/>
        <v>11972.496000000001</v>
      </c>
      <c r="R81" s="240">
        <f t="shared" si="38"/>
        <v>12350.476000000001</v>
      </c>
      <c r="S81" s="240">
        <f t="shared" si="38"/>
        <v>12727.846000000001</v>
      </c>
      <c r="T81" s="251">
        <f>SUM(H81:S81)</f>
        <v>129510.882</v>
      </c>
    </row>
    <row r="82" spans="2:20" x14ac:dyDescent="0.2">
      <c r="H82" s="367"/>
      <c r="I82" s="368"/>
      <c r="J82" s="368"/>
      <c r="K82" s="368"/>
      <c r="L82" s="368"/>
      <c r="M82" s="368"/>
      <c r="N82" s="368"/>
      <c r="O82" s="368"/>
      <c r="P82" s="368"/>
      <c r="Q82" s="368"/>
      <c r="R82" s="368"/>
      <c r="S82" s="368"/>
      <c r="T82" s="381"/>
    </row>
    <row r="83" spans="2:20" ht="20" x14ac:dyDescent="0.2">
      <c r="B83" s="116" t="s">
        <v>237</v>
      </c>
      <c r="C83" s="327"/>
      <c r="D83" s="327"/>
      <c r="E83" s="327" t="str">
        <f>$E$3</f>
        <v>Year 3 (2022)</v>
      </c>
      <c r="F83" s="327"/>
      <c r="G83" s="327"/>
      <c r="H83" s="360" t="s">
        <v>127</v>
      </c>
      <c r="I83" s="361" t="s">
        <v>128</v>
      </c>
      <c r="J83" s="361" t="s">
        <v>129</v>
      </c>
      <c r="K83" s="361" t="s">
        <v>130</v>
      </c>
      <c r="L83" s="361" t="s">
        <v>131</v>
      </c>
      <c r="M83" s="361" t="s">
        <v>132</v>
      </c>
      <c r="N83" s="361" t="s">
        <v>133</v>
      </c>
      <c r="O83" s="361" t="s">
        <v>134</v>
      </c>
      <c r="P83" s="361" t="s">
        <v>135</v>
      </c>
      <c r="Q83" s="361" t="s">
        <v>136</v>
      </c>
      <c r="R83" s="361" t="s">
        <v>137</v>
      </c>
      <c r="S83" s="361" t="s">
        <v>138</v>
      </c>
      <c r="T83" s="362" t="s">
        <v>179</v>
      </c>
    </row>
    <row r="84" spans="2:20" x14ac:dyDescent="0.2">
      <c r="B84" s="401"/>
      <c r="C84" s="402"/>
      <c r="D84" s="402"/>
      <c r="E84" s="402"/>
      <c r="F84" s="402"/>
      <c r="G84" s="403" t="s">
        <v>57</v>
      </c>
      <c r="H84" s="363">
        <f>H$4</f>
        <v>25</v>
      </c>
      <c r="I84" s="364">
        <f t="shared" ref="I84:S84" si="39">I$4</f>
        <v>26</v>
      </c>
      <c r="J84" s="364">
        <f t="shared" si="39"/>
        <v>27</v>
      </c>
      <c r="K84" s="364">
        <f t="shared" si="39"/>
        <v>28</v>
      </c>
      <c r="L84" s="364">
        <f t="shared" si="39"/>
        <v>29</v>
      </c>
      <c r="M84" s="364">
        <f t="shared" si="39"/>
        <v>30</v>
      </c>
      <c r="N84" s="364">
        <f t="shared" si="39"/>
        <v>31</v>
      </c>
      <c r="O84" s="364">
        <f t="shared" si="39"/>
        <v>32</v>
      </c>
      <c r="P84" s="364">
        <f t="shared" si="39"/>
        <v>33</v>
      </c>
      <c r="Q84" s="364">
        <f t="shared" si="39"/>
        <v>34</v>
      </c>
      <c r="R84" s="364">
        <f t="shared" si="39"/>
        <v>35</v>
      </c>
      <c r="S84" s="364">
        <f t="shared" si="39"/>
        <v>36</v>
      </c>
      <c r="T84" s="405" t="str">
        <f>"Total for " &amp; $E$3</f>
        <v>Total for Year 3 (2022)</v>
      </c>
    </row>
    <row r="85" spans="2:20" x14ac:dyDescent="0.2">
      <c r="B85" s="308"/>
      <c r="E85" s="499" t="s">
        <v>291</v>
      </c>
      <c r="G85" s="496" t="s">
        <v>292</v>
      </c>
      <c r="H85" s="367"/>
      <c r="I85" s="368"/>
      <c r="J85" s="368"/>
      <c r="K85" s="368"/>
      <c r="L85" s="368"/>
      <c r="M85" s="368"/>
      <c r="N85" s="368"/>
      <c r="O85" s="368"/>
      <c r="P85" s="368"/>
      <c r="Q85" s="368"/>
      <c r="R85" s="368"/>
      <c r="S85" s="368"/>
      <c r="T85" s="407"/>
    </row>
    <row r="86" spans="2:20" x14ac:dyDescent="0.2">
      <c r="B86" s="307" t="s">
        <v>224</v>
      </c>
      <c r="C86" s="10"/>
      <c r="D86" s="11"/>
      <c r="E86" s="499"/>
      <c r="F86" s="18" t="s">
        <v>276</v>
      </c>
      <c r="G86" s="496"/>
      <c r="H86" s="367"/>
      <c r="I86" s="368"/>
      <c r="J86" s="368"/>
      <c r="K86" s="368"/>
      <c r="L86" s="368"/>
      <c r="M86" s="368"/>
      <c r="N86" s="368"/>
      <c r="O86" s="368"/>
      <c r="P86" s="368"/>
      <c r="Q86" s="368"/>
      <c r="R86" s="368"/>
      <c r="S86" s="368"/>
      <c r="T86" s="407"/>
    </row>
    <row r="87" spans="2:20" x14ac:dyDescent="0.2">
      <c r="B87" s="308"/>
      <c r="C87" t="s">
        <v>210</v>
      </c>
      <c r="D87" s="11"/>
      <c r="E87" s="452">
        <f>(1+'Year 2'!$G87)*'Year 2'!$E87</f>
        <v>7056</v>
      </c>
      <c r="F87" s="453">
        <f>'Year 2'!$F87</f>
        <v>2</v>
      </c>
      <c r="G87" s="454">
        <f>'Year 2'!$G87</f>
        <v>0.05</v>
      </c>
      <c r="H87" s="379">
        <f t="shared" ref="H87:S95" si="40">$E87*$F87</f>
        <v>14112</v>
      </c>
      <c r="I87" s="380">
        <f t="shared" si="40"/>
        <v>14112</v>
      </c>
      <c r="J87" s="380">
        <f t="shared" si="40"/>
        <v>14112</v>
      </c>
      <c r="K87" s="380">
        <f t="shared" si="40"/>
        <v>14112</v>
      </c>
      <c r="L87" s="380">
        <f t="shared" si="40"/>
        <v>14112</v>
      </c>
      <c r="M87" s="380">
        <f t="shared" si="40"/>
        <v>14112</v>
      </c>
      <c r="N87" s="380">
        <f t="shared" si="40"/>
        <v>14112</v>
      </c>
      <c r="O87" s="380">
        <f t="shared" si="40"/>
        <v>14112</v>
      </c>
      <c r="P87" s="380">
        <f t="shared" si="40"/>
        <v>14112</v>
      </c>
      <c r="Q87" s="380">
        <f t="shared" si="40"/>
        <v>14112</v>
      </c>
      <c r="R87" s="380">
        <f t="shared" si="40"/>
        <v>14112</v>
      </c>
      <c r="S87" s="380">
        <f t="shared" si="40"/>
        <v>14112</v>
      </c>
      <c r="T87" s="417">
        <f t="shared" ref="T87:T100" si="41">SUM(H87:S87)</f>
        <v>169344</v>
      </c>
    </row>
    <row r="88" spans="2:20" x14ac:dyDescent="0.2">
      <c r="B88" s="308"/>
      <c r="C88" t="s">
        <v>211</v>
      </c>
      <c r="D88" s="11"/>
      <c r="E88" s="452">
        <f>(1+'Year 2'!$G88)*'Year 2'!$E88</f>
        <v>0</v>
      </c>
      <c r="F88" s="453">
        <f>'Year 2'!$F88</f>
        <v>0</v>
      </c>
      <c r="G88" s="454">
        <f>'Year 2'!$G88</f>
        <v>0.02</v>
      </c>
      <c r="H88" s="379">
        <f t="shared" si="40"/>
        <v>0</v>
      </c>
      <c r="I88" s="380">
        <f t="shared" si="40"/>
        <v>0</v>
      </c>
      <c r="J88" s="380">
        <f t="shared" si="40"/>
        <v>0</v>
      </c>
      <c r="K88" s="380">
        <f t="shared" si="40"/>
        <v>0</v>
      </c>
      <c r="L88" s="380">
        <f t="shared" si="40"/>
        <v>0</v>
      </c>
      <c r="M88" s="380">
        <f t="shared" si="40"/>
        <v>0</v>
      </c>
      <c r="N88" s="380">
        <f t="shared" si="40"/>
        <v>0</v>
      </c>
      <c r="O88" s="380">
        <f t="shared" si="40"/>
        <v>0</v>
      </c>
      <c r="P88" s="380">
        <f t="shared" si="40"/>
        <v>0</v>
      </c>
      <c r="Q88" s="380">
        <f t="shared" si="40"/>
        <v>0</v>
      </c>
      <c r="R88" s="380">
        <f t="shared" si="40"/>
        <v>0</v>
      </c>
      <c r="S88" s="380">
        <f t="shared" si="40"/>
        <v>0</v>
      </c>
      <c r="T88" s="417">
        <f t="shared" si="41"/>
        <v>0</v>
      </c>
    </row>
    <row r="89" spans="2:20" x14ac:dyDescent="0.2">
      <c r="B89" s="308"/>
      <c r="C89" t="s">
        <v>212</v>
      </c>
      <c r="D89" s="11"/>
      <c r="E89" s="452">
        <f>(1+'Year 2'!$G89)*'Year 2'!$E89</f>
        <v>0</v>
      </c>
      <c r="F89" s="453">
        <f>'Year 2'!$F89</f>
        <v>0</v>
      </c>
      <c r="G89" s="454">
        <f>'Year 2'!$G89</f>
        <v>0.02</v>
      </c>
      <c r="H89" s="379">
        <f t="shared" si="40"/>
        <v>0</v>
      </c>
      <c r="I89" s="380">
        <f t="shared" si="40"/>
        <v>0</v>
      </c>
      <c r="J89" s="380">
        <f t="shared" si="40"/>
        <v>0</v>
      </c>
      <c r="K89" s="380">
        <f t="shared" si="40"/>
        <v>0</v>
      </c>
      <c r="L89" s="380">
        <f t="shared" si="40"/>
        <v>0</v>
      </c>
      <c r="M89" s="380">
        <f t="shared" si="40"/>
        <v>0</v>
      </c>
      <c r="N89" s="380">
        <f t="shared" si="40"/>
        <v>0</v>
      </c>
      <c r="O89" s="380">
        <f t="shared" si="40"/>
        <v>0</v>
      </c>
      <c r="P89" s="380">
        <f t="shared" si="40"/>
        <v>0</v>
      </c>
      <c r="Q89" s="380">
        <f t="shared" si="40"/>
        <v>0</v>
      </c>
      <c r="R89" s="380">
        <f t="shared" si="40"/>
        <v>0</v>
      </c>
      <c r="S89" s="380">
        <f t="shared" si="40"/>
        <v>0</v>
      </c>
      <c r="T89" s="417">
        <f t="shared" si="41"/>
        <v>0</v>
      </c>
    </row>
    <row r="90" spans="2:20" x14ac:dyDescent="0.2">
      <c r="B90" s="308"/>
      <c r="C90" t="s">
        <v>213</v>
      </c>
      <c r="D90" s="11"/>
      <c r="E90" s="452">
        <f>(1+'Year 2'!$G90)*'Year 2'!$E90</f>
        <v>3329.28</v>
      </c>
      <c r="F90" s="453">
        <f>'Year 2'!$F90</f>
        <v>1</v>
      </c>
      <c r="G90" s="454">
        <f>'Year 2'!$G90</f>
        <v>0.02</v>
      </c>
      <c r="H90" s="379">
        <f t="shared" si="40"/>
        <v>3329.28</v>
      </c>
      <c r="I90" s="380">
        <f t="shared" si="40"/>
        <v>3329.28</v>
      </c>
      <c r="J90" s="380">
        <f t="shared" si="40"/>
        <v>3329.28</v>
      </c>
      <c r="K90" s="380">
        <f t="shared" si="40"/>
        <v>3329.28</v>
      </c>
      <c r="L90" s="380">
        <f t="shared" si="40"/>
        <v>3329.28</v>
      </c>
      <c r="M90" s="380">
        <f t="shared" si="40"/>
        <v>3329.28</v>
      </c>
      <c r="N90" s="380">
        <f t="shared" si="40"/>
        <v>3329.28</v>
      </c>
      <c r="O90" s="380">
        <f t="shared" si="40"/>
        <v>3329.28</v>
      </c>
      <c r="P90" s="380">
        <f t="shared" si="40"/>
        <v>3329.28</v>
      </c>
      <c r="Q90" s="380">
        <f t="shared" si="40"/>
        <v>3329.28</v>
      </c>
      <c r="R90" s="380">
        <f t="shared" si="40"/>
        <v>3329.28</v>
      </c>
      <c r="S90" s="380">
        <f t="shared" si="40"/>
        <v>3329.28</v>
      </c>
      <c r="T90" s="417">
        <f t="shared" si="41"/>
        <v>39951.359999999993</v>
      </c>
    </row>
    <row r="91" spans="2:20" x14ac:dyDescent="0.2">
      <c r="B91" s="308"/>
      <c r="C91" t="s">
        <v>236</v>
      </c>
      <c r="D91" s="11"/>
      <c r="E91" s="452">
        <f>(1+'Year 2'!$G91)*'Year 2'!$E91</f>
        <v>0</v>
      </c>
      <c r="F91" s="453">
        <f>'Year 2'!$F91</f>
        <v>0</v>
      </c>
      <c r="G91" s="454">
        <f>'Year 2'!$G91</f>
        <v>0.02</v>
      </c>
      <c r="H91" s="379">
        <f t="shared" si="40"/>
        <v>0</v>
      </c>
      <c r="I91" s="380">
        <f t="shared" si="40"/>
        <v>0</v>
      </c>
      <c r="J91" s="380">
        <f t="shared" si="40"/>
        <v>0</v>
      </c>
      <c r="K91" s="380">
        <f t="shared" si="40"/>
        <v>0</v>
      </c>
      <c r="L91" s="380">
        <f t="shared" si="40"/>
        <v>0</v>
      </c>
      <c r="M91" s="380">
        <f t="shared" si="40"/>
        <v>0</v>
      </c>
      <c r="N91" s="380">
        <f t="shared" si="40"/>
        <v>0</v>
      </c>
      <c r="O91" s="380">
        <f t="shared" si="40"/>
        <v>0</v>
      </c>
      <c r="P91" s="380">
        <f t="shared" si="40"/>
        <v>0</v>
      </c>
      <c r="Q91" s="380">
        <f t="shared" si="40"/>
        <v>0</v>
      </c>
      <c r="R91" s="380">
        <f t="shared" si="40"/>
        <v>0</v>
      </c>
      <c r="S91" s="380">
        <f t="shared" si="40"/>
        <v>0</v>
      </c>
      <c r="T91" s="417">
        <f t="shared" si="41"/>
        <v>0</v>
      </c>
    </row>
    <row r="92" spans="2:20" x14ac:dyDescent="0.2">
      <c r="B92" s="308"/>
      <c r="C92" t="s">
        <v>217</v>
      </c>
      <c r="D92" s="11"/>
      <c r="E92" s="452">
        <f>(1+'Year 2'!$G92)*'Year 2'!$E92</f>
        <v>1800</v>
      </c>
      <c r="F92" s="453">
        <f>'Year 2'!$F92</f>
        <v>1</v>
      </c>
      <c r="G92" s="454">
        <f>'Year 2'!$G92</f>
        <v>0</v>
      </c>
      <c r="H92" s="379">
        <f t="shared" si="40"/>
        <v>1800</v>
      </c>
      <c r="I92" s="380">
        <f t="shared" si="40"/>
        <v>1800</v>
      </c>
      <c r="J92" s="380">
        <f t="shared" si="40"/>
        <v>1800</v>
      </c>
      <c r="K92" s="380">
        <f t="shared" si="40"/>
        <v>1800</v>
      </c>
      <c r="L92" s="380">
        <f t="shared" si="40"/>
        <v>1800</v>
      </c>
      <c r="M92" s="380">
        <f t="shared" si="40"/>
        <v>1800</v>
      </c>
      <c r="N92" s="380">
        <f t="shared" si="40"/>
        <v>1800</v>
      </c>
      <c r="O92" s="380">
        <f t="shared" si="40"/>
        <v>1800</v>
      </c>
      <c r="P92" s="380">
        <f t="shared" si="40"/>
        <v>1800</v>
      </c>
      <c r="Q92" s="380">
        <f t="shared" si="40"/>
        <v>1800</v>
      </c>
      <c r="R92" s="380">
        <f t="shared" si="40"/>
        <v>1800</v>
      </c>
      <c r="S92" s="380">
        <f t="shared" si="40"/>
        <v>1800</v>
      </c>
      <c r="T92" s="417">
        <f t="shared" si="41"/>
        <v>21600</v>
      </c>
    </row>
    <row r="93" spans="2:20" x14ac:dyDescent="0.2">
      <c r="B93" s="308"/>
      <c r="C93" t="s">
        <v>218</v>
      </c>
      <c r="D93" s="11"/>
      <c r="E93" s="452">
        <f>(1+'Year 2'!$G93)*'Year 2'!$E93</f>
        <v>0</v>
      </c>
      <c r="F93" s="453">
        <f>'Year 2'!$F93</f>
        <v>0</v>
      </c>
      <c r="G93" s="454">
        <f>'Year 2'!$G93</f>
        <v>0</v>
      </c>
      <c r="H93" s="379">
        <f t="shared" si="40"/>
        <v>0</v>
      </c>
      <c r="I93" s="380">
        <f t="shared" si="40"/>
        <v>0</v>
      </c>
      <c r="J93" s="380">
        <f t="shared" si="40"/>
        <v>0</v>
      </c>
      <c r="K93" s="380">
        <f t="shared" si="40"/>
        <v>0</v>
      </c>
      <c r="L93" s="380">
        <f t="shared" si="40"/>
        <v>0</v>
      </c>
      <c r="M93" s="380">
        <f t="shared" si="40"/>
        <v>0</v>
      </c>
      <c r="N93" s="380">
        <f t="shared" si="40"/>
        <v>0</v>
      </c>
      <c r="O93" s="380">
        <f t="shared" si="40"/>
        <v>0</v>
      </c>
      <c r="P93" s="380">
        <f t="shared" si="40"/>
        <v>0</v>
      </c>
      <c r="Q93" s="380">
        <f t="shared" si="40"/>
        <v>0</v>
      </c>
      <c r="R93" s="380">
        <f t="shared" si="40"/>
        <v>0</v>
      </c>
      <c r="S93" s="380">
        <f t="shared" si="40"/>
        <v>0</v>
      </c>
      <c r="T93" s="417">
        <f t="shared" si="41"/>
        <v>0</v>
      </c>
    </row>
    <row r="94" spans="2:20" x14ac:dyDescent="0.2">
      <c r="B94" s="308"/>
      <c r="C94" t="s">
        <v>219</v>
      </c>
      <c r="D94" s="11"/>
      <c r="E94" s="452">
        <f>(1+'Year 2'!$G94)*'Year 2'!$E94</f>
        <v>0</v>
      </c>
      <c r="F94" s="453">
        <f>'Year 2'!$F94</f>
        <v>0</v>
      </c>
      <c r="G94" s="454">
        <f>'Year 2'!$G94</f>
        <v>0</v>
      </c>
      <c r="H94" s="379">
        <f t="shared" si="40"/>
        <v>0</v>
      </c>
      <c r="I94" s="380">
        <f t="shared" si="40"/>
        <v>0</v>
      </c>
      <c r="J94" s="380">
        <f t="shared" si="40"/>
        <v>0</v>
      </c>
      <c r="K94" s="380">
        <f t="shared" si="40"/>
        <v>0</v>
      </c>
      <c r="L94" s="380">
        <f t="shared" si="40"/>
        <v>0</v>
      </c>
      <c r="M94" s="380">
        <f t="shared" si="40"/>
        <v>0</v>
      </c>
      <c r="N94" s="380">
        <f t="shared" si="40"/>
        <v>0</v>
      </c>
      <c r="O94" s="380">
        <f t="shared" si="40"/>
        <v>0</v>
      </c>
      <c r="P94" s="380">
        <f t="shared" si="40"/>
        <v>0</v>
      </c>
      <c r="Q94" s="380">
        <f t="shared" si="40"/>
        <v>0</v>
      </c>
      <c r="R94" s="380">
        <f t="shared" si="40"/>
        <v>0</v>
      </c>
      <c r="S94" s="380">
        <f t="shared" si="40"/>
        <v>0</v>
      </c>
      <c r="T94" s="417">
        <f t="shared" si="41"/>
        <v>0</v>
      </c>
    </row>
    <row r="95" spans="2:20" x14ac:dyDescent="0.2">
      <c r="B95" s="308"/>
      <c r="C95" t="s">
        <v>220</v>
      </c>
      <c r="D95" s="11"/>
      <c r="E95" s="452">
        <f>(1+'Year 2'!$G95)*'Year 2'!$E95</f>
        <v>0</v>
      </c>
      <c r="F95" s="453">
        <f>'Year 2'!$F95</f>
        <v>0</v>
      </c>
      <c r="G95" s="454">
        <f>'Year 2'!$G95</f>
        <v>0</v>
      </c>
      <c r="H95" s="379">
        <f t="shared" si="40"/>
        <v>0</v>
      </c>
      <c r="I95" s="380">
        <f t="shared" si="40"/>
        <v>0</v>
      </c>
      <c r="J95" s="380">
        <f t="shared" si="40"/>
        <v>0</v>
      </c>
      <c r="K95" s="380">
        <f t="shared" si="40"/>
        <v>0</v>
      </c>
      <c r="L95" s="380">
        <f t="shared" si="40"/>
        <v>0</v>
      </c>
      <c r="M95" s="380">
        <f t="shared" si="40"/>
        <v>0</v>
      </c>
      <c r="N95" s="380">
        <f t="shared" si="40"/>
        <v>0</v>
      </c>
      <c r="O95" s="380">
        <f t="shared" si="40"/>
        <v>0</v>
      </c>
      <c r="P95" s="380">
        <f t="shared" si="40"/>
        <v>0</v>
      </c>
      <c r="Q95" s="380">
        <f t="shared" si="40"/>
        <v>0</v>
      </c>
      <c r="R95" s="380">
        <f t="shared" si="40"/>
        <v>0</v>
      </c>
      <c r="S95" s="380">
        <f t="shared" si="40"/>
        <v>0</v>
      </c>
      <c r="T95" s="417">
        <f t="shared" si="41"/>
        <v>0</v>
      </c>
    </row>
    <row r="96" spans="2:20" x14ac:dyDescent="0.2">
      <c r="B96" s="308"/>
      <c r="D96" s="11"/>
      <c r="E96" s="37"/>
      <c r="F96" s="21">
        <f>SUM(F87:F95)</f>
        <v>4</v>
      </c>
      <c r="G96" s="19"/>
      <c r="H96" s="379"/>
      <c r="I96" s="380"/>
      <c r="J96" s="380"/>
      <c r="K96" s="380"/>
      <c r="L96" s="380"/>
      <c r="M96" s="380"/>
      <c r="N96" s="380"/>
      <c r="O96" s="380"/>
      <c r="P96" s="380"/>
      <c r="Q96" s="380"/>
      <c r="R96" s="380"/>
      <c r="S96" s="380"/>
      <c r="T96" s="417"/>
    </row>
    <row r="97" spans="2:20" x14ac:dyDescent="0.2">
      <c r="B97" s="308"/>
      <c r="D97" s="11" t="s">
        <v>222</v>
      </c>
      <c r="E97" s="18" t="s">
        <v>221</v>
      </c>
      <c r="F97" s="50" t="s">
        <v>216</v>
      </c>
      <c r="G97" s="19"/>
      <c r="H97" s="379"/>
      <c r="I97" s="380"/>
      <c r="J97" s="380"/>
      <c r="K97" s="380"/>
      <c r="L97" s="380"/>
      <c r="M97" s="380"/>
      <c r="N97" s="380"/>
      <c r="O97" s="380"/>
      <c r="P97" s="380"/>
      <c r="Q97" s="380"/>
      <c r="R97" s="380"/>
      <c r="S97" s="380"/>
      <c r="T97" s="417"/>
    </row>
    <row r="98" spans="2:20" x14ac:dyDescent="0.2">
      <c r="B98" s="308"/>
      <c r="C98" t="s">
        <v>214</v>
      </c>
      <c r="D98" s="453">
        <f>'Year 2'!D98</f>
        <v>3</v>
      </c>
      <c r="E98" s="452">
        <f>'Year 2'!E98</f>
        <v>10</v>
      </c>
      <c r="F98" s="453">
        <f>'Year 2'!F98</f>
        <v>40</v>
      </c>
      <c r="G98" s="19"/>
      <c r="H98" s="379">
        <f>(($E98*$F98*52)/12)*$D98</f>
        <v>5200</v>
      </c>
      <c r="I98" s="380">
        <f t="shared" ref="I98:S98" si="42">(($E98*$F98*52)/12)*$D98</f>
        <v>5200</v>
      </c>
      <c r="J98" s="380">
        <f t="shared" si="42"/>
        <v>5200</v>
      </c>
      <c r="K98" s="380">
        <f t="shared" si="42"/>
        <v>5200</v>
      </c>
      <c r="L98" s="380">
        <f t="shared" si="42"/>
        <v>5200</v>
      </c>
      <c r="M98" s="380">
        <f t="shared" si="42"/>
        <v>5200</v>
      </c>
      <c r="N98" s="380">
        <f t="shared" si="42"/>
        <v>5200</v>
      </c>
      <c r="O98" s="380">
        <f t="shared" si="42"/>
        <v>5200</v>
      </c>
      <c r="P98" s="380">
        <f t="shared" si="42"/>
        <v>5200</v>
      </c>
      <c r="Q98" s="380">
        <f t="shared" si="42"/>
        <v>5200</v>
      </c>
      <c r="R98" s="380">
        <f t="shared" si="42"/>
        <v>5200</v>
      </c>
      <c r="S98" s="380">
        <f t="shared" si="42"/>
        <v>5200</v>
      </c>
      <c r="T98" s="417">
        <f t="shared" si="41"/>
        <v>62400</v>
      </c>
    </row>
    <row r="99" spans="2:20" x14ac:dyDescent="0.2">
      <c r="B99" s="308"/>
      <c r="C99" t="s">
        <v>215</v>
      </c>
      <c r="D99" s="453">
        <f>'Year 2'!D99</f>
        <v>2</v>
      </c>
      <c r="E99" s="452">
        <f>'Year 2'!E99</f>
        <v>9</v>
      </c>
      <c r="F99" s="453">
        <f>'Year 2'!F99</f>
        <v>20</v>
      </c>
      <c r="G99" s="19"/>
      <c r="H99" s="379">
        <f t="shared" ref="H99:S100" si="43">(($E99*$F99*52)/12)*$D99</f>
        <v>1560</v>
      </c>
      <c r="I99" s="380">
        <f t="shared" si="43"/>
        <v>1560</v>
      </c>
      <c r="J99" s="380">
        <f t="shared" si="43"/>
        <v>1560</v>
      </c>
      <c r="K99" s="380">
        <f t="shared" si="43"/>
        <v>1560</v>
      </c>
      <c r="L99" s="380">
        <f t="shared" si="43"/>
        <v>1560</v>
      </c>
      <c r="M99" s="380">
        <f t="shared" si="43"/>
        <v>1560</v>
      </c>
      <c r="N99" s="380">
        <f t="shared" si="43"/>
        <v>1560</v>
      </c>
      <c r="O99" s="380">
        <f t="shared" si="43"/>
        <v>1560</v>
      </c>
      <c r="P99" s="380">
        <f t="shared" si="43"/>
        <v>1560</v>
      </c>
      <c r="Q99" s="380">
        <f t="shared" si="43"/>
        <v>1560</v>
      </c>
      <c r="R99" s="380">
        <f t="shared" si="43"/>
        <v>1560</v>
      </c>
      <c r="S99" s="380">
        <f t="shared" si="43"/>
        <v>1560</v>
      </c>
      <c r="T99" s="417">
        <f t="shared" si="41"/>
        <v>18720</v>
      </c>
    </row>
    <row r="100" spans="2:20" x14ac:dyDescent="0.2">
      <c r="B100" s="308"/>
      <c r="C100" t="s">
        <v>24</v>
      </c>
      <c r="D100" s="453">
        <f>'Year 2'!D100</f>
        <v>0</v>
      </c>
      <c r="E100" s="452">
        <f>'Year 2'!E100</f>
        <v>0</v>
      </c>
      <c r="F100" s="453">
        <f>'Year 2'!F100</f>
        <v>0</v>
      </c>
      <c r="G100" s="19"/>
      <c r="H100" s="379">
        <f t="shared" si="43"/>
        <v>0</v>
      </c>
      <c r="I100" s="380">
        <f t="shared" si="43"/>
        <v>0</v>
      </c>
      <c r="J100" s="380">
        <f t="shared" si="43"/>
        <v>0</v>
      </c>
      <c r="K100" s="380">
        <f t="shared" si="43"/>
        <v>0</v>
      </c>
      <c r="L100" s="380">
        <f t="shared" si="43"/>
        <v>0</v>
      </c>
      <c r="M100" s="380">
        <f t="shared" si="43"/>
        <v>0</v>
      </c>
      <c r="N100" s="380">
        <f t="shared" si="43"/>
        <v>0</v>
      </c>
      <c r="O100" s="380">
        <f t="shared" si="43"/>
        <v>0</v>
      </c>
      <c r="P100" s="380">
        <f t="shared" si="43"/>
        <v>0</v>
      </c>
      <c r="Q100" s="380">
        <f t="shared" si="43"/>
        <v>0</v>
      </c>
      <c r="R100" s="380">
        <f t="shared" si="43"/>
        <v>0</v>
      </c>
      <c r="S100" s="380">
        <f t="shared" si="43"/>
        <v>0</v>
      </c>
      <c r="T100" s="417">
        <f t="shared" si="41"/>
        <v>0</v>
      </c>
    </row>
    <row r="101" spans="2:20" ht="17" thickBot="1" x14ac:dyDescent="0.25">
      <c r="B101" s="308"/>
      <c r="D101" s="21">
        <f>SUM(D98:D100)</f>
        <v>5</v>
      </c>
      <c r="E101" s="37"/>
      <c r="F101" s="51"/>
      <c r="G101" s="19"/>
      <c r="H101" s="379"/>
      <c r="I101" s="380"/>
      <c r="J101" s="380"/>
      <c r="K101" s="380"/>
      <c r="L101" s="380"/>
      <c r="M101" s="380"/>
      <c r="N101" s="380"/>
      <c r="O101" s="380"/>
      <c r="P101" s="380"/>
      <c r="Q101" s="380"/>
      <c r="R101" s="380"/>
      <c r="S101" s="380"/>
      <c r="T101" s="417"/>
    </row>
    <row r="102" spans="2:20" ht="17" thickTop="1" x14ac:dyDescent="0.2">
      <c r="B102" s="418" t="s">
        <v>223</v>
      </c>
      <c r="C102" s="419"/>
      <c r="D102" s="419"/>
      <c r="E102" s="419"/>
      <c r="F102" s="419"/>
      <c r="G102" s="420"/>
      <c r="H102" s="421">
        <f>SUM(H87:H100)</f>
        <v>26001.279999999999</v>
      </c>
      <c r="I102" s="422">
        <f t="shared" ref="I102:S102" si="44">SUM(I87:I100)</f>
        <v>26001.279999999999</v>
      </c>
      <c r="J102" s="422">
        <f t="shared" si="44"/>
        <v>26001.279999999999</v>
      </c>
      <c r="K102" s="422">
        <f t="shared" si="44"/>
        <v>26001.279999999999</v>
      </c>
      <c r="L102" s="422">
        <f t="shared" si="44"/>
        <v>26001.279999999999</v>
      </c>
      <c r="M102" s="422">
        <f t="shared" si="44"/>
        <v>26001.279999999999</v>
      </c>
      <c r="N102" s="422">
        <f t="shared" si="44"/>
        <v>26001.279999999999</v>
      </c>
      <c r="O102" s="422">
        <f t="shared" si="44"/>
        <v>26001.279999999999</v>
      </c>
      <c r="P102" s="422">
        <f t="shared" si="44"/>
        <v>26001.279999999999</v>
      </c>
      <c r="Q102" s="422">
        <f t="shared" si="44"/>
        <v>26001.279999999999</v>
      </c>
      <c r="R102" s="422">
        <f t="shared" si="44"/>
        <v>26001.279999999999</v>
      </c>
      <c r="S102" s="422">
        <f t="shared" si="44"/>
        <v>26001.279999999999</v>
      </c>
      <c r="T102" s="423">
        <f>SUM(H102:S102)</f>
        <v>312015.35999999999</v>
      </c>
    </row>
    <row r="103" spans="2:20" ht="16" customHeight="1" x14ac:dyDescent="0.2">
      <c r="B103" s="308"/>
      <c r="D103" s="51"/>
      <c r="E103" s="498" t="s">
        <v>317</v>
      </c>
      <c r="F103" s="498" t="s">
        <v>316</v>
      </c>
      <c r="G103" s="498"/>
      <c r="H103" s="379"/>
      <c r="I103" s="380"/>
      <c r="J103" s="380"/>
      <c r="K103" s="380"/>
      <c r="L103" s="380"/>
      <c r="M103" s="380"/>
      <c r="N103" s="380"/>
      <c r="O103" s="380"/>
      <c r="P103" s="380"/>
      <c r="Q103" s="380"/>
      <c r="R103" s="380"/>
      <c r="S103" s="380"/>
      <c r="T103" s="417"/>
    </row>
    <row r="104" spans="2:20" x14ac:dyDescent="0.2">
      <c r="B104" s="307" t="s">
        <v>225</v>
      </c>
      <c r="C104" s="49"/>
      <c r="D104" s="49"/>
      <c r="E104" s="498"/>
      <c r="F104" s="498"/>
      <c r="G104" s="498"/>
      <c r="H104" s="379"/>
      <c r="I104" s="380"/>
      <c r="J104" s="380"/>
      <c r="K104" s="380"/>
      <c r="L104" s="380"/>
      <c r="M104" s="380"/>
      <c r="N104" s="380"/>
      <c r="O104" s="380"/>
      <c r="P104" s="380"/>
      <c r="Q104" s="380"/>
      <c r="R104" s="380"/>
      <c r="S104" s="380"/>
      <c r="T104" s="417"/>
    </row>
    <row r="105" spans="2:20" x14ac:dyDescent="0.2">
      <c r="B105" s="426"/>
      <c r="C105" t="s">
        <v>226</v>
      </c>
      <c r="D105" s="49"/>
      <c r="E105" s="454">
        <f>'Year 2'!E105</f>
        <v>6.2E-2</v>
      </c>
      <c r="F105" s="452">
        <f>IF('Year 2'!F105="","",'Year 2'!F105)</f>
        <v>102000</v>
      </c>
      <c r="H105" s="379">
        <f>IF($F105="",$E105*H$102,$E105*$F105)</f>
        <v>6324</v>
      </c>
      <c r="I105" s="380">
        <f t="shared" ref="I105:S105" si="45">IF($F105="",$E105*I$102,$E105*$F105)</f>
        <v>6324</v>
      </c>
      <c r="J105" s="380">
        <f t="shared" si="45"/>
        <v>6324</v>
      </c>
      <c r="K105" s="380">
        <f t="shared" si="45"/>
        <v>6324</v>
      </c>
      <c r="L105" s="380">
        <f t="shared" si="45"/>
        <v>6324</v>
      </c>
      <c r="M105" s="380">
        <f t="shared" si="45"/>
        <v>6324</v>
      </c>
      <c r="N105" s="380">
        <f t="shared" si="45"/>
        <v>6324</v>
      </c>
      <c r="O105" s="380">
        <f t="shared" si="45"/>
        <v>6324</v>
      </c>
      <c r="P105" s="380">
        <f t="shared" si="45"/>
        <v>6324</v>
      </c>
      <c r="Q105" s="380">
        <f t="shared" si="45"/>
        <v>6324</v>
      </c>
      <c r="R105" s="380">
        <f t="shared" si="45"/>
        <v>6324</v>
      </c>
      <c r="S105" s="380">
        <f t="shared" si="45"/>
        <v>6324</v>
      </c>
      <c r="T105" s="417">
        <f t="shared" ref="T105:T112" si="46">SUM(H105:S105)</f>
        <v>75888</v>
      </c>
    </row>
    <row r="106" spans="2:20" x14ac:dyDescent="0.2">
      <c r="B106" s="426"/>
      <c r="C106" t="s">
        <v>227</v>
      </c>
      <c r="D106" s="49"/>
      <c r="E106" s="454">
        <f>'Year 2'!E106</f>
        <v>1.4500000000000001E-2</v>
      </c>
      <c r="F106" s="452" t="str">
        <f>IF('Year 2'!F106="","",'Year 2'!F106)</f>
        <v/>
      </c>
      <c r="H106" s="379">
        <f t="shared" ref="H106:S112" si="47">IF($F106="",$E106*H$102,$E106*$F106)</f>
        <v>377.01855999999998</v>
      </c>
      <c r="I106" s="380">
        <f t="shared" si="47"/>
        <v>377.01855999999998</v>
      </c>
      <c r="J106" s="380">
        <f t="shared" si="47"/>
        <v>377.01855999999998</v>
      </c>
      <c r="K106" s="380">
        <f t="shared" si="47"/>
        <v>377.01855999999998</v>
      </c>
      <c r="L106" s="380">
        <f t="shared" si="47"/>
        <v>377.01855999999998</v>
      </c>
      <c r="M106" s="380">
        <f t="shared" si="47"/>
        <v>377.01855999999998</v>
      </c>
      <c r="N106" s="380">
        <f t="shared" si="47"/>
        <v>377.01855999999998</v>
      </c>
      <c r="O106" s="380">
        <f t="shared" si="47"/>
        <v>377.01855999999998</v>
      </c>
      <c r="P106" s="380">
        <f t="shared" si="47"/>
        <v>377.01855999999998</v>
      </c>
      <c r="Q106" s="380">
        <f t="shared" si="47"/>
        <v>377.01855999999998</v>
      </c>
      <c r="R106" s="380">
        <f t="shared" si="47"/>
        <v>377.01855999999998</v>
      </c>
      <c r="S106" s="380">
        <f t="shared" si="47"/>
        <v>377.01855999999998</v>
      </c>
      <c r="T106" s="417">
        <f t="shared" si="46"/>
        <v>4524.2227199999998</v>
      </c>
    </row>
    <row r="107" spans="2:20" x14ac:dyDescent="0.2">
      <c r="B107" s="426"/>
      <c r="C107" t="s">
        <v>233</v>
      </c>
      <c r="D107" s="49"/>
      <c r="E107" s="454">
        <f>'Year 2'!E107</f>
        <v>8.0000000000000002E-3</v>
      </c>
      <c r="F107" s="452">
        <f>IF('Year 2'!F107="","",'Year 2'!F107)</f>
        <v>7000</v>
      </c>
      <c r="H107" s="379">
        <f t="shared" si="47"/>
        <v>56</v>
      </c>
      <c r="I107" s="380">
        <f t="shared" si="47"/>
        <v>56</v>
      </c>
      <c r="J107" s="380">
        <f t="shared" si="47"/>
        <v>56</v>
      </c>
      <c r="K107" s="380">
        <f t="shared" si="47"/>
        <v>56</v>
      </c>
      <c r="L107" s="380">
        <f t="shared" si="47"/>
        <v>56</v>
      </c>
      <c r="M107" s="380">
        <f t="shared" si="47"/>
        <v>56</v>
      </c>
      <c r="N107" s="380">
        <f t="shared" si="47"/>
        <v>56</v>
      </c>
      <c r="O107" s="380">
        <f t="shared" si="47"/>
        <v>56</v>
      </c>
      <c r="P107" s="380">
        <f t="shared" si="47"/>
        <v>56</v>
      </c>
      <c r="Q107" s="380">
        <f t="shared" si="47"/>
        <v>56</v>
      </c>
      <c r="R107" s="380">
        <f t="shared" si="47"/>
        <v>56</v>
      </c>
      <c r="S107" s="380">
        <f t="shared" si="47"/>
        <v>56</v>
      </c>
      <c r="T107" s="417">
        <f t="shared" si="46"/>
        <v>672</v>
      </c>
    </row>
    <row r="108" spans="2:20" x14ac:dyDescent="0.2">
      <c r="B108" s="426"/>
      <c r="C108" t="s">
        <v>234</v>
      </c>
      <c r="D108" s="49"/>
      <c r="E108" s="454">
        <f>'Year 2'!E108</f>
        <v>2.7E-2</v>
      </c>
      <c r="F108" s="452">
        <f>IF('Year 2'!F108="","",'Year 2'!F108)</f>
        <v>7000</v>
      </c>
      <c r="H108" s="379">
        <f t="shared" si="47"/>
        <v>189</v>
      </c>
      <c r="I108" s="380">
        <f t="shared" si="47"/>
        <v>189</v>
      </c>
      <c r="J108" s="380">
        <f t="shared" si="47"/>
        <v>189</v>
      </c>
      <c r="K108" s="380">
        <f t="shared" si="47"/>
        <v>189</v>
      </c>
      <c r="L108" s="380">
        <f t="shared" si="47"/>
        <v>189</v>
      </c>
      <c r="M108" s="380">
        <f t="shared" si="47"/>
        <v>189</v>
      </c>
      <c r="N108" s="380">
        <f t="shared" si="47"/>
        <v>189</v>
      </c>
      <c r="O108" s="380">
        <f t="shared" si="47"/>
        <v>189</v>
      </c>
      <c r="P108" s="380">
        <f t="shared" si="47"/>
        <v>189</v>
      </c>
      <c r="Q108" s="380">
        <f t="shared" si="47"/>
        <v>189</v>
      </c>
      <c r="R108" s="380">
        <f t="shared" si="47"/>
        <v>189</v>
      </c>
      <c r="S108" s="380">
        <f t="shared" si="47"/>
        <v>189</v>
      </c>
      <c r="T108" s="417">
        <f t="shared" si="46"/>
        <v>2268</v>
      </c>
    </row>
    <row r="109" spans="2:20" x14ac:dyDescent="0.2">
      <c r="B109" s="426"/>
      <c r="C109" t="s">
        <v>228</v>
      </c>
      <c r="D109" s="49"/>
      <c r="E109" s="454">
        <f>'Year 2'!E109</f>
        <v>1.4999999999999999E-2</v>
      </c>
      <c r="F109" s="452" t="str">
        <f>IF('Year 2'!F109="","",'Year 2'!F109)</f>
        <v/>
      </c>
      <c r="H109" s="379">
        <f t="shared" si="47"/>
        <v>390.01919999999996</v>
      </c>
      <c r="I109" s="380">
        <f t="shared" si="47"/>
        <v>390.01919999999996</v>
      </c>
      <c r="J109" s="380">
        <f t="shared" si="47"/>
        <v>390.01919999999996</v>
      </c>
      <c r="K109" s="380">
        <f t="shared" si="47"/>
        <v>390.01919999999996</v>
      </c>
      <c r="L109" s="380">
        <f t="shared" si="47"/>
        <v>390.01919999999996</v>
      </c>
      <c r="M109" s="380">
        <f t="shared" si="47"/>
        <v>390.01919999999996</v>
      </c>
      <c r="N109" s="380">
        <f t="shared" si="47"/>
        <v>390.01919999999996</v>
      </c>
      <c r="O109" s="380">
        <f t="shared" si="47"/>
        <v>390.01919999999996</v>
      </c>
      <c r="P109" s="380">
        <f t="shared" si="47"/>
        <v>390.01919999999996</v>
      </c>
      <c r="Q109" s="380">
        <f t="shared" si="47"/>
        <v>390.01919999999996</v>
      </c>
      <c r="R109" s="380">
        <f t="shared" si="47"/>
        <v>390.01919999999996</v>
      </c>
      <c r="S109" s="380">
        <f t="shared" si="47"/>
        <v>390.01919999999996</v>
      </c>
      <c r="T109" s="417">
        <f t="shared" si="46"/>
        <v>4680.2303999999986</v>
      </c>
    </row>
    <row r="110" spans="2:20" x14ac:dyDescent="0.2">
      <c r="B110" s="426"/>
      <c r="C110" t="s">
        <v>229</v>
      </c>
      <c r="D110" s="49"/>
      <c r="E110" s="454">
        <f>'Year 2'!E110</f>
        <v>0</v>
      </c>
      <c r="F110" s="452" t="str">
        <f>IF('Year 2'!F110="","",'Year 2'!F110)</f>
        <v/>
      </c>
      <c r="H110" s="379">
        <f t="shared" si="47"/>
        <v>0</v>
      </c>
      <c r="I110" s="380">
        <f t="shared" si="47"/>
        <v>0</v>
      </c>
      <c r="J110" s="380">
        <f t="shared" si="47"/>
        <v>0</v>
      </c>
      <c r="K110" s="380">
        <f t="shared" si="47"/>
        <v>0</v>
      </c>
      <c r="L110" s="380">
        <f t="shared" si="47"/>
        <v>0</v>
      </c>
      <c r="M110" s="380">
        <f t="shared" si="47"/>
        <v>0</v>
      </c>
      <c r="N110" s="380">
        <f t="shared" si="47"/>
        <v>0</v>
      </c>
      <c r="O110" s="380">
        <f t="shared" si="47"/>
        <v>0</v>
      </c>
      <c r="P110" s="380">
        <f t="shared" si="47"/>
        <v>0</v>
      </c>
      <c r="Q110" s="380">
        <f t="shared" si="47"/>
        <v>0</v>
      </c>
      <c r="R110" s="380">
        <f t="shared" si="47"/>
        <v>0</v>
      </c>
      <c r="S110" s="380">
        <f t="shared" si="47"/>
        <v>0</v>
      </c>
      <c r="T110" s="417">
        <f t="shared" si="46"/>
        <v>0</v>
      </c>
    </row>
    <row r="111" spans="2:20" x14ac:dyDescent="0.2">
      <c r="B111" s="426"/>
      <c r="C111" t="s">
        <v>230</v>
      </c>
      <c r="D111" s="49"/>
      <c r="E111" s="454">
        <f>'Year 2'!E111</f>
        <v>0</v>
      </c>
      <c r="F111" s="452" t="str">
        <f>IF('Year 2'!F111="","",'Year 2'!F111)</f>
        <v/>
      </c>
      <c r="H111" s="379">
        <f t="shared" si="47"/>
        <v>0</v>
      </c>
      <c r="I111" s="380">
        <f t="shared" si="47"/>
        <v>0</v>
      </c>
      <c r="J111" s="380">
        <f t="shared" si="47"/>
        <v>0</v>
      </c>
      <c r="K111" s="380">
        <f t="shared" si="47"/>
        <v>0</v>
      </c>
      <c r="L111" s="380">
        <f t="shared" si="47"/>
        <v>0</v>
      </c>
      <c r="M111" s="380">
        <f t="shared" si="47"/>
        <v>0</v>
      </c>
      <c r="N111" s="380">
        <f t="shared" si="47"/>
        <v>0</v>
      </c>
      <c r="O111" s="380">
        <f t="shared" si="47"/>
        <v>0</v>
      </c>
      <c r="P111" s="380">
        <f t="shared" si="47"/>
        <v>0</v>
      </c>
      <c r="Q111" s="380">
        <f t="shared" si="47"/>
        <v>0</v>
      </c>
      <c r="R111" s="380">
        <f t="shared" si="47"/>
        <v>0</v>
      </c>
      <c r="S111" s="380">
        <f t="shared" si="47"/>
        <v>0</v>
      </c>
      <c r="T111" s="417">
        <f t="shared" si="46"/>
        <v>0</v>
      </c>
    </row>
    <row r="112" spans="2:20" ht="17" thickBot="1" x14ac:dyDescent="0.25">
      <c r="B112" s="426"/>
      <c r="C112" t="s">
        <v>231</v>
      </c>
      <c r="D112" s="49"/>
      <c r="E112" s="454">
        <f>'Year 2'!E112</f>
        <v>0.04</v>
      </c>
      <c r="F112" s="452" t="str">
        <f>IF('Year 2'!F112="","",'Year 2'!F112)</f>
        <v/>
      </c>
      <c r="H112" s="379">
        <f t="shared" si="47"/>
        <v>1040.0511999999999</v>
      </c>
      <c r="I112" s="380">
        <f t="shared" si="47"/>
        <v>1040.0511999999999</v>
      </c>
      <c r="J112" s="380">
        <f t="shared" si="47"/>
        <v>1040.0511999999999</v>
      </c>
      <c r="K112" s="380">
        <f t="shared" si="47"/>
        <v>1040.0511999999999</v>
      </c>
      <c r="L112" s="380">
        <f t="shared" si="47"/>
        <v>1040.0511999999999</v>
      </c>
      <c r="M112" s="380">
        <f t="shared" si="47"/>
        <v>1040.0511999999999</v>
      </c>
      <c r="N112" s="380">
        <f t="shared" si="47"/>
        <v>1040.0511999999999</v>
      </c>
      <c r="O112" s="380">
        <f t="shared" si="47"/>
        <v>1040.0511999999999</v>
      </c>
      <c r="P112" s="380">
        <f t="shared" si="47"/>
        <v>1040.0511999999999</v>
      </c>
      <c r="Q112" s="380">
        <f t="shared" si="47"/>
        <v>1040.0511999999999</v>
      </c>
      <c r="R112" s="380">
        <f t="shared" si="47"/>
        <v>1040.0511999999999</v>
      </c>
      <c r="S112" s="380">
        <f t="shared" si="47"/>
        <v>1040.0511999999999</v>
      </c>
      <c r="T112" s="417">
        <f t="shared" si="46"/>
        <v>12480.614399999999</v>
      </c>
    </row>
    <row r="113" spans="2:20" ht="17" thickTop="1" x14ac:dyDescent="0.2">
      <c r="B113" s="418" t="s">
        <v>232</v>
      </c>
      <c r="C113" s="419"/>
      <c r="D113" s="419"/>
      <c r="E113" s="419"/>
      <c r="F113" s="419"/>
      <c r="G113" s="420"/>
      <c r="H113" s="421">
        <f>SUM(H105:H112)</f>
        <v>8376.088960000001</v>
      </c>
      <c r="I113" s="422">
        <f t="shared" ref="I113:S113" si="48">SUM(I105:I112)</f>
        <v>8376.088960000001</v>
      </c>
      <c r="J113" s="422">
        <f t="shared" si="48"/>
        <v>8376.088960000001</v>
      </c>
      <c r="K113" s="422">
        <f t="shared" si="48"/>
        <v>8376.088960000001</v>
      </c>
      <c r="L113" s="422">
        <f t="shared" si="48"/>
        <v>8376.088960000001</v>
      </c>
      <c r="M113" s="422">
        <f t="shared" si="48"/>
        <v>8376.088960000001</v>
      </c>
      <c r="N113" s="422">
        <f t="shared" si="48"/>
        <v>8376.088960000001</v>
      </c>
      <c r="O113" s="422">
        <f t="shared" si="48"/>
        <v>8376.088960000001</v>
      </c>
      <c r="P113" s="422">
        <f t="shared" si="48"/>
        <v>8376.088960000001</v>
      </c>
      <c r="Q113" s="422">
        <f t="shared" si="48"/>
        <v>8376.088960000001</v>
      </c>
      <c r="R113" s="422">
        <f t="shared" si="48"/>
        <v>8376.088960000001</v>
      </c>
      <c r="S113" s="422">
        <f t="shared" si="48"/>
        <v>8376.088960000001</v>
      </c>
      <c r="T113" s="423">
        <f>SUM(H113:S113)</f>
        <v>100513.06751999998</v>
      </c>
    </row>
    <row r="114" spans="2:20" ht="17" thickBot="1" x14ac:dyDescent="0.25">
      <c r="B114" s="308"/>
      <c r="C114" s="10"/>
      <c r="E114" s="20"/>
      <c r="G114" s="19"/>
      <c r="H114" s="382"/>
      <c r="I114" s="383"/>
      <c r="J114" s="383"/>
      <c r="K114" s="383"/>
      <c r="L114" s="383"/>
      <c r="M114" s="383"/>
      <c r="N114" s="383"/>
      <c r="O114" s="383"/>
      <c r="P114" s="383"/>
      <c r="Q114" s="383"/>
      <c r="R114" s="383"/>
      <c r="S114" s="383"/>
      <c r="T114" s="425"/>
    </row>
    <row r="115" spans="2:20" ht="17" thickTop="1" x14ac:dyDescent="0.2">
      <c r="B115" s="250" t="s">
        <v>235</v>
      </c>
      <c r="C115" s="237"/>
      <c r="D115" s="237"/>
      <c r="E115" s="237"/>
      <c r="F115" s="237"/>
      <c r="G115" s="237"/>
      <c r="H115" s="239">
        <f t="shared" ref="H115:S115" si="49">H102+H113</f>
        <v>34377.36896</v>
      </c>
      <c r="I115" s="240">
        <f t="shared" si="49"/>
        <v>34377.36896</v>
      </c>
      <c r="J115" s="240">
        <f t="shared" si="49"/>
        <v>34377.36896</v>
      </c>
      <c r="K115" s="240">
        <f t="shared" si="49"/>
        <v>34377.36896</v>
      </c>
      <c r="L115" s="240">
        <f t="shared" si="49"/>
        <v>34377.36896</v>
      </c>
      <c r="M115" s="240">
        <f t="shared" si="49"/>
        <v>34377.36896</v>
      </c>
      <c r="N115" s="240">
        <f t="shared" si="49"/>
        <v>34377.36896</v>
      </c>
      <c r="O115" s="240">
        <f t="shared" si="49"/>
        <v>34377.36896</v>
      </c>
      <c r="P115" s="240">
        <f t="shared" si="49"/>
        <v>34377.36896</v>
      </c>
      <c r="Q115" s="240">
        <f t="shared" si="49"/>
        <v>34377.36896</v>
      </c>
      <c r="R115" s="240">
        <f t="shared" si="49"/>
        <v>34377.36896</v>
      </c>
      <c r="S115" s="240">
        <f t="shared" si="49"/>
        <v>34377.36896</v>
      </c>
      <c r="T115" s="251">
        <f>SUM(H115:S115)</f>
        <v>412528.42751999997</v>
      </c>
    </row>
    <row r="116" spans="2:20" x14ac:dyDescent="0.2">
      <c r="C116" s="10"/>
      <c r="D116" s="11"/>
      <c r="E116" s="20"/>
      <c r="F116" s="8"/>
      <c r="H116" s="387"/>
      <c r="I116" s="388"/>
      <c r="J116" s="388"/>
      <c r="K116" s="388"/>
      <c r="L116" s="388"/>
      <c r="M116" s="388"/>
      <c r="N116" s="388"/>
      <c r="O116" s="388"/>
      <c r="P116" s="388"/>
      <c r="Q116" s="388"/>
      <c r="R116" s="388"/>
      <c r="S116" s="388"/>
      <c r="T116" s="381"/>
    </row>
    <row r="117" spans="2:20" ht="20" x14ac:dyDescent="0.2">
      <c r="B117" s="116" t="s">
        <v>17</v>
      </c>
      <c r="C117" s="327"/>
      <c r="D117" s="327"/>
      <c r="E117" s="327" t="str">
        <f>$E$3</f>
        <v>Year 3 (2022)</v>
      </c>
      <c r="F117" s="327"/>
      <c r="G117" s="327"/>
      <c r="H117" s="360" t="s">
        <v>127</v>
      </c>
      <c r="I117" s="361" t="s">
        <v>128</v>
      </c>
      <c r="J117" s="361" t="s">
        <v>129</v>
      </c>
      <c r="K117" s="361" t="s">
        <v>130</v>
      </c>
      <c r="L117" s="361" t="s">
        <v>131</v>
      </c>
      <c r="M117" s="361" t="s">
        <v>132</v>
      </c>
      <c r="N117" s="361" t="s">
        <v>133</v>
      </c>
      <c r="O117" s="361" t="s">
        <v>134</v>
      </c>
      <c r="P117" s="361" t="s">
        <v>135</v>
      </c>
      <c r="Q117" s="361" t="s">
        <v>136</v>
      </c>
      <c r="R117" s="361" t="s">
        <v>137</v>
      </c>
      <c r="S117" s="361" t="s">
        <v>138</v>
      </c>
      <c r="T117" s="362" t="s">
        <v>179</v>
      </c>
    </row>
    <row r="118" spans="2:20" x14ac:dyDescent="0.2">
      <c r="B118" s="401"/>
      <c r="C118" s="402"/>
      <c r="D118" s="402"/>
      <c r="E118" s="402"/>
      <c r="F118" s="402"/>
      <c r="G118" s="403" t="s">
        <v>57</v>
      </c>
      <c r="H118" s="363">
        <f>H$4</f>
        <v>25</v>
      </c>
      <c r="I118" s="364">
        <f t="shared" ref="I118:S118" si="50">I$4</f>
        <v>26</v>
      </c>
      <c r="J118" s="364">
        <f t="shared" si="50"/>
        <v>27</v>
      </c>
      <c r="K118" s="364">
        <f t="shared" si="50"/>
        <v>28</v>
      </c>
      <c r="L118" s="364">
        <f t="shared" si="50"/>
        <v>29</v>
      </c>
      <c r="M118" s="364">
        <f t="shared" si="50"/>
        <v>30</v>
      </c>
      <c r="N118" s="364">
        <f t="shared" si="50"/>
        <v>31</v>
      </c>
      <c r="O118" s="364">
        <f t="shared" si="50"/>
        <v>32</v>
      </c>
      <c r="P118" s="364">
        <f t="shared" si="50"/>
        <v>33</v>
      </c>
      <c r="Q118" s="364">
        <f t="shared" si="50"/>
        <v>34</v>
      </c>
      <c r="R118" s="364">
        <f t="shared" si="50"/>
        <v>35</v>
      </c>
      <c r="S118" s="364">
        <f t="shared" si="50"/>
        <v>36</v>
      </c>
      <c r="T118" s="405" t="str">
        <f>"Total for " &amp; $E$3</f>
        <v>Total for Year 3 (2022)</v>
      </c>
    </row>
    <row r="119" spans="2:20" x14ac:dyDescent="0.2">
      <c r="B119" s="308"/>
      <c r="C119" s="10"/>
      <c r="D119" s="11"/>
      <c r="E119" s="20"/>
      <c r="F119" s="8"/>
      <c r="H119" s="367"/>
      <c r="I119" s="368"/>
      <c r="J119" s="368"/>
      <c r="K119" s="368"/>
      <c r="L119" s="368"/>
      <c r="M119" s="368"/>
      <c r="N119" s="368"/>
      <c r="O119" s="368"/>
      <c r="P119" s="368"/>
      <c r="Q119" s="368"/>
      <c r="R119" s="368"/>
      <c r="S119" s="368"/>
      <c r="T119" s="407"/>
    </row>
    <row r="120" spans="2:20" x14ac:dyDescent="0.2">
      <c r="B120" s="307" t="s">
        <v>31</v>
      </c>
      <c r="C120" s="10"/>
      <c r="D120" s="11"/>
      <c r="E120" s="22" t="s">
        <v>29</v>
      </c>
      <c r="F120" s="8" t="s">
        <v>30</v>
      </c>
      <c r="H120" s="367"/>
      <c r="I120" s="368"/>
      <c r="J120" s="368"/>
      <c r="K120" s="368"/>
      <c r="L120" s="368"/>
      <c r="M120" s="368"/>
      <c r="N120" s="368"/>
      <c r="O120" s="368"/>
      <c r="P120" s="368"/>
      <c r="Q120" s="368"/>
      <c r="R120" s="368"/>
      <c r="S120" s="368"/>
      <c r="T120" s="407"/>
    </row>
    <row r="121" spans="2:20" x14ac:dyDescent="0.2">
      <c r="B121" s="308"/>
      <c r="C121" t="s">
        <v>207</v>
      </c>
      <c r="D121" s="49"/>
      <c r="E121" s="452">
        <f>'Year 2'!E121</f>
        <v>500</v>
      </c>
      <c r="F121" s="453">
        <f>'Year 2'!F121</f>
        <v>1</v>
      </c>
      <c r="H121" s="379">
        <f>$E121*$F121</f>
        <v>500</v>
      </c>
      <c r="I121" s="380">
        <f t="shared" ref="I121:S136" si="51">$E121*$F121</f>
        <v>500</v>
      </c>
      <c r="J121" s="380">
        <f t="shared" si="51"/>
        <v>500</v>
      </c>
      <c r="K121" s="380">
        <f t="shared" si="51"/>
        <v>500</v>
      </c>
      <c r="L121" s="380">
        <f t="shared" si="51"/>
        <v>500</v>
      </c>
      <c r="M121" s="380">
        <f t="shared" si="51"/>
        <v>500</v>
      </c>
      <c r="N121" s="380">
        <f t="shared" si="51"/>
        <v>500</v>
      </c>
      <c r="O121" s="380">
        <f t="shared" si="51"/>
        <v>500</v>
      </c>
      <c r="P121" s="380">
        <f t="shared" si="51"/>
        <v>500</v>
      </c>
      <c r="Q121" s="380">
        <f t="shared" si="51"/>
        <v>500</v>
      </c>
      <c r="R121" s="380">
        <f t="shared" si="51"/>
        <v>500</v>
      </c>
      <c r="S121" s="380">
        <f t="shared" si="51"/>
        <v>500</v>
      </c>
      <c r="T121" s="417">
        <f>SUM(H121:S121)</f>
        <v>6000</v>
      </c>
    </row>
    <row r="122" spans="2:20" x14ac:dyDescent="0.2">
      <c r="B122" s="308"/>
      <c r="C122" t="s">
        <v>190</v>
      </c>
      <c r="D122" s="49"/>
      <c r="E122" s="452">
        <f>'Year 2'!E122</f>
        <v>300</v>
      </c>
      <c r="F122" s="453">
        <f>'Year 2'!F122</f>
        <v>2</v>
      </c>
      <c r="H122" s="379">
        <f t="shared" ref="H122:S139" si="52">$E122*$F122</f>
        <v>600</v>
      </c>
      <c r="I122" s="380">
        <f t="shared" si="51"/>
        <v>600</v>
      </c>
      <c r="J122" s="380">
        <f t="shared" si="51"/>
        <v>600</v>
      </c>
      <c r="K122" s="380">
        <f t="shared" si="51"/>
        <v>600</v>
      </c>
      <c r="L122" s="380">
        <f t="shared" si="51"/>
        <v>600</v>
      </c>
      <c r="M122" s="380">
        <f t="shared" si="51"/>
        <v>600</v>
      </c>
      <c r="N122" s="380">
        <f t="shared" si="51"/>
        <v>600</v>
      </c>
      <c r="O122" s="380">
        <f t="shared" si="51"/>
        <v>600</v>
      </c>
      <c r="P122" s="380">
        <f t="shared" si="51"/>
        <v>600</v>
      </c>
      <c r="Q122" s="380">
        <f t="shared" si="51"/>
        <v>600</v>
      </c>
      <c r="R122" s="380">
        <f t="shared" si="51"/>
        <v>600</v>
      </c>
      <c r="S122" s="380">
        <f t="shared" si="51"/>
        <v>600</v>
      </c>
      <c r="T122" s="417">
        <f t="shared" ref="T122:T139" si="53">SUM(H122:S122)</f>
        <v>7200</v>
      </c>
    </row>
    <row r="123" spans="2:20" x14ac:dyDescent="0.2">
      <c r="B123" s="308"/>
      <c r="C123" t="s">
        <v>191</v>
      </c>
      <c r="D123" s="49"/>
      <c r="E123" s="452">
        <f>'Year 2'!E123</f>
        <v>0</v>
      </c>
      <c r="F123" s="453">
        <f>'Year 2'!F123</f>
        <v>3</v>
      </c>
      <c r="H123" s="379">
        <f t="shared" si="52"/>
        <v>0</v>
      </c>
      <c r="I123" s="380">
        <f t="shared" si="51"/>
        <v>0</v>
      </c>
      <c r="J123" s="380">
        <f t="shared" si="51"/>
        <v>0</v>
      </c>
      <c r="K123" s="380">
        <f t="shared" si="51"/>
        <v>0</v>
      </c>
      <c r="L123" s="380">
        <f t="shared" si="51"/>
        <v>0</v>
      </c>
      <c r="M123" s="380">
        <f t="shared" si="51"/>
        <v>0</v>
      </c>
      <c r="N123" s="380">
        <f t="shared" si="51"/>
        <v>0</v>
      </c>
      <c r="O123" s="380">
        <f t="shared" si="51"/>
        <v>0</v>
      </c>
      <c r="P123" s="380">
        <f t="shared" si="51"/>
        <v>0</v>
      </c>
      <c r="Q123" s="380">
        <f t="shared" si="51"/>
        <v>0</v>
      </c>
      <c r="R123" s="380">
        <f t="shared" si="51"/>
        <v>0</v>
      </c>
      <c r="S123" s="380">
        <f t="shared" si="51"/>
        <v>0</v>
      </c>
      <c r="T123" s="417">
        <f t="shared" si="53"/>
        <v>0</v>
      </c>
    </row>
    <row r="124" spans="2:20" x14ac:dyDescent="0.2">
      <c r="B124" s="308"/>
      <c r="C124" t="s">
        <v>192</v>
      </c>
      <c r="D124" s="49"/>
      <c r="E124" s="452">
        <f>'Year 2'!E124</f>
        <v>0</v>
      </c>
      <c r="F124" s="453">
        <f>'Year 2'!F124</f>
        <v>1</v>
      </c>
      <c r="H124" s="379">
        <f t="shared" si="52"/>
        <v>0</v>
      </c>
      <c r="I124" s="380">
        <f t="shared" si="51"/>
        <v>0</v>
      </c>
      <c r="J124" s="380">
        <f t="shared" si="51"/>
        <v>0</v>
      </c>
      <c r="K124" s="380">
        <f t="shared" si="51"/>
        <v>0</v>
      </c>
      <c r="L124" s="380">
        <f t="shared" si="51"/>
        <v>0</v>
      </c>
      <c r="M124" s="380">
        <f t="shared" si="51"/>
        <v>0</v>
      </c>
      <c r="N124" s="380">
        <f t="shared" si="51"/>
        <v>0</v>
      </c>
      <c r="O124" s="380">
        <f t="shared" si="51"/>
        <v>0</v>
      </c>
      <c r="P124" s="380">
        <f t="shared" si="51"/>
        <v>0</v>
      </c>
      <c r="Q124" s="380">
        <f t="shared" si="51"/>
        <v>0</v>
      </c>
      <c r="R124" s="380">
        <f t="shared" si="51"/>
        <v>0</v>
      </c>
      <c r="S124" s="380">
        <f t="shared" si="51"/>
        <v>0</v>
      </c>
      <c r="T124" s="417">
        <f t="shared" si="53"/>
        <v>0</v>
      </c>
    </row>
    <row r="125" spans="2:20" x14ac:dyDescent="0.2">
      <c r="B125" s="308"/>
      <c r="C125" t="s">
        <v>193</v>
      </c>
      <c r="D125" s="49"/>
      <c r="E125" s="452">
        <f>'Year 2'!E125</f>
        <v>200</v>
      </c>
      <c r="F125" s="453">
        <f>'Year 2'!F125</f>
        <v>1</v>
      </c>
      <c r="H125" s="379">
        <f t="shared" si="52"/>
        <v>200</v>
      </c>
      <c r="I125" s="380">
        <f t="shared" si="51"/>
        <v>200</v>
      </c>
      <c r="J125" s="380">
        <f t="shared" si="51"/>
        <v>200</v>
      </c>
      <c r="K125" s="380">
        <f t="shared" si="51"/>
        <v>200</v>
      </c>
      <c r="L125" s="380">
        <f t="shared" si="51"/>
        <v>200</v>
      </c>
      <c r="M125" s="380">
        <f t="shared" si="51"/>
        <v>200</v>
      </c>
      <c r="N125" s="380">
        <f t="shared" si="51"/>
        <v>200</v>
      </c>
      <c r="O125" s="380">
        <f t="shared" si="51"/>
        <v>200</v>
      </c>
      <c r="P125" s="380">
        <f t="shared" si="51"/>
        <v>200</v>
      </c>
      <c r="Q125" s="380">
        <f t="shared" si="51"/>
        <v>200</v>
      </c>
      <c r="R125" s="380">
        <f t="shared" si="51"/>
        <v>200</v>
      </c>
      <c r="S125" s="380">
        <f t="shared" si="51"/>
        <v>200</v>
      </c>
      <c r="T125" s="417">
        <f t="shared" si="53"/>
        <v>2400</v>
      </c>
    </row>
    <row r="126" spans="2:20" x14ac:dyDescent="0.2">
      <c r="B126" s="308"/>
      <c r="C126" t="s">
        <v>194</v>
      </c>
      <c r="D126" s="49"/>
      <c r="E126" s="452">
        <f>'Year 2'!E126</f>
        <v>0</v>
      </c>
      <c r="F126" s="453">
        <f>'Year 2'!F126</f>
        <v>2</v>
      </c>
      <c r="H126" s="379">
        <f t="shared" si="52"/>
        <v>0</v>
      </c>
      <c r="I126" s="380">
        <f t="shared" si="51"/>
        <v>0</v>
      </c>
      <c r="J126" s="380">
        <f t="shared" si="51"/>
        <v>0</v>
      </c>
      <c r="K126" s="380">
        <f t="shared" si="51"/>
        <v>0</v>
      </c>
      <c r="L126" s="380">
        <f t="shared" si="51"/>
        <v>0</v>
      </c>
      <c r="M126" s="380">
        <f t="shared" si="51"/>
        <v>0</v>
      </c>
      <c r="N126" s="380">
        <f t="shared" si="51"/>
        <v>0</v>
      </c>
      <c r="O126" s="380">
        <f t="shared" si="51"/>
        <v>0</v>
      </c>
      <c r="P126" s="380">
        <f t="shared" si="51"/>
        <v>0</v>
      </c>
      <c r="Q126" s="380">
        <f t="shared" si="51"/>
        <v>0</v>
      </c>
      <c r="R126" s="380">
        <f t="shared" si="51"/>
        <v>0</v>
      </c>
      <c r="S126" s="380">
        <f t="shared" si="51"/>
        <v>0</v>
      </c>
      <c r="T126" s="417">
        <f t="shared" si="53"/>
        <v>0</v>
      </c>
    </row>
    <row r="127" spans="2:20" x14ac:dyDescent="0.2">
      <c r="B127" s="308"/>
      <c r="C127" t="s">
        <v>195</v>
      </c>
      <c r="D127" s="49"/>
      <c r="E127" s="452">
        <f>'Year 2'!E127</f>
        <v>0</v>
      </c>
      <c r="F127" s="453">
        <f>'Year 2'!F127</f>
        <v>1</v>
      </c>
      <c r="H127" s="379">
        <f t="shared" si="52"/>
        <v>0</v>
      </c>
      <c r="I127" s="380">
        <f t="shared" si="51"/>
        <v>0</v>
      </c>
      <c r="J127" s="380">
        <f t="shared" si="51"/>
        <v>0</v>
      </c>
      <c r="K127" s="380">
        <f t="shared" si="51"/>
        <v>0</v>
      </c>
      <c r="L127" s="380">
        <f t="shared" si="51"/>
        <v>0</v>
      </c>
      <c r="M127" s="380">
        <f t="shared" si="51"/>
        <v>0</v>
      </c>
      <c r="N127" s="380">
        <f t="shared" si="51"/>
        <v>0</v>
      </c>
      <c r="O127" s="380">
        <f t="shared" si="51"/>
        <v>0</v>
      </c>
      <c r="P127" s="380">
        <f t="shared" si="51"/>
        <v>0</v>
      </c>
      <c r="Q127" s="380">
        <f t="shared" si="51"/>
        <v>0</v>
      </c>
      <c r="R127" s="380">
        <f t="shared" si="51"/>
        <v>0</v>
      </c>
      <c r="S127" s="380">
        <f t="shared" si="51"/>
        <v>0</v>
      </c>
      <c r="T127" s="417">
        <f t="shared" si="53"/>
        <v>0</v>
      </c>
    </row>
    <row r="128" spans="2:20" x14ac:dyDescent="0.2">
      <c r="B128" s="308"/>
      <c r="C128" t="s">
        <v>196</v>
      </c>
      <c r="D128" s="49"/>
      <c r="E128" s="452">
        <f>'Year 2'!E128</f>
        <v>0</v>
      </c>
      <c r="F128" s="453">
        <f>'Year 2'!F128</f>
        <v>1</v>
      </c>
      <c r="H128" s="379">
        <f t="shared" si="52"/>
        <v>0</v>
      </c>
      <c r="I128" s="380">
        <f t="shared" si="51"/>
        <v>0</v>
      </c>
      <c r="J128" s="380">
        <f t="shared" si="51"/>
        <v>0</v>
      </c>
      <c r="K128" s="380">
        <f t="shared" si="51"/>
        <v>0</v>
      </c>
      <c r="L128" s="380">
        <f t="shared" si="51"/>
        <v>0</v>
      </c>
      <c r="M128" s="380">
        <f t="shared" si="51"/>
        <v>0</v>
      </c>
      <c r="N128" s="380">
        <f t="shared" si="51"/>
        <v>0</v>
      </c>
      <c r="O128" s="380">
        <f t="shared" si="51"/>
        <v>0</v>
      </c>
      <c r="P128" s="380">
        <f t="shared" si="51"/>
        <v>0</v>
      </c>
      <c r="Q128" s="380">
        <f t="shared" si="51"/>
        <v>0</v>
      </c>
      <c r="R128" s="380">
        <f t="shared" si="51"/>
        <v>0</v>
      </c>
      <c r="S128" s="380">
        <f t="shared" si="51"/>
        <v>0</v>
      </c>
      <c r="T128" s="417">
        <f t="shared" si="53"/>
        <v>0</v>
      </c>
    </row>
    <row r="129" spans="2:20" x14ac:dyDescent="0.2">
      <c r="B129" s="308"/>
      <c r="C129" t="s">
        <v>197</v>
      </c>
      <c r="D129" s="49"/>
      <c r="E129" s="452">
        <f>'Year 2'!E129</f>
        <v>0</v>
      </c>
      <c r="F129" s="453">
        <f>'Year 2'!F129</f>
        <v>1</v>
      </c>
      <c r="H129" s="379">
        <f t="shared" si="52"/>
        <v>0</v>
      </c>
      <c r="I129" s="380">
        <f t="shared" si="51"/>
        <v>0</v>
      </c>
      <c r="J129" s="380">
        <f t="shared" si="51"/>
        <v>0</v>
      </c>
      <c r="K129" s="380">
        <f t="shared" si="51"/>
        <v>0</v>
      </c>
      <c r="L129" s="380">
        <f t="shared" si="51"/>
        <v>0</v>
      </c>
      <c r="M129" s="380">
        <f t="shared" si="51"/>
        <v>0</v>
      </c>
      <c r="N129" s="380">
        <f t="shared" si="51"/>
        <v>0</v>
      </c>
      <c r="O129" s="380">
        <f t="shared" si="51"/>
        <v>0</v>
      </c>
      <c r="P129" s="380">
        <f t="shared" si="51"/>
        <v>0</v>
      </c>
      <c r="Q129" s="380">
        <f t="shared" si="51"/>
        <v>0</v>
      </c>
      <c r="R129" s="380">
        <f t="shared" si="51"/>
        <v>0</v>
      </c>
      <c r="S129" s="380">
        <f t="shared" si="51"/>
        <v>0</v>
      </c>
      <c r="T129" s="417">
        <f t="shared" si="53"/>
        <v>0</v>
      </c>
    </row>
    <row r="130" spans="2:20" x14ac:dyDescent="0.2">
      <c r="B130" s="308"/>
      <c r="C130" t="s">
        <v>198</v>
      </c>
      <c r="D130" s="49"/>
      <c r="E130" s="452">
        <f>'Year 2'!E130</f>
        <v>0</v>
      </c>
      <c r="F130" s="453">
        <f>'Year 2'!F130</f>
        <v>1</v>
      </c>
      <c r="H130" s="379">
        <f t="shared" si="52"/>
        <v>0</v>
      </c>
      <c r="I130" s="380">
        <f t="shared" si="51"/>
        <v>0</v>
      </c>
      <c r="J130" s="380">
        <f t="shared" si="51"/>
        <v>0</v>
      </c>
      <c r="K130" s="380">
        <f t="shared" si="51"/>
        <v>0</v>
      </c>
      <c r="L130" s="380">
        <f t="shared" si="51"/>
        <v>0</v>
      </c>
      <c r="M130" s="380">
        <f t="shared" si="51"/>
        <v>0</v>
      </c>
      <c r="N130" s="380">
        <f t="shared" si="51"/>
        <v>0</v>
      </c>
      <c r="O130" s="380">
        <f t="shared" si="51"/>
        <v>0</v>
      </c>
      <c r="P130" s="380">
        <f t="shared" si="51"/>
        <v>0</v>
      </c>
      <c r="Q130" s="380">
        <f t="shared" si="51"/>
        <v>0</v>
      </c>
      <c r="R130" s="380">
        <f t="shared" si="51"/>
        <v>0</v>
      </c>
      <c r="S130" s="380">
        <f t="shared" si="51"/>
        <v>0</v>
      </c>
      <c r="T130" s="417">
        <f t="shared" si="53"/>
        <v>0</v>
      </c>
    </row>
    <row r="131" spans="2:20" x14ac:dyDescent="0.2">
      <c r="B131" s="308"/>
      <c r="C131" t="s">
        <v>32</v>
      </c>
      <c r="D131" s="49"/>
      <c r="E131" s="452">
        <f>'Year 2'!E131</f>
        <v>200</v>
      </c>
      <c r="F131" s="453">
        <f>'Year 2'!F131</f>
        <v>1</v>
      </c>
      <c r="H131" s="379">
        <f t="shared" si="52"/>
        <v>200</v>
      </c>
      <c r="I131" s="380">
        <f t="shared" si="51"/>
        <v>200</v>
      </c>
      <c r="J131" s="380">
        <f t="shared" si="51"/>
        <v>200</v>
      </c>
      <c r="K131" s="380">
        <f t="shared" si="51"/>
        <v>200</v>
      </c>
      <c r="L131" s="380">
        <f t="shared" si="51"/>
        <v>200</v>
      </c>
      <c r="M131" s="380">
        <f t="shared" si="51"/>
        <v>200</v>
      </c>
      <c r="N131" s="380">
        <f t="shared" si="51"/>
        <v>200</v>
      </c>
      <c r="O131" s="380">
        <f t="shared" si="51"/>
        <v>200</v>
      </c>
      <c r="P131" s="380">
        <f t="shared" si="51"/>
        <v>200</v>
      </c>
      <c r="Q131" s="380">
        <f t="shared" si="51"/>
        <v>200</v>
      </c>
      <c r="R131" s="380">
        <f t="shared" si="51"/>
        <v>200</v>
      </c>
      <c r="S131" s="380">
        <f t="shared" si="51"/>
        <v>200</v>
      </c>
      <c r="T131" s="417">
        <f t="shared" si="53"/>
        <v>2400</v>
      </c>
    </row>
    <row r="132" spans="2:20" x14ac:dyDescent="0.2">
      <c r="B132" s="308"/>
      <c r="C132" t="s">
        <v>199</v>
      </c>
      <c r="D132" s="49"/>
      <c r="E132" s="452">
        <f>'Year 2'!E132</f>
        <v>3000</v>
      </c>
      <c r="F132" s="453">
        <f>'Year 2'!F132</f>
        <v>1</v>
      </c>
      <c r="H132" s="379">
        <f t="shared" si="52"/>
        <v>3000</v>
      </c>
      <c r="I132" s="380">
        <f t="shared" si="51"/>
        <v>3000</v>
      </c>
      <c r="J132" s="380">
        <f t="shared" si="51"/>
        <v>3000</v>
      </c>
      <c r="K132" s="380">
        <f t="shared" si="51"/>
        <v>3000</v>
      </c>
      <c r="L132" s="380">
        <f t="shared" si="51"/>
        <v>3000</v>
      </c>
      <c r="M132" s="380">
        <f t="shared" si="51"/>
        <v>3000</v>
      </c>
      <c r="N132" s="380">
        <f t="shared" si="51"/>
        <v>3000</v>
      </c>
      <c r="O132" s="380">
        <f t="shared" si="51"/>
        <v>3000</v>
      </c>
      <c r="P132" s="380">
        <f t="shared" si="51"/>
        <v>3000</v>
      </c>
      <c r="Q132" s="380">
        <f t="shared" si="51"/>
        <v>3000</v>
      </c>
      <c r="R132" s="380">
        <f t="shared" si="51"/>
        <v>3000</v>
      </c>
      <c r="S132" s="380">
        <f t="shared" si="51"/>
        <v>3000</v>
      </c>
      <c r="T132" s="417">
        <f t="shared" si="53"/>
        <v>36000</v>
      </c>
    </row>
    <row r="133" spans="2:20" x14ac:dyDescent="0.2">
      <c r="B133" s="308"/>
      <c r="C133" t="s">
        <v>200</v>
      </c>
      <c r="D133" s="49"/>
      <c r="E133" s="452">
        <f>'Year 2'!E133</f>
        <v>740</v>
      </c>
      <c r="F133" s="453">
        <f>'Year 2'!F133</f>
        <v>1</v>
      </c>
      <c r="H133" s="379">
        <f t="shared" si="52"/>
        <v>740</v>
      </c>
      <c r="I133" s="380">
        <f t="shared" si="51"/>
        <v>740</v>
      </c>
      <c r="J133" s="380">
        <f t="shared" si="51"/>
        <v>740</v>
      </c>
      <c r="K133" s="380">
        <f t="shared" si="51"/>
        <v>740</v>
      </c>
      <c r="L133" s="380">
        <f t="shared" si="51"/>
        <v>740</v>
      </c>
      <c r="M133" s="380">
        <f t="shared" si="51"/>
        <v>740</v>
      </c>
      <c r="N133" s="380">
        <f t="shared" si="51"/>
        <v>740</v>
      </c>
      <c r="O133" s="380">
        <f t="shared" si="51"/>
        <v>740</v>
      </c>
      <c r="P133" s="380">
        <f t="shared" si="51"/>
        <v>740</v>
      </c>
      <c r="Q133" s="380">
        <f t="shared" si="51"/>
        <v>740</v>
      </c>
      <c r="R133" s="380">
        <f t="shared" si="51"/>
        <v>740</v>
      </c>
      <c r="S133" s="380">
        <f t="shared" si="51"/>
        <v>740</v>
      </c>
      <c r="T133" s="417">
        <f t="shared" si="53"/>
        <v>8880</v>
      </c>
    </row>
    <row r="134" spans="2:20" x14ac:dyDescent="0.2">
      <c r="B134" s="308"/>
      <c r="C134" t="s">
        <v>201</v>
      </c>
      <c r="D134" s="49"/>
      <c r="E134" s="452">
        <f>'Year 2'!E134</f>
        <v>0</v>
      </c>
      <c r="F134" s="453">
        <f>'Year 2'!F134</f>
        <v>1</v>
      </c>
      <c r="H134" s="379">
        <f t="shared" si="52"/>
        <v>0</v>
      </c>
      <c r="I134" s="380">
        <f t="shared" si="51"/>
        <v>0</v>
      </c>
      <c r="J134" s="380">
        <f t="shared" si="51"/>
        <v>0</v>
      </c>
      <c r="K134" s="380">
        <f t="shared" si="51"/>
        <v>0</v>
      </c>
      <c r="L134" s="380">
        <f t="shared" si="51"/>
        <v>0</v>
      </c>
      <c r="M134" s="380">
        <f t="shared" si="51"/>
        <v>0</v>
      </c>
      <c r="N134" s="380">
        <f t="shared" si="51"/>
        <v>0</v>
      </c>
      <c r="O134" s="380">
        <f t="shared" si="51"/>
        <v>0</v>
      </c>
      <c r="P134" s="380">
        <f t="shared" si="51"/>
        <v>0</v>
      </c>
      <c r="Q134" s="380">
        <f t="shared" si="51"/>
        <v>0</v>
      </c>
      <c r="R134" s="380">
        <f t="shared" si="51"/>
        <v>0</v>
      </c>
      <c r="S134" s="380">
        <f t="shared" si="51"/>
        <v>0</v>
      </c>
      <c r="T134" s="417">
        <f t="shared" si="53"/>
        <v>0</v>
      </c>
    </row>
    <row r="135" spans="2:20" x14ac:dyDescent="0.2">
      <c r="B135" s="308"/>
      <c r="C135" t="s">
        <v>202</v>
      </c>
      <c r="D135" s="49"/>
      <c r="E135" s="452">
        <f>'Year 2'!E135</f>
        <v>0</v>
      </c>
      <c r="F135" s="453">
        <f>'Year 2'!F135</f>
        <v>1</v>
      </c>
      <c r="H135" s="379">
        <f t="shared" si="52"/>
        <v>0</v>
      </c>
      <c r="I135" s="380">
        <f t="shared" si="51"/>
        <v>0</v>
      </c>
      <c r="J135" s="380">
        <f t="shared" si="51"/>
        <v>0</v>
      </c>
      <c r="K135" s="380">
        <f t="shared" si="51"/>
        <v>0</v>
      </c>
      <c r="L135" s="380">
        <f t="shared" si="51"/>
        <v>0</v>
      </c>
      <c r="M135" s="380">
        <f t="shared" si="51"/>
        <v>0</v>
      </c>
      <c r="N135" s="380">
        <f t="shared" si="51"/>
        <v>0</v>
      </c>
      <c r="O135" s="380">
        <f t="shared" si="51"/>
        <v>0</v>
      </c>
      <c r="P135" s="380">
        <f t="shared" si="51"/>
        <v>0</v>
      </c>
      <c r="Q135" s="380">
        <f t="shared" si="51"/>
        <v>0</v>
      </c>
      <c r="R135" s="380">
        <f t="shared" si="51"/>
        <v>0</v>
      </c>
      <c r="S135" s="380">
        <f t="shared" si="51"/>
        <v>0</v>
      </c>
      <c r="T135" s="417">
        <f t="shared" si="53"/>
        <v>0</v>
      </c>
    </row>
    <row r="136" spans="2:20" x14ac:dyDescent="0.2">
      <c r="B136" s="308"/>
      <c r="C136" t="s">
        <v>203</v>
      </c>
      <c r="D136" s="49"/>
      <c r="E136" s="452">
        <f>'Year 2'!E136</f>
        <v>0</v>
      </c>
      <c r="F136" s="453">
        <f>'Year 2'!F136</f>
        <v>1</v>
      </c>
      <c r="H136" s="379">
        <f t="shared" si="52"/>
        <v>0</v>
      </c>
      <c r="I136" s="380">
        <f t="shared" si="51"/>
        <v>0</v>
      </c>
      <c r="J136" s="380">
        <f t="shared" si="51"/>
        <v>0</v>
      </c>
      <c r="K136" s="380">
        <f t="shared" si="51"/>
        <v>0</v>
      </c>
      <c r="L136" s="380">
        <f t="shared" si="51"/>
        <v>0</v>
      </c>
      <c r="M136" s="380">
        <f t="shared" si="51"/>
        <v>0</v>
      </c>
      <c r="N136" s="380">
        <f t="shared" si="51"/>
        <v>0</v>
      </c>
      <c r="O136" s="380">
        <f t="shared" si="51"/>
        <v>0</v>
      </c>
      <c r="P136" s="380">
        <f t="shared" si="51"/>
        <v>0</v>
      </c>
      <c r="Q136" s="380">
        <f t="shared" si="51"/>
        <v>0</v>
      </c>
      <c r="R136" s="380">
        <f t="shared" si="51"/>
        <v>0</v>
      </c>
      <c r="S136" s="380">
        <f t="shared" si="51"/>
        <v>0</v>
      </c>
      <c r="T136" s="417">
        <f t="shared" si="53"/>
        <v>0</v>
      </c>
    </row>
    <row r="137" spans="2:20" x14ac:dyDescent="0.2">
      <c r="B137" s="308"/>
      <c r="C137" t="s">
        <v>204</v>
      </c>
      <c r="D137" s="49"/>
      <c r="E137" s="452">
        <f>'Year 2'!E137</f>
        <v>0</v>
      </c>
      <c r="F137" s="453">
        <f>'Year 2'!F137</f>
        <v>1</v>
      </c>
      <c r="H137" s="379">
        <f t="shared" si="52"/>
        <v>0</v>
      </c>
      <c r="I137" s="380">
        <f t="shared" si="52"/>
        <v>0</v>
      </c>
      <c r="J137" s="380">
        <f t="shared" si="52"/>
        <v>0</v>
      </c>
      <c r="K137" s="380">
        <f t="shared" si="52"/>
        <v>0</v>
      </c>
      <c r="L137" s="380">
        <f t="shared" si="52"/>
        <v>0</v>
      </c>
      <c r="M137" s="380">
        <f t="shared" si="52"/>
        <v>0</v>
      </c>
      <c r="N137" s="380">
        <f t="shared" si="52"/>
        <v>0</v>
      </c>
      <c r="O137" s="380">
        <f t="shared" si="52"/>
        <v>0</v>
      </c>
      <c r="P137" s="380">
        <f t="shared" si="52"/>
        <v>0</v>
      </c>
      <c r="Q137" s="380">
        <f t="shared" si="52"/>
        <v>0</v>
      </c>
      <c r="R137" s="380">
        <f t="shared" si="52"/>
        <v>0</v>
      </c>
      <c r="S137" s="380">
        <f t="shared" si="52"/>
        <v>0</v>
      </c>
      <c r="T137" s="417">
        <f t="shared" si="53"/>
        <v>0</v>
      </c>
    </row>
    <row r="138" spans="2:20" x14ac:dyDescent="0.2">
      <c r="B138" s="308"/>
      <c r="C138" t="s">
        <v>205</v>
      </c>
      <c r="D138" s="49"/>
      <c r="E138" s="452">
        <f>'Year 2'!E138</f>
        <v>150</v>
      </c>
      <c r="F138" s="453">
        <f>'Year 2'!F138</f>
        <v>1</v>
      </c>
      <c r="H138" s="379">
        <f t="shared" si="52"/>
        <v>150</v>
      </c>
      <c r="I138" s="380">
        <f t="shared" si="52"/>
        <v>150</v>
      </c>
      <c r="J138" s="380">
        <f t="shared" si="52"/>
        <v>150</v>
      </c>
      <c r="K138" s="380">
        <f t="shared" si="52"/>
        <v>150</v>
      </c>
      <c r="L138" s="380">
        <f t="shared" si="52"/>
        <v>150</v>
      </c>
      <c r="M138" s="380">
        <f t="shared" si="52"/>
        <v>150</v>
      </c>
      <c r="N138" s="380">
        <f t="shared" si="52"/>
        <v>150</v>
      </c>
      <c r="O138" s="380">
        <f t="shared" si="52"/>
        <v>150</v>
      </c>
      <c r="P138" s="380">
        <f t="shared" si="52"/>
        <v>150</v>
      </c>
      <c r="Q138" s="380">
        <f t="shared" si="52"/>
        <v>150</v>
      </c>
      <c r="R138" s="380">
        <f t="shared" si="52"/>
        <v>150</v>
      </c>
      <c r="S138" s="380">
        <f t="shared" si="52"/>
        <v>150</v>
      </c>
      <c r="T138" s="417">
        <f t="shared" si="53"/>
        <v>1800</v>
      </c>
    </row>
    <row r="139" spans="2:20" x14ac:dyDescent="0.2">
      <c r="B139" s="308"/>
      <c r="C139" t="s">
        <v>206</v>
      </c>
      <c r="D139" s="49"/>
      <c r="E139" s="452">
        <f>'Year 2'!E139</f>
        <v>0</v>
      </c>
      <c r="F139" s="453">
        <f>'Year 2'!F139</f>
        <v>1</v>
      </c>
      <c r="H139" s="379">
        <f t="shared" si="52"/>
        <v>0</v>
      </c>
      <c r="I139" s="380">
        <f t="shared" si="52"/>
        <v>0</v>
      </c>
      <c r="J139" s="380">
        <f t="shared" si="52"/>
        <v>0</v>
      </c>
      <c r="K139" s="380">
        <f t="shared" si="52"/>
        <v>0</v>
      </c>
      <c r="L139" s="380">
        <f t="shared" si="52"/>
        <v>0</v>
      </c>
      <c r="M139" s="380">
        <f t="shared" si="52"/>
        <v>0</v>
      </c>
      <c r="N139" s="380">
        <f t="shared" si="52"/>
        <v>0</v>
      </c>
      <c r="O139" s="380">
        <f t="shared" si="52"/>
        <v>0</v>
      </c>
      <c r="P139" s="380">
        <f t="shared" si="52"/>
        <v>0</v>
      </c>
      <c r="Q139" s="380">
        <f t="shared" si="52"/>
        <v>0</v>
      </c>
      <c r="R139" s="380">
        <f t="shared" si="52"/>
        <v>0</v>
      </c>
      <c r="S139" s="380">
        <f t="shared" si="52"/>
        <v>0</v>
      </c>
      <c r="T139" s="417">
        <f t="shared" si="53"/>
        <v>0</v>
      </c>
    </row>
    <row r="140" spans="2:20" ht="17" thickBot="1" x14ac:dyDescent="0.25">
      <c r="B140" s="308"/>
      <c r="E140" s="23"/>
      <c r="F140" s="8"/>
      <c r="H140" s="382"/>
      <c r="I140" s="383"/>
      <c r="J140" s="383"/>
      <c r="K140" s="383"/>
      <c r="L140" s="383"/>
      <c r="M140" s="383"/>
      <c r="N140" s="383"/>
      <c r="O140" s="383"/>
      <c r="P140" s="383"/>
      <c r="Q140" s="383"/>
      <c r="R140" s="383"/>
      <c r="S140" s="383"/>
      <c r="T140" s="425"/>
    </row>
    <row r="141" spans="2:20" ht="17" thickTop="1" x14ac:dyDescent="0.2">
      <c r="B141" s="250" t="s">
        <v>17</v>
      </c>
      <c r="C141" s="237"/>
      <c r="D141" s="237"/>
      <c r="E141" s="237"/>
      <c r="F141" s="237"/>
      <c r="G141" s="237"/>
      <c r="H141" s="239">
        <f t="shared" ref="H141:S141" si="54">SUM(H121:H139)</f>
        <v>5390</v>
      </c>
      <c r="I141" s="240">
        <f t="shared" si="54"/>
        <v>5390</v>
      </c>
      <c r="J141" s="240">
        <f t="shared" si="54"/>
        <v>5390</v>
      </c>
      <c r="K141" s="240">
        <f t="shared" si="54"/>
        <v>5390</v>
      </c>
      <c r="L141" s="240">
        <f t="shared" si="54"/>
        <v>5390</v>
      </c>
      <c r="M141" s="240">
        <f t="shared" si="54"/>
        <v>5390</v>
      </c>
      <c r="N141" s="240">
        <f t="shared" si="54"/>
        <v>5390</v>
      </c>
      <c r="O141" s="240">
        <f t="shared" si="54"/>
        <v>5390</v>
      </c>
      <c r="P141" s="240">
        <f t="shared" si="54"/>
        <v>5390</v>
      </c>
      <c r="Q141" s="240">
        <f t="shared" si="54"/>
        <v>5390</v>
      </c>
      <c r="R141" s="240">
        <f t="shared" si="54"/>
        <v>5390</v>
      </c>
      <c r="S141" s="240">
        <f t="shared" si="54"/>
        <v>5390</v>
      </c>
      <c r="T141" s="251">
        <f>SUM(H141:S141)</f>
        <v>64680</v>
      </c>
    </row>
    <row r="142" spans="2:20" x14ac:dyDescent="0.2">
      <c r="C142" s="10"/>
      <c r="D142" s="11"/>
      <c r="E142" s="20"/>
      <c r="F142" s="8"/>
      <c r="H142" s="387"/>
      <c r="I142" s="388"/>
      <c r="J142" s="388"/>
      <c r="K142" s="388"/>
      <c r="L142" s="388"/>
      <c r="M142" s="388"/>
      <c r="N142" s="388"/>
      <c r="O142" s="388"/>
      <c r="P142" s="388"/>
      <c r="Q142" s="388"/>
      <c r="R142" s="388"/>
      <c r="S142" s="388"/>
      <c r="T142" s="381"/>
    </row>
    <row r="143" spans="2:20" ht="20" x14ac:dyDescent="0.2">
      <c r="B143" s="116" t="s">
        <v>307</v>
      </c>
      <c r="C143" s="327"/>
      <c r="D143" s="327"/>
      <c r="E143" s="327" t="str">
        <f>$E$3</f>
        <v>Year 3 (2022)</v>
      </c>
      <c r="F143" s="327"/>
      <c r="G143" s="327"/>
      <c r="H143" s="360" t="s">
        <v>127</v>
      </c>
      <c r="I143" s="361" t="s">
        <v>128</v>
      </c>
      <c r="J143" s="361" t="s">
        <v>129</v>
      </c>
      <c r="K143" s="361" t="s">
        <v>130</v>
      </c>
      <c r="L143" s="361" t="s">
        <v>131</v>
      </c>
      <c r="M143" s="361" t="s">
        <v>132</v>
      </c>
      <c r="N143" s="361" t="s">
        <v>133</v>
      </c>
      <c r="O143" s="361" t="s">
        <v>134</v>
      </c>
      <c r="P143" s="361" t="s">
        <v>135</v>
      </c>
      <c r="Q143" s="361" t="s">
        <v>136</v>
      </c>
      <c r="R143" s="361" t="s">
        <v>137</v>
      </c>
      <c r="S143" s="361" t="s">
        <v>138</v>
      </c>
      <c r="T143" s="362" t="s">
        <v>179</v>
      </c>
    </row>
    <row r="144" spans="2:20" x14ac:dyDescent="0.2">
      <c r="B144" s="401"/>
      <c r="C144" s="402"/>
      <c r="D144" s="402"/>
      <c r="E144" s="402"/>
      <c r="F144" s="402"/>
      <c r="G144" s="403" t="s">
        <v>57</v>
      </c>
      <c r="H144" s="363">
        <f>H$4</f>
        <v>25</v>
      </c>
      <c r="I144" s="364">
        <f t="shared" ref="I144:S144" si="55">I$4</f>
        <v>26</v>
      </c>
      <c r="J144" s="364">
        <f t="shared" si="55"/>
        <v>27</v>
      </c>
      <c r="K144" s="364">
        <f t="shared" si="55"/>
        <v>28</v>
      </c>
      <c r="L144" s="364">
        <f t="shared" si="55"/>
        <v>29</v>
      </c>
      <c r="M144" s="364">
        <f t="shared" si="55"/>
        <v>30</v>
      </c>
      <c r="N144" s="364">
        <f t="shared" si="55"/>
        <v>31</v>
      </c>
      <c r="O144" s="364">
        <f t="shared" si="55"/>
        <v>32</v>
      </c>
      <c r="P144" s="364">
        <f t="shared" si="55"/>
        <v>33</v>
      </c>
      <c r="Q144" s="364">
        <f t="shared" si="55"/>
        <v>34</v>
      </c>
      <c r="R144" s="364">
        <f t="shared" si="55"/>
        <v>35</v>
      </c>
      <c r="S144" s="364">
        <f t="shared" si="55"/>
        <v>36</v>
      </c>
      <c r="T144" s="405" t="str">
        <f>"Total for " &amp; $E$3</f>
        <v>Total for Year 3 (2022)</v>
      </c>
    </row>
    <row r="145" spans="2:20" x14ac:dyDescent="0.2">
      <c r="B145" s="307"/>
      <c r="C145" s="5"/>
      <c r="E145" s="7"/>
      <c r="F145" s="7"/>
      <c r="G145" s="5"/>
      <c r="H145" s="389"/>
      <c r="I145" s="390"/>
      <c r="J145" s="390"/>
      <c r="K145" s="390"/>
      <c r="L145" s="390"/>
      <c r="M145" s="390"/>
      <c r="N145" s="390"/>
      <c r="O145" s="390"/>
      <c r="P145" s="390"/>
      <c r="Q145" s="390"/>
      <c r="R145" s="390"/>
      <c r="S145" s="390"/>
      <c r="T145" s="427"/>
    </row>
    <row r="146" spans="2:20" x14ac:dyDescent="0.2">
      <c r="B146" s="307" t="s">
        <v>18</v>
      </c>
      <c r="D146" s="7"/>
      <c r="E146" s="7"/>
      <c r="F146" s="7"/>
      <c r="G146" s="5"/>
      <c r="H146" s="379"/>
      <c r="I146" s="380"/>
      <c r="J146" s="380"/>
      <c r="K146" s="380"/>
      <c r="L146" s="380"/>
      <c r="M146" s="380"/>
      <c r="N146" s="380"/>
      <c r="O146" s="380"/>
      <c r="P146" s="380"/>
      <c r="Q146" s="380"/>
      <c r="R146" s="380"/>
      <c r="S146" s="380"/>
      <c r="T146" s="417"/>
    </row>
    <row r="147" spans="2:20" x14ac:dyDescent="0.2">
      <c r="B147" s="428"/>
      <c r="C147" t="s">
        <v>308</v>
      </c>
      <c r="D147" s="7"/>
      <c r="E147" s="7"/>
      <c r="F147" s="7"/>
      <c r="G147" s="5"/>
      <c r="H147" s="379">
        <f t="shared" ref="H147:S147" si="56">H41</f>
        <v>35994</v>
      </c>
      <c r="I147" s="380">
        <f t="shared" si="56"/>
        <v>37214</v>
      </c>
      <c r="J147" s="380">
        <f t="shared" si="56"/>
        <v>38704</v>
      </c>
      <c r="K147" s="380">
        <f t="shared" si="56"/>
        <v>40084</v>
      </c>
      <c r="L147" s="380">
        <f t="shared" si="56"/>
        <v>41304</v>
      </c>
      <c r="M147" s="380">
        <f t="shared" si="56"/>
        <v>42794</v>
      </c>
      <c r="N147" s="380">
        <f t="shared" si="56"/>
        <v>44164</v>
      </c>
      <c r="O147" s="380">
        <f t="shared" si="56"/>
        <v>45544</v>
      </c>
      <c r="P147" s="380">
        <f t="shared" si="56"/>
        <v>46884</v>
      </c>
      <c r="Q147" s="380">
        <f t="shared" si="56"/>
        <v>48254</v>
      </c>
      <c r="R147" s="380">
        <f t="shared" si="56"/>
        <v>49624</v>
      </c>
      <c r="S147" s="380">
        <f t="shared" si="56"/>
        <v>51079</v>
      </c>
      <c r="T147" s="417">
        <f>SUM(H147:S147)</f>
        <v>521643</v>
      </c>
    </row>
    <row r="148" spans="2:20" x14ac:dyDescent="0.2">
      <c r="B148" s="428"/>
      <c r="C148" t="s">
        <v>366</v>
      </c>
      <c r="D148" s="7"/>
      <c r="E148" s="7"/>
      <c r="F148" s="7"/>
      <c r="G148" s="5"/>
      <c r="H148" s="379">
        <f>H50</f>
        <v>1400.64</v>
      </c>
      <c r="I148" s="380">
        <f t="shared" ref="I148:S148" si="57">I50</f>
        <v>1449.24</v>
      </c>
      <c r="J148" s="380">
        <f t="shared" si="57"/>
        <v>1508.94</v>
      </c>
      <c r="K148" s="380">
        <f t="shared" si="57"/>
        <v>1565.34</v>
      </c>
      <c r="L148" s="380">
        <f t="shared" si="57"/>
        <v>1613.94</v>
      </c>
      <c r="M148" s="380">
        <f t="shared" si="57"/>
        <v>1673.64</v>
      </c>
      <c r="N148" s="380">
        <f t="shared" si="57"/>
        <v>1729.74</v>
      </c>
      <c r="O148" s="380">
        <f t="shared" si="57"/>
        <v>1786.14</v>
      </c>
      <c r="P148" s="380">
        <f t="shared" si="57"/>
        <v>1838.34</v>
      </c>
      <c r="Q148" s="380">
        <f t="shared" si="57"/>
        <v>1894.44</v>
      </c>
      <c r="R148" s="380">
        <f t="shared" si="57"/>
        <v>1950.5400000000002</v>
      </c>
      <c r="S148" s="380">
        <f t="shared" si="57"/>
        <v>2008.2900000000002</v>
      </c>
      <c r="T148" s="417">
        <f>SUM(H148:S148)</f>
        <v>20419.23</v>
      </c>
    </row>
    <row r="149" spans="2:20" x14ac:dyDescent="0.2">
      <c r="B149" s="428"/>
      <c r="C149" t="s">
        <v>28</v>
      </c>
      <c r="D149" s="7"/>
      <c r="E149" s="7"/>
      <c r="F149" s="7"/>
      <c r="G149" s="5"/>
      <c r="H149" s="379">
        <f>H81</f>
        <v>9097.655999999999</v>
      </c>
      <c r="I149" s="380">
        <f t="shared" ref="I149:S149" si="58">I81</f>
        <v>9416.5360000000001</v>
      </c>
      <c r="J149" s="380">
        <f t="shared" si="58"/>
        <v>9810.5960000000014</v>
      </c>
      <c r="K149" s="380">
        <f t="shared" si="58"/>
        <v>9789.616</v>
      </c>
      <c r="L149" s="380">
        <f t="shared" si="58"/>
        <v>10108.495999999999</v>
      </c>
      <c r="M149" s="380">
        <f t="shared" si="58"/>
        <v>10502.556</v>
      </c>
      <c r="N149" s="380">
        <f t="shared" si="58"/>
        <v>10880.536</v>
      </c>
      <c r="O149" s="380">
        <f t="shared" si="58"/>
        <v>11259.556</v>
      </c>
      <c r="P149" s="380">
        <f t="shared" si="58"/>
        <v>11594.516</v>
      </c>
      <c r="Q149" s="380">
        <f t="shared" si="58"/>
        <v>11972.496000000001</v>
      </c>
      <c r="R149" s="380">
        <f t="shared" si="58"/>
        <v>12350.476000000001</v>
      </c>
      <c r="S149" s="380">
        <f t="shared" si="58"/>
        <v>12727.846000000001</v>
      </c>
      <c r="T149" s="417">
        <f t="shared" ref="T149:T151" si="59">SUM(H149:S149)</f>
        <v>129510.882</v>
      </c>
    </row>
    <row r="150" spans="2:20" x14ac:dyDescent="0.2">
      <c r="B150" s="428"/>
      <c r="C150" t="s">
        <v>309</v>
      </c>
      <c r="D150" s="7"/>
      <c r="E150" s="7"/>
      <c r="F150" s="7"/>
      <c r="G150" s="5"/>
      <c r="H150" s="379">
        <f>H115</f>
        <v>34377.36896</v>
      </c>
      <c r="I150" s="380">
        <f t="shared" ref="I150:S150" si="60">I115</f>
        <v>34377.36896</v>
      </c>
      <c r="J150" s="380">
        <f t="shared" si="60"/>
        <v>34377.36896</v>
      </c>
      <c r="K150" s="380">
        <f t="shared" si="60"/>
        <v>34377.36896</v>
      </c>
      <c r="L150" s="380">
        <f t="shared" si="60"/>
        <v>34377.36896</v>
      </c>
      <c r="M150" s="380">
        <f t="shared" si="60"/>
        <v>34377.36896</v>
      </c>
      <c r="N150" s="380">
        <f t="shared" si="60"/>
        <v>34377.36896</v>
      </c>
      <c r="O150" s="380">
        <f t="shared" si="60"/>
        <v>34377.36896</v>
      </c>
      <c r="P150" s="380">
        <f t="shared" si="60"/>
        <v>34377.36896</v>
      </c>
      <c r="Q150" s="380">
        <f t="shared" si="60"/>
        <v>34377.36896</v>
      </c>
      <c r="R150" s="380">
        <f t="shared" si="60"/>
        <v>34377.36896</v>
      </c>
      <c r="S150" s="380">
        <f t="shared" si="60"/>
        <v>34377.36896</v>
      </c>
      <c r="T150" s="417">
        <f t="shared" si="59"/>
        <v>412528.42751999997</v>
      </c>
    </row>
    <row r="151" spans="2:20" ht="17" thickBot="1" x14ac:dyDescent="0.25">
      <c r="B151" s="428"/>
      <c r="C151" t="s">
        <v>310</v>
      </c>
      <c r="D151" s="7"/>
      <c r="E151" s="7"/>
      <c r="F151" s="7"/>
      <c r="G151" s="5"/>
      <c r="H151" s="379">
        <f>H141</f>
        <v>5390</v>
      </c>
      <c r="I151" s="380">
        <f t="shared" ref="I151:S151" si="61">I141</f>
        <v>5390</v>
      </c>
      <c r="J151" s="380">
        <f t="shared" si="61"/>
        <v>5390</v>
      </c>
      <c r="K151" s="380">
        <f t="shared" si="61"/>
        <v>5390</v>
      </c>
      <c r="L151" s="380">
        <f t="shared" si="61"/>
        <v>5390</v>
      </c>
      <c r="M151" s="380">
        <f t="shared" si="61"/>
        <v>5390</v>
      </c>
      <c r="N151" s="380">
        <f t="shared" si="61"/>
        <v>5390</v>
      </c>
      <c r="O151" s="380">
        <f t="shared" si="61"/>
        <v>5390</v>
      </c>
      <c r="P151" s="380">
        <f t="shared" si="61"/>
        <v>5390</v>
      </c>
      <c r="Q151" s="380">
        <f t="shared" si="61"/>
        <v>5390</v>
      </c>
      <c r="R151" s="380">
        <f t="shared" si="61"/>
        <v>5390</v>
      </c>
      <c r="S151" s="380">
        <f t="shared" si="61"/>
        <v>5390</v>
      </c>
      <c r="T151" s="417">
        <f t="shared" si="59"/>
        <v>64680</v>
      </c>
    </row>
    <row r="152" spans="2:20" ht="17" thickTop="1" x14ac:dyDescent="0.2">
      <c r="B152" s="418" t="s">
        <v>18</v>
      </c>
      <c r="C152" s="419"/>
      <c r="D152" s="419"/>
      <c r="E152" s="419"/>
      <c r="F152" s="419"/>
      <c r="G152" s="420"/>
      <c r="H152" s="421">
        <f>H147-SUM(H148:H151)</f>
        <v>-14271.664959999995</v>
      </c>
      <c r="I152" s="422">
        <f t="shared" ref="I152:S152" si="62">I147-SUM(I148:I151)</f>
        <v>-13419.144959999998</v>
      </c>
      <c r="J152" s="422">
        <f t="shared" si="62"/>
        <v>-12382.90496</v>
      </c>
      <c r="K152" s="422">
        <f t="shared" si="62"/>
        <v>-11038.324959999998</v>
      </c>
      <c r="L152" s="422">
        <f t="shared" si="62"/>
        <v>-10185.804960000001</v>
      </c>
      <c r="M152" s="422">
        <f t="shared" si="62"/>
        <v>-9149.5649600000033</v>
      </c>
      <c r="N152" s="422">
        <f t="shared" si="62"/>
        <v>-8213.6449599999978</v>
      </c>
      <c r="O152" s="422">
        <f t="shared" si="62"/>
        <v>-7269.0649600000033</v>
      </c>
      <c r="P152" s="422">
        <f t="shared" si="62"/>
        <v>-6316.2249599999996</v>
      </c>
      <c r="Q152" s="422">
        <f t="shared" si="62"/>
        <v>-5380.3049600000013</v>
      </c>
      <c r="R152" s="422">
        <f t="shared" si="62"/>
        <v>-4444.384960000003</v>
      </c>
      <c r="S152" s="422">
        <f t="shared" si="62"/>
        <v>-3424.5049600000057</v>
      </c>
      <c r="T152" s="423">
        <f>SUM(H152:S152)</f>
        <v>-105495.53952000001</v>
      </c>
    </row>
    <row r="153" spans="2:20" x14ac:dyDescent="0.2">
      <c r="B153" s="428"/>
      <c r="C153" s="5"/>
      <c r="D153" s="5"/>
      <c r="E153" s="6"/>
      <c r="F153" s="7"/>
      <c r="G153" s="5"/>
      <c r="H153" s="389"/>
      <c r="I153" s="390"/>
      <c r="J153" s="390"/>
      <c r="K153" s="390"/>
      <c r="L153" s="390"/>
      <c r="M153" s="390"/>
      <c r="N153" s="390"/>
      <c r="O153" s="390"/>
      <c r="P153" s="390"/>
      <c r="Q153" s="390"/>
      <c r="R153" s="390"/>
      <c r="S153" s="390"/>
      <c r="T153" s="429"/>
    </row>
    <row r="154" spans="2:20" x14ac:dyDescent="0.2">
      <c r="B154" s="307" t="s">
        <v>22</v>
      </c>
      <c r="E154" s="23" t="s">
        <v>284</v>
      </c>
      <c r="F154" s="8"/>
      <c r="H154" s="382"/>
      <c r="I154" s="383"/>
      <c r="J154" s="383"/>
      <c r="K154" s="383"/>
      <c r="L154" s="383"/>
      <c r="M154" s="383"/>
      <c r="N154" s="383"/>
      <c r="O154" s="383"/>
      <c r="P154" s="383"/>
      <c r="Q154" s="383"/>
      <c r="R154" s="383"/>
      <c r="S154" s="383"/>
      <c r="T154" s="425"/>
    </row>
    <row r="155" spans="2:20" x14ac:dyDescent="0.2">
      <c r="B155" s="308"/>
      <c r="C155" s="39" t="s">
        <v>40</v>
      </c>
      <c r="E155" s="454">
        <f>'Year 2'!E155</f>
        <v>0.01</v>
      </c>
      <c r="F155" s="8"/>
      <c r="H155" s="379">
        <f>H$200*$E$155/12</f>
        <v>15.833333333333334</v>
      </c>
      <c r="I155" s="380">
        <f t="shared" ref="I155:S155" si="63">I$200*$E$155/12</f>
        <v>0</v>
      </c>
      <c r="J155" s="380">
        <f t="shared" si="63"/>
        <v>0</v>
      </c>
      <c r="K155" s="380">
        <f t="shared" si="63"/>
        <v>0.83333333333333337</v>
      </c>
      <c r="L155" s="380">
        <f t="shared" si="63"/>
        <v>1</v>
      </c>
      <c r="M155" s="380">
        <f t="shared" si="63"/>
        <v>0</v>
      </c>
      <c r="N155" s="380">
        <f t="shared" si="63"/>
        <v>2.5</v>
      </c>
      <c r="O155" s="380">
        <f t="shared" si="63"/>
        <v>0</v>
      </c>
      <c r="P155" s="380">
        <f t="shared" si="63"/>
        <v>0.83333333333333337</v>
      </c>
      <c r="Q155" s="380">
        <f t="shared" si="63"/>
        <v>0</v>
      </c>
      <c r="R155" s="380">
        <f t="shared" si="63"/>
        <v>0</v>
      </c>
      <c r="S155" s="380">
        <f t="shared" si="63"/>
        <v>1</v>
      </c>
      <c r="T155" s="417">
        <f>SUM(H155:S155)</f>
        <v>22</v>
      </c>
    </row>
    <row r="156" spans="2:20" ht="17" thickBot="1" x14ac:dyDescent="0.25">
      <c r="B156" s="308"/>
      <c r="E156" s="23"/>
      <c r="F156" s="8"/>
      <c r="H156" s="382"/>
      <c r="I156" s="383"/>
      <c r="J156" s="383"/>
      <c r="K156" s="383"/>
      <c r="L156" s="383"/>
      <c r="M156" s="383"/>
      <c r="N156" s="383"/>
      <c r="O156" s="383"/>
      <c r="P156" s="383"/>
      <c r="Q156" s="383"/>
      <c r="R156" s="383"/>
      <c r="S156" s="383"/>
      <c r="T156" s="425"/>
    </row>
    <row r="157" spans="2:20" ht="17" thickTop="1" x14ac:dyDescent="0.2">
      <c r="B157" s="418" t="s">
        <v>110</v>
      </c>
      <c r="C157" s="419"/>
      <c r="D157" s="419"/>
      <c r="E157" s="419"/>
      <c r="F157" s="419"/>
      <c r="G157" s="420"/>
      <c r="H157" s="421">
        <f t="shared" ref="H157:S157" si="64">H152-SUM(H155:H155)</f>
        <v>-14287.498293333329</v>
      </c>
      <c r="I157" s="422">
        <f t="shared" si="64"/>
        <v>-13419.144959999998</v>
      </c>
      <c r="J157" s="422">
        <f t="shared" si="64"/>
        <v>-12382.90496</v>
      </c>
      <c r="K157" s="422">
        <f t="shared" si="64"/>
        <v>-11039.158293333332</v>
      </c>
      <c r="L157" s="422">
        <f t="shared" si="64"/>
        <v>-10186.804960000001</v>
      </c>
      <c r="M157" s="422">
        <f t="shared" si="64"/>
        <v>-9149.5649600000033</v>
      </c>
      <c r="N157" s="422">
        <f t="shared" si="64"/>
        <v>-8216.1449599999978</v>
      </c>
      <c r="O157" s="422">
        <f t="shared" si="64"/>
        <v>-7269.0649600000033</v>
      </c>
      <c r="P157" s="422">
        <f t="shared" si="64"/>
        <v>-6317.0582933333326</v>
      </c>
      <c r="Q157" s="422">
        <f t="shared" si="64"/>
        <v>-5380.3049600000013</v>
      </c>
      <c r="R157" s="422">
        <f t="shared" si="64"/>
        <v>-4444.384960000003</v>
      </c>
      <c r="S157" s="422">
        <f t="shared" si="64"/>
        <v>-3425.5049600000057</v>
      </c>
      <c r="T157" s="423">
        <f>SUM(H157:S157)</f>
        <v>-105517.53952000001</v>
      </c>
    </row>
    <row r="158" spans="2:20" x14ac:dyDescent="0.2">
      <c r="B158" s="428"/>
      <c r="C158" s="5"/>
      <c r="D158" s="5"/>
      <c r="E158" s="7"/>
      <c r="F158" s="7"/>
      <c r="G158" s="5"/>
      <c r="H158" s="393"/>
      <c r="I158" s="394"/>
      <c r="J158" s="394"/>
      <c r="K158" s="394"/>
      <c r="L158" s="394"/>
      <c r="M158" s="394"/>
      <c r="N158" s="394"/>
      <c r="O158" s="394"/>
      <c r="P158" s="394"/>
      <c r="Q158" s="394"/>
      <c r="R158" s="394"/>
      <c r="S158" s="394"/>
      <c r="T158" s="430"/>
    </row>
    <row r="159" spans="2:20" x14ac:dyDescent="0.2">
      <c r="B159" s="307" t="s">
        <v>119</v>
      </c>
      <c r="C159" s="5"/>
      <c r="E159" s="7"/>
      <c r="F159" s="7"/>
      <c r="G159" s="5"/>
      <c r="H159" s="389"/>
      <c r="I159" s="390"/>
      <c r="J159" s="390"/>
      <c r="K159" s="390"/>
      <c r="L159" s="390"/>
      <c r="M159" s="390"/>
      <c r="N159" s="390"/>
      <c r="O159" s="390"/>
      <c r="P159" s="390"/>
      <c r="Q159" s="390"/>
      <c r="R159" s="390"/>
      <c r="S159" s="390"/>
      <c r="T159" s="427"/>
    </row>
    <row r="160" spans="2:20" x14ac:dyDescent="0.2">
      <c r="B160" s="308"/>
      <c r="C160" s="457" t="s">
        <v>157</v>
      </c>
      <c r="D160" s="457"/>
      <c r="E160" s="457"/>
      <c r="F160" s="457"/>
      <c r="G160" s="457"/>
      <c r="H160" s="458">
        <v>0</v>
      </c>
      <c r="I160" s="459">
        <v>0</v>
      </c>
      <c r="J160" s="459">
        <v>0</v>
      </c>
      <c r="K160" s="459">
        <v>0</v>
      </c>
      <c r="L160" s="459">
        <v>0</v>
      </c>
      <c r="M160" s="459">
        <v>0</v>
      </c>
      <c r="N160" s="459">
        <v>0</v>
      </c>
      <c r="O160" s="459">
        <v>0</v>
      </c>
      <c r="P160" s="459">
        <v>0</v>
      </c>
      <c r="Q160" s="459">
        <v>0</v>
      </c>
      <c r="R160" s="459">
        <v>0</v>
      </c>
      <c r="S160" s="459">
        <v>0</v>
      </c>
      <c r="T160" s="417">
        <f>SUM(H160:S160)</f>
        <v>0</v>
      </c>
    </row>
    <row r="161" spans="2:20" x14ac:dyDescent="0.2">
      <c r="B161" s="428"/>
      <c r="C161" t="s">
        <v>163</v>
      </c>
      <c r="D161" s="7"/>
      <c r="E161" s="7"/>
      <c r="F161" s="7"/>
      <c r="G161" s="5"/>
      <c r="H161" s="379">
        <f>IFERROR(IF(AND(H$118&gt;'Financing Schedule'!$G13,H$118&lt;='Financing Schedule'!$G13+'Financing Schedule'!$L13),('Financing Schedule'!$K13/12)*('Financing Schedule'!$J13-('Financing Schedule'!$I13*(H$118-'Financing Schedule'!$G13-1))),0),0)</f>
        <v>41.666666666666671</v>
      </c>
      <c r="I161" s="380">
        <f>IFERROR(IF(AND(I$118&gt;'Financing Schedule'!$G13,I$118&lt;='Financing Schedule'!$G13+'Financing Schedule'!$L13),('Financing Schedule'!$K13/12)*('Financing Schedule'!$J13-('Financing Schedule'!$I13*(I$118-'Financing Schedule'!$G13-1))),0),0)</f>
        <v>27.777777777777715</v>
      </c>
      <c r="J161" s="380">
        <f>IFERROR(IF(AND(J$118&gt;'Financing Schedule'!$G13,J$118&lt;='Financing Schedule'!$G13+'Financing Schedule'!$L13),('Financing Schedule'!$K13/12)*('Financing Schedule'!$J13-('Financing Schedule'!$I13*(J$118-'Financing Schedule'!$G13-1))),0),0)</f>
        <v>13.888888888888857</v>
      </c>
      <c r="K161" s="380">
        <f>IFERROR(IF(AND(K$118&gt;'Financing Schedule'!$G13,K$118&lt;='Financing Schedule'!$G13+'Financing Schedule'!$L13),('Financing Schedule'!$K13/12)*('Financing Schedule'!$J13-('Financing Schedule'!$I13*(K$118-'Financing Schedule'!$G13-1))),0),0)</f>
        <v>0</v>
      </c>
      <c r="L161" s="380">
        <f>IFERROR(IF(AND(L$118&gt;'Financing Schedule'!$G13,L$118&lt;='Financing Schedule'!$G13+'Financing Schedule'!$L13),('Financing Schedule'!$K13/12)*('Financing Schedule'!$J13-('Financing Schedule'!$I13*(L$118-'Financing Schedule'!$G13-1))),0),0)</f>
        <v>0</v>
      </c>
      <c r="M161" s="380">
        <f>IFERROR(IF(AND(M$118&gt;'Financing Schedule'!$G13,M$118&lt;='Financing Schedule'!$G13+'Financing Schedule'!$L13),('Financing Schedule'!$K13/12)*('Financing Schedule'!$J13-('Financing Schedule'!$I13*(M$118-'Financing Schedule'!$G13-1))),0),0)</f>
        <v>0</v>
      </c>
      <c r="N161" s="380">
        <f>IFERROR(IF(AND(N$118&gt;'Financing Schedule'!$G13,N$118&lt;='Financing Schedule'!$G13+'Financing Schedule'!$L13),('Financing Schedule'!$K13/12)*('Financing Schedule'!$J13-('Financing Schedule'!$I13*(N$118-'Financing Schedule'!$G13-1))),0),0)</f>
        <v>0</v>
      </c>
      <c r="O161" s="380">
        <f>IFERROR(IF(AND(O$118&gt;'Financing Schedule'!$G13,O$118&lt;='Financing Schedule'!$G13+'Financing Schedule'!$L13),('Financing Schedule'!$K13/12)*('Financing Schedule'!$J13-('Financing Schedule'!$I13*(O$118-'Financing Schedule'!$G13-1))),0),0)</f>
        <v>0</v>
      </c>
      <c r="P161" s="380">
        <f>IFERROR(IF(AND(P$118&gt;'Financing Schedule'!$G13,P$118&lt;='Financing Schedule'!$G13+'Financing Schedule'!$L13),('Financing Schedule'!$K13/12)*('Financing Schedule'!$J13-('Financing Schedule'!$I13*(P$118-'Financing Schedule'!$G13-1))),0),0)</f>
        <v>0</v>
      </c>
      <c r="Q161" s="380">
        <f>IFERROR(IF(AND(Q$118&gt;'Financing Schedule'!$G13,Q$118&lt;='Financing Schedule'!$G13+'Financing Schedule'!$L13),('Financing Schedule'!$K13/12)*('Financing Schedule'!$J13-('Financing Schedule'!$I13*(Q$118-'Financing Schedule'!$G13-1))),0),0)</f>
        <v>0</v>
      </c>
      <c r="R161" s="380">
        <f>IFERROR(IF(AND(R$118&gt;'Financing Schedule'!$G13,R$118&lt;='Financing Schedule'!$G13+'Financing Schedule'!$L13),('Financing Schedule'!$K13/12)*('Financing Schedule'!$J13-('Financing Schedule'!$I13*(R$118-'Financing Schedule'!$G13-1))),0),0)</f>
        <v>0</v>
      </c>
      <c r="S161" s="380">
        <f>IFERROR(IF(AND(S$118&gt;'Financing Schedule'!$G13,S$118&lt;='Financing Schedule'!$G13+'Financing Schedule'!$L13),('Financing Schedule'!$K13/12)*('Financing Schedule'!$J13-('Financing Schedule'!$I13*(S$118-'Financing Schedule'!$G13-1))),0),0)</f>
        <v>0</v>
      </c>
      <c r="T161" s="417">
        <f>SUM(H161:S161)</f>
        <v>83.333333333333243</v>
      </c>
    </row>
    <row r="162" spans="2:20" x14ac:dyDescent="0.2">
      <c r="B162" s="428"/>
      <c r="C162" t="s">
        <v>164</v>
      </c>
      <c r="D162" s="7"/>
      <c r="E162" s="7"/>
      <c r="F162" s="7"/>
      <c r="G162" s="5"/>
      <c r="H162" s="379">
        <f>IFERROR(IF(AND(H$118&gt;'Financing Schedule'!$G14,H$118&lt;='Financing Schedule'!$G14+'Financing Schedule'!$L14),('Financing Schedule'!$K14/12)*('Financing Schedule'!$J14-('Financing Schedule'!$I14*(H$118-'Financing Schedule'!$G14-1))),0),0)</f>
        <v>0</v>
      </c>
      <c r="I162" s="380">
        <f>IFERROR(IF(AND(I$118&gt;'Financing Schedule'!$G14,I$118&lt;='Financing Schedule'!$G14+'Financing Schedule'!$L14),('Financing Schedule'!$K14/12)*('Financing Schedule'!$J14-('Financing Schedule'!$I14*(I$118-'Financing Schedule'!$G14-1))),0),0)</f>
        <v>0</v>
      </c>
      <c r="J162" s="380">
        <f>IFERROR(IF(AND(J$118&gt;'Financing Schedule'!$G14,J$118&lt;='Financing Schedule'!$G14+'Financing Schedule'!$L14),('Financing Schedule'!$K14/12)*('Financing Schedule'!$J14-('Financing Schedule'!$I14*(J$118-'Financing Schedule'!$G14-1))),0),0)</f>
        <v>0</v>
      </c>
      <c r="K162" s="380">
        <f>IFERROR(IF(AND(K$118&gt;'Financing Schedule'!$G14,K$118&lt;='Financing Schedule'!$G14+'Financing Schedule'!$L14),('Financing Schedule'!$K14/12)*('Financing Schedule'!$J14-('Financing Schedule'!$I14*(K$118-'Financing Schedule'!$G14-1))),0),0)</f>
        <v>0</v>
      </c>
      <c r="L162" s="380">
        <f>IFERROR(IF(AND(L$118&gt;'Financing Schedule'!$G14,L$118&lt;='Financing Schedule'!$G14+'Financing Schedule'!$L14),('Financing Schedule'!$K14/12)*('Financing Schedule'!$J14-('Financing Schedule'!$I14*(L$118-'Financing Schedule'!$G14-1))),0),0)</f>
        <v>0</v>
      </c>
      <c r="M162" s="380">
        <f>IFERROR(IF(AND(M$118&gt;'Financing Schedule'!$G14,M$118&lt;='Financing Schedule'!$G14+'Financing Schedule'!$L14),('Financing Schedule'!$K14/12)*('Financing Schedule'!$J14-('Financing Schedule'!$I14*(M$118-'Financing Schedule'!$G14-1))),0),0)</f>
        <v>0</v>
      </c>
      <c r="N162" s="380">
        <f>IFERROR(IF(AND(N$118&gt;'Financing Schedule'!$G14,N$118&lt;='Financing Schedule'!$G14+'Financing Schedule'!$L14),('Financing Schedule'!$K14/12)*('Financing Schedule'!$J14-('Financing Schedule'!$I14*(N$118-'Financing Schedule'!$G14-1))),0),0)</f>
        <v>0</v>
      </c>
      <c r="O162" s="380">
        <f>IFERROR(IF(AND(O$118&gt;'Financing Schedule'!$G14,O$118&lt;='Financing Schedule'!$G14+'Financing Schedule'!$L14),('Financing Schedule'!$K14/12)*('Financing Schedule'!$J14-('Financing Schedule'!$I14*(O$118-'Financing Schedule'!$G14-1))),0),0)</f>
        <v>0</v>
      </c>
      <c r="P162" s="380">
        <f>IFERROR(IF(AND(P$118&gt;'Financing Schedule'!$G14,P$118&lt;='Financing Schedule'!$G14+'Financing Schedule'!$L14),('Financing Schedule'!$K14/12)*('Financing Schedule'!$J14-('Financing Schedule'!$I14*(P$118-'Financing Schedule'!$G14-1))),0),0)</f>
        <v>0</v>
      </c>
      <c r="Q162" s="380">
        <f>IFERROR(IF(AND(Q$118&gt;'Financing Schedule'!$G14,Q$118&lt;='Financing Schedule'!$G14+'Financing Schedule'!$L14),('Financing Schedule'!$K14/12)*('Financing Schedule'!$J14-('Financing Schedule'!$I14*(Q$118-'Financing Schedule'!$G14-1))),0),0)</f>
        <v>0</v>
      </c>
      <c r="R162" s="380">
        <f>IFERROR(IF(AND(R$118&gt;'Financing Schedule'!$G14,R$118&lt;='Financing Schedule'!$G14+'Financing Schedule'!$L14),('Financing Schedule'!$K14/12)*('Financing Schedule'!$J14-('Financing Schedule'!$I14*(R$118-'Financing Schedule'!$G14-1))),0),0)</f>
        <v>0</v>
      </c>
      <c r="S162" s="380">
        <f>IFERROR(IF(AND(S$118&gt;'Financing Schedule'!$G14,S$118&lt;='Financing Schedule'!$G14+'Financing Schedule'!$L14),('Financing Schedule'!$K14/12)*('Financing Schedule'!$J14-('Financing Schedule'!$I14*(S$118-'Financing Schedule'!$G14-1))),0),0)</f>
        <v>0</v>
      </c>
      <c r="T162" s="417">
        <f t="shared" ref="T162:T166" si="65">SUM(H162:S162)</f>
        <v>0</v>
      </c>
    </row>
    <row r="163" spans="2:20" x14ac:dyDescent="0.2">
      <c r="B163" s="428"/>
      <c r="C163" t="s">
        <v>165</v>
      </c>
      <c r="D163" s="7"/>
      <c r="E163" s="7"/>
      <c r="F163" s="7"/>
      <c r="G163" s="5"/>
      <c r="H163" s="379">
        <f>IFERROR(IF(AND(H$118&gt;'Financing Schedule'!$G15,H$118&lt;='Financing Schedule'!$G15+'Financing Schedule'!$L15),('Financing Schedule'!$K15/12)*('Financing Schedule'!$J15-('Financing Schedule'!$I15*(H$118-'Financing Schedule'!$G15-1))),0),0)</f>
        <v>0</v>
      </c>
      <c r="I163" s="380">
        <f>IFERROR(IF(AND(I$118&gt;'Financing Schedule'!$G15,I$118&lt;='Financing Schedule'!$G15+'Financing Schedule'!$L15),('Financing Schedule'!$K15/12)*('Financing Schedule'!$J15-('Financing Schedule'!$I15*(I$118-'Financing Schedule'!$G15-1))),0),0)</f>
        <v>0</v>
      </c>
      <c r="J163" s="380">
        <f>IFERROR(IF(AND(J$118&gt;'Financing Schedule'!$G15,J$118&lt;='Financing Schedule'!$G15+'Financing Schedule'!$L15),('Financing Schedule'!$K15/12)*('Financing Schedule'!$J15-('Financing Schedule'!$I15*(J$118-'Financing Schedule'!$G15-1))),0),0)</f>
        <v>0</v>
      </c>
      <c r="K163" s="380">
        <f>IFERROR(IF(AND(K$118&gt;'Financing Schedule'!$G15,K$118&lt;='Financing Schedule'!$G15+'Financing Schedule'!$L15),('Financing Schedule'!$K15/12)*('Financing Schedule'!$J15-('Financing Schedule'!$I15*(K$118-'Financing Schedule'!$G15-1))),0),0)</f>
        <v>0</v>
      </c>
      <c r="L163" s="380">
        <f>IFERROR(IF(AND(L$118&gt;'Financing Schedule'!$G15,L$118&lt;='Financing Schedule'!$G15+'Financing Schedule'!$L15),('Financing Schedule'!$K15/12)*('Financing Schedule'!$J15-('Financing Schedule'!$I15*(L$118-'Financing Schedule'!$G15-1))),0),0)</f>
        <v>0</v>
      </c>
      <c r="M163" s="380">
        <f>IFERROR(IF(AND(M$118&gt;'Financing Schedule'!$G15,M$118&lt;='Financing Schedule'!$G15+'Financing Schedule'!$L15),('Financing Schedule'!$K15/12)*('Financing Schedule'!$J15-('Financing Schedule'!$I15*(M$118-'Financing Schedule'!$G15-1))),0),0)</f>
        <v>0</v>
      </c>
      <c r="N163" s="380">
        <f>IFERROR(IF(AND(N$118&gt;'Financing Schedule'!$G15,N$118&lt;='Financing Schedule'!$G15+'Financing Schedule'!$L15),('Financing Schedule'!$K15/12)*('Financing Schedule'!$J15-('Financing Schedule'!$I15*(N$118-'Financing Schedule'!$G15-1))),0),0)</f>
        <v>0</v>
      </c>
      <c r="O163" s="380">
        <f>IFERROR(IF(AND(O$118&gt;'Financing Schedule'!$G15,O$118&lt;='Financing Schedule'!$G15+'Financing Schedule'!$L15),('Financing Schedule'!$K15/12)*('Financing Schedule'!$J15-('Financing Schedule'!$I15*(O$118-'Financing Schedule'!$G15-1))),0),0)</f>
        <v>0</v>
      </c>
      <c r="P163" s="380">
        <f>IFERROR(IF(AND(P$118&gt;'Financing Schedule'!$G15,P$118&lt;='Financing Schedule'!$G15+'Financing Schedule'!$L15),('Financing Schedule'!$K15/12)*('Financing Schedule'!$J15-('Financing Schedule'!$I15*(P$118-'Financing Schedule'!$G15-1))),0),0)</f>
        <v>0</v>
      </c>
      <c r="Q163" s="380">
        <f>IFERROR(IF(AND(Q$118&gt;'Financing Schedule'!$G15,Q$118&lt;='Financing Schedule'!$G15+'Financing Schedule'!$L15),('Financing Schedule'!$K15/12)*('Financing Schedule'!$J15-('Financing Schedule'!$I15*(Q$118-'Financing Schedule'!$G15-1))),0),0)</f>
        <v>0</v>
      </c>
      <c r="R163" s="380">
        <f>IFERROR(IF(AND(R$118&gt;'Financing Schedule'!$G15,R$118&lt;='Financing Schedule'!$G15+'Financing Schedule'!$L15),('Financing Schedule'!$K15/12)*('Financing Schedule'!$J15-('Financing Schedule'!$I15*(R$118-'Financing Schedule'!$G15-1))),0),0)</f>
        <v>0</v>
      </c>
      <c r="S163" s="380">
        <f>IFERROR(IF(AND(S$118&gt;'Financing Schedule'!$G15,S$118&lt;='Financing Schedule'!$G15+'Financing Schedule'!$L15),('Financing Schedule'!$K15/12)*('Financing Schedule'!$J15-('Financing Schedule'!$I15*(S$118-'Financing Schedule'!$G15-1))),0),0)</f>
        <v>0</v>
      </c>
      <c r="T163" s="417">
        <f t="shared" si="65"/>
        <v>0</v>
      </c>
    </row>
    <row r="164" spans="2:20" x14ac:dyDescent="0.2">
      <c r="B164" s="428"/>
      <c r="C164" t="s">
        <v>166</v>
      </c>
      <c r="D164" s="7"/>
      <c r="E164" s="7"/>
      <c r="F164" s="7"/>
      <c r="G164" s="5"/>
      <c r="H164" s="379">
        <f>IFERROR(IF(AND(H$118&gt;'Financing Schedule'!$G16,H$118&lt;='Financing Schedule'!$G16+'Financing Schedule'!$L16),('Financing Schedule'!$K16/12)*('Financing Schedule'!$J16-('Financing Schedule'!$I16*(H$118-'Financing Schedule'!$G16-1))),0),0)</f>
        <v>0</v>
      </c>
      <c r="I164" s="380">
        <f>IFERROR(IF(AND(I$118&gt;'Financing Schedule'!$G16,I$118&lt;='Financing Schedule'!$G16+'Financing Schedule'!$L16),('Financing Schedule'!$K16/12)*('Financing Schedule'!$J16-('Financing Schedule'!$I16*(I$118-'Financing Schedule'!$G16-1))),0),0)</f>
        <v>0</v>
      </c>
      <c r="J164" s="380">
        <f>IFERROR(IF(AND(J$118&gt;'Financing Schedule'!$G16,J$118&lt;='Financing Schedule'!$G16+'Financing Schedule'!$L16),('Financing Schedule'!$K16/12)*('Financing Schedule'!$J16-('Financing Schedule'!$I16*(J$118-'Financing Schedule'!$G16-1))),0),0)</f>
        <v>0</v>
      </c>
      <c r="K164" s="380">
        <f>IFERROR(IF(AND(K$118&gt;'Financing Schedule'!$G16,K$118&lt;='Financing Schedule'!$G16+'Financing Schedule'!$L16),('Financing Schedule'!$K16/12)*('Financing Schedule'!$J16-('Financing Schedule'!$I16*(K$118-'Financing Schedule'!$G16-1))),0),0)</f>
        <v>0</v>
      </c>
      <c r="L164" s="380">
        <f>IFERROR(IF(AND(L$118&gt;'Financing Schedule'!$G16,L$118&lt;='Financing Schedule'!$G16+'Financing Schedule'!$L16),('Financing Schedule'!$K16/12)*('Financing Schedule'!$J16-('Financing Schedule'!$I16*(L$118-'Financing Schedule'!$G16-1))),0),0)</f>
        <v>0</v>
      </c>
      <c r="M164" s="380">
        <f>IFERROR(IF(AND(M$118&gt;'Financing Schedule'!$G16,M$118&lt;='Financing Schedule'!$G16+'Financing Schedule'!$L16),('Financing Schedule'!$K16/12)*('Financing Schedule'!$J16-('Financing Schedule'!$I16*(M$118-'Financing Schedule'!$G16-1))),0),0)</f>
        <v>0</v>
      </c>
      <c r="N164" s="380">
        <f>IFERROR(IF(AND(N$118&gt;'Financing Schedule'!$G16,N$118&lt;='Financing Schedule'!$G16+'Financing Schedule'!$L16),('Financing Schedule'!$K16/12)*('Financing Schedule'!$J16-('Financing Schedule'!$I16*(N$118-'Financing Schedule'!$G16-1))),0),0)</f>
        <v>0</v>
      </c>
      <c r="O164" s="380">
        <f>IFERROR(IF(AND(O$118&gt;'Financing Schedule'!$G16,O$118&lt;='Financing Schedule'!$G16+'Financing Schedule'!$L16),('Financing Schedule'!$K16/12)*('Financing Schedule'!$J16-('Financing Schedule'!$I16*(O$118-'Financing Schedule'!$G16-1))),0),0)</f>
        <v>0</v>
      </c>
      <c r="P164" s="380">
        <f>IFERROR(IF(AND(P$118&gt;'Financing Schedule'!$G16,P$118&lt;='Financing Schedule'!$G16+'Financing Schedule'!$L16),('Financing Schedule'!$K16/12)*('Financing Schedule'!$J16-('Financing Schedule'!$I16*(P$118-'Financing Schedule'!$G16-1))),0),0)</f>
        <v>0</v>
      </c>
      <c r="Q164" s="380">
        <f>IFERROR(IF(AND(Q$118&gt;'Financing Schedule'!$G16,Q$118&lt;='Financing Schedule'!$G16+'Financing Schedule'!$L16),('Financing Schedule'!$K16/12)*('Financing Schedule'!$J16-('Financing Schedule'!$I16*(Q$118-'Financing Schedule'!$G16-1))),0),0)</f>
        <v>0</v>
      </c>
      <c r="R164" s="380">
        <f>IFERROR(IF(AND(R$118&gt;'Financing Schedule'!$G16,R$118&lt;='Financing Schedule'!$G16+'Financing Schedule'!$L16),('Financing Schedule'!$K16/12)*('Financing Schedule'!$J16-('Financing Schedule'!$I16*(R$118-'Financing Schedule'!$G16-1))),0),0)</f>
        <v>0</v>
      </c>
      <c r="S164" s="380">
        <f>IFERROR(IF(AND(S$118&gt;'Financing Schedule'!$G16,S$118&lt;='Financing Schedule'!$G16+'Financing Schedule'!$L16),('Financing Schedule'!$K16/12)*('Financing Schedule'!$J16-('Financing Schedule'!$I16*(S$118-'Financing Schedule'!$G16-1))),0),0)</f>
        <v>0</v>
      </c>
      <c r="T164" s="417">
        <f t="shared" si="65"/>
        <v>0</v>
      </c>
    </row>
    <row r="165" spans="2:20" ht="17" thickBot="1" x14ac:dyDescent="0.25">
      <c r="B165" s="428"/>
      <c r="C165" t="s">
        <v>167</v>
      </c>
      <c r="D165" s="7"/>
      <c r="E165" s="7"/>
      <c r="F165" s="7"/>
      <c r="G165" s="5"/>
      <c r="H165" s="379">
        <f>IFERROR(IF(AND(H$118&gt;'Financing Schedule'!$G17,H$118&lt;='Financing Schedule'!$G17+'Financing Schedule'!$L17),('Financing Schedule'!$K17/12)*('Financing Schedule'!$J17-('Financing Schedule'!$I17*(H$118-'Financing Schedule'!$G17-1))),0),0)</f>
        <v>0</v>
      </c>
      <c r="I165" s="380">
        <f>IFERROR(IF(AND(I$118&gt;'Financing Schedule'!$G17,I$118&lt;='Financing Schedule'!$G17+'Financing Schedule'!$L17),('Financing Schedule'!$K17/12)*('Financing Schedule'!$J17-('Financing Schedule'!$I17*(I$118-'Financing Schedule'!$G17-1))),0),0)</f>
        <v>0</v>
      </c>
      <c r="J165" s="380">
        <f>IFERROR(IF(AND(J$118&gt;'Financing Schedule'!$G17,J$118&lt;='Financing Schedule'!$G17+'Financing Schedule'!$L17),('Financing Schedule'!$K17/12)*('Financing Schedule'!$J17-('Financing Schedule'!$I17*(J$118-'Financing Schedule'!$G17-1))),0),0)</f>
        <v>0</v>
      </c>
      <c r="K165" s="380">
        <f>IFERROR(IF(AND(K$118&gt;'Financing Schedule'!$G17,K$118&lt;='Financing Schedule'!$G17+'Financing Schedule'!$L17),('Financing Schedule'!$K17/12)*('Financing Schedule'!$J17-('Financing Schedule'!$I17*(K$118-'Financing Schedule'!$G17-1))),0),0)</f>
        <v>0</v>
      </c>
      <c r="L165" s="380">
        <f>IFERROR(IF(AND(L$118&gt;'Financing Schedule'!$G17,L$118&lt;='Financing Schedule'!$G17+'Financing Schedule'!$L17),('Financing Schedule'!$K17/12)*('Financing Schedule'!$J17-('Financing Schedule'!$I17*(L$118-'Financing Schedule'!$G17-1))),0),0)</f>
        <v>0</v>
      </c>
      <c r="M165" s="380">
        <f>IFERROR(IF(AND(M$118&gt;'Financing Schedule'!$G17,M$118&lt;='Financing Schedule'!$G17+'Financing Schedule'!$L17),('Financing Schedule'!$K17/12)*('Financing Schedule'!$J17-('Financing Schedule'!$I17*(M$118-'Financing Schedule'!$G17-1))),0),0)</f>
        <v>0</v>
      </c>
      <c r="N165" s="380">
        <f>IFERROR(IF(AND(N$118&gt;'Financing Schedule'!$G17,N$118&lt;='Financing Schedule'!$G17+'Financing Schedule'!$L17),('Financing Schedule'!$K17/12)*('Financing Schedule'!$J17-('Financing Schedule'!$I17*(N$118-'Financing Schedule'!$G17-1))),0),0)</f>
        <v>0</v>
      </c>
      <c r="O165" s="380">
        <f>IFERROR(IF(AND(O$118&gt;'Financing Schedule'!$G17,O$118&lt;='Financing Schedule'!$G17+'Financing Schedule'!$L17),('Financing Schedule'!$K17/12)*('Financing Schedule'!$J17-('Financing Schedule'!$I17*(O$118-'Financing Schedule'!$G17-1))),0),0)</f>
        <v>0</v>
      </c>
      <c r="P165" s="380">
        <f>IFERROR(IF(AND(P$118&gt;'Financing Schedule'!$G17,P$118&lt;='Financing Schedule'!$G17+'Financing Schedule'!$L17),('Financing Schedule'!$K17/12)*('Financing Schedule'!$J17-('Financing Schedule'!$I17*(P$118-'Financing Schedule'!$G17-1))),0),0)</f>
        <v>0</v>
      </c>
      <c r="Q165" s="380">
        <f>IFERROR(IF(AND(Q$118&gt;'Financing Schedule'!$G17,Q$118&lt;='Financing Schedule'!$G17+'Financing Schedule'!$L17),('Financing Schedule'!$K17/12)*('Financing Schedule'!$J17-('Financing Schedule'!$I17*(Q$118-'Financing Schedule'!$G17-1))),0),0)</f>
        <v>0</v>
      </c>
      <c r="R165" s="380">
        <f>IFERROR(IF(AND(R$118&gt;'Financing Schedule'!$G17,R$118&lt;='Financing Schedule'!$G17+'Financing Schedule'!$L17),('Financing Schedule'!$K17/12)*('Financing Schedule'!$J17-('Financing Schedule'!$I17*(R$118-'Financing Schedule'!$G17-1))),0),0)</f>
        <v>0</v>
      </c>
      <c r="S165" s="380">
        <f>IFERROR(IF(AND(S$118&gt;'Financing Schedule'!$G17,S$118&lt;='Financing Schedule'!$G17+'Financing Schedule'!$L17),('Financing Schedule'!$K17/12)*('Financing Schedule'!$J17-('Financing Schedule'!$I17*(S$118-'Financing Schedule'!$G17-1))),0),0)</f>
        <v>0</v>
      </c>
      <c r="T165" s="417">
        <f t="shared" si="65"/>
        <v>0</v>
      </c>
    </row>
    <row r="166" spans="2:20" ht="17" thickTop="1" x14ac:dyDescent="0.2">
      <c r="B166" s="418" t="s">
        <v>118</v>
      </c>
      <c r="C166" s="419"/>
      <c r="D166" s="419"/>
      <c r="E166" s="419"/>
      <c r="F166" s="419"/>
      <c r="G166" s="420"/>
      <c r="H166" s="421">
        <f>SUM(H160:H165)</f>
        <v>41.666666666666671</v>
      </c>
      <c r="I166" s="422">
        <f t="shared" ref="I166:S166" si="66">SUM(I160:I165)</f>
        <v>27.777777777777715</v>
      </c>
      <c r="J166" s="422">
        <f t="shared" si="66"/>
        <v>13.888888888888857</v>
      </c>
      <c r="K166" s="422">
        <f t="shared" si="66"/>
        <v>0</v>
      </c>
      <c r="L166" s="422">
        <f t="shared" si="66"/>
        <v>0</v>
      </c>
      <c r="M166" s="422">
        <f t="shared" si="66"/>
        <v>0</v>
      </c>
      <c r="N166" s="422">
        <f t="shared" si="66"/>
        <v>0</v>
      </c>
      <c r="O166" s="422">
        <f t="shared" si="66"/>
        <v>0</v>
      </c>
      <c r="P166" s="422">
        <f t="shared" si="66"/>
        <v>0</v>
      </c>
      <c r="Q166" s="422">
        <f t="shared" si="66"/>
        <v>0</v>
      </c>
      <c r="R166" s="422">
        <f t="shared" si="66"/>
        <v>0</v>
      </c>
      <c r="S166" s="422">
        <f t="shared" si="66"/>
        <v>0</v>
      </c>
      <c r="T166" s="423">
        <f t="shared" si="65"/>
        <v>83.333333333333243</v>
      </c>
    </row>
    <row r="167" spans="2:20" ht="102" x14ac:dyDescent="0.2">
      <c r="B167" s="308"/>
      <c r="C167" s="5"/>
      <c r="D167" s="5"/>
      <c r="E167" s="54"/>
      <c r="F167" s="36" t="s">
        <v>311</v>
      </c>
      <c r="G167" s="36"/>
      <c r="H167" s="379"/>
      <c r="I167" s="380"/>
      <c r="J167" s="380"/>
      <c r="K167" s="380"/>
      <c r="L167" s="380"/>
      <c r="M167" s="380"/>
      <c r="N167" s="380"/>
      <c r="O167" s="380"/>
      <c r="P167" s="380"/>
      <c r="Q167" s="380"/>
      <c r="R167" s="380"/>
      <c r="S167" s="380"/>
      <c r="T167" s="417"/>
    </row>
    <row r="168" spans="2:20" x14ac:dyDescent="0.2">
      <c r="B168" s="307" t="s">
        <v>306</v>
      </c>
      <c r="D168" s="5"/>
      <c r="E168" s="55" t="s">
        <v>293</v>
      </c>
      <c r="F168" s="497" t="s">
        <v>304</v>
      </c>
      <c r="G168" s="497"/>
      <c r="H168" s="379"/>
      <c r="I168" s="380"/>
      <c r="J168" s="380"/>
      <c r="K168" s="380"/>
      <c r="L168" s="380"/>
      <c r="M168" s="380"/>
      <c r="N168" s="380"/>
      <c r="O168" s="380"/>
      <c r="P168" s="380"/>
      <c r="Q168" s="380"/>
      <c r="R168" s="380"/>
      <c r="S168" s="380"/>
      <c r="T168" s="417"/>
    </row>
    <row r="169" spans="2:20" x14ac:dyDescent="0.2">
      <c r="B169" s="428"/>
      <c r="D169" t="s">
        <v>33</v>
      </c>
      <c r="E169" s="54"/>
      <c r="F169" s="497"/>
      <c r="G169" s="497"/>
      <c r="H169" s="379"/>
      <c r="I169" s="380"/>
      <c r="J169" s="380"/>
      <c r="K169" s="380"/>
      <c r="L169" s="380"/>
      <c r="M169" s="380"/>
      <c r="N169" s="380"/>
      <c r="O169" s="380"/>
      <c r="P169" s="380"/>
      <c r="Q169" s="380"/>
      <c r="R169" s="380"/>
      <c r="S169" s="380"/>
      <c r="T169" s="417"/>
    </row>
    <row r="170" spans="2:20" x14ac:dyDescent="0.2">
      <c r="B170" s="308"/>
      <c r="C170" s="496" t="str">
        <f>"Sales Tax on "&amp;$B6&amp;" Line"</f>
        <v>Sales Tax on Product Revenue Line</v>
      </c>
      <c r="D170" s="454">
        <f>'Year 2'!D170:D171</f>
        <v>0.02</v>
      </c>
      <c r="E170" s="453" t="str">
        <f>'Year 2'!E170:E171</f>
        <v>Monthly</v>
      </c>
      <c r="F170" s="453">
        <f>IF('Year 2'!F170:F171="","",'Year 1'!F170:F171+'Year 2'!$S$118)</f>
        <v>28</v>
      </c>
      <c r="G170" s="15" t="s">
        <v>303</v>
      </c>
      <c r="H170" s="379">
        <f>IF($E170="n.a.",0,$D170*H$12+IF(H171=0,'Year 2'!S170,0))</f>
        <v>398.40000000000003</v>
      </c>
      <c r="I170" s="380">
        <f>IF($E170="n.a.",0,$D170*I$12+IF(I171=0,H170,0))</f>
        <v>410.40000000000003</v>
      </c>
      <c r="J170" s="380">
        <f t="shared" ref="J170:S170" si="67">IF($E170="n.a.",0,$D170*J$12+IF(J171=0,I170,0))</f>
        <v>424.8</v>
      </c>
      <c r="K170" s="380">
        <f t="shared" si="67"/>
        <v>436.8</v>
      </c>
      <c r="L170" s="380">
        <f t="shared" si="67"/>
        <v>448.8</v>
      </c>
      <c r="M170" s="380">
        <f t="shared" si="67"/>
        <v>463.2</v>
      </c>
      <c r="N170" s="380">
        <f t="shared" si="67"/>
        <v>475.2</v>
      </c>
      <c r="O170" s="380">
        <f t="shared" si="67"/>
        <v>487.2</v>
      </c>
      <c r="P170" s="380">
        <f t="shared" si="67"/>
        <v>501.6</v>
      </c>
      <c r="Q170" s="380">
        <f t="shared" si="67"/>
        <v>513.6</v>
      </c>
      <c r="R170" s="380">
        <f t="shared" si="67"/>
        <v>525.6</v>
      </c>
      <c r="S170" s="380">
        <f t="shared" si="67"/>
        <v>540</v>
      </c>
      <c r="T170" s="417">
        <f>SUM(H170:S170)</f>
        <v>5625.6</v>
      </c>
    </row>
    <row r="171" spans="2:20" x14ac:dyDescent="0.2">
      <c r="B171" s="308"/>
      <c r="C171" s="496"/>
      <c r="D171" s="5"/>
      <c r="E171" s="54"/>
      <c r="F171" s="36"/>
      <c r="G171" s="15" t="s">
        <v>293</v>
      </c>
      <c r="H171" s="379">
        <f>IF($E170="Monthly",'Year 2'!S170,IF($E170="Quarterly",IF(AND($E170="Quarterly",OR(H$118=((RIGHT(LEFT($E$3,6),1)-1)*12)+1,H$118=((RIGHT(LEFT($E$3,6),1)-1)*12)+4,H$118=((RIGHT(LEFT($E$3,6),1)-1)*12)+7,H$118=((RIGHT(LEFT($E$3,6),1)-1)*12)+10)),'Year 2'!S170,0),IF(AND($E170="Yearly",$F170=H$118),'Year 2'!S170,0)))</f>
        <v>386.40000000000003</v>
      </c>
      <c r="I171" s="380">
        <f t="shared" ref="I171:S171" si="68">IF($E170="Monthly",H170,IF($E170="Quarterly",IF(AND($E170="Quarterly",OR(I$118=((RIGHT(LEFT($E$3,6),1)-1)*12)+1,I$118=((RIGHT(LEFT($E$3,6),1)-1)*12)+4,I$118=((RIGHT(LEFT($E$3,6),1)-1)*12)+7,I$118=((RIGHT(LEFT($E$3,6),1)-1)*12)+10)),H170,0),IF(AND($E170="Yearly",$F170=I$118),H170,0)))</f>
        <v>398.40000000000003</v>
      </c>
      <c r="J171" s="380">
        <f t="shared" si="68"/>
        <v>410.40000000000003</v>
      </c>
      <c r="K171" s="380">
        <f t="shared" si="68"/>
        <v>424.8</v>
      </c>
      <c r="L171" s="380">
        <f t="shared" si="68"/>
        <v>436.8</v>
      </c>
      <c r="M171" s="380">
        <f t="shared" si="68"/>
        <v>448.8</v>
      </c>
      <c r="N171" s="380">
        <f t="shared" si="68"/>
        <v>463.2</v>
      </c>
      <c r="O171" s="380">
        <f t="shared" si="68"/>
        <v>475.2</v>
      </c>
      <c r="P171" s="380">
        <f t="shared" si="68"/>
        <v>487.2</v>
      </c>
      <c r="Q171" s="380">
        <f t="shared" si="68"/>
        <v>501.6</v>
      </c>
      <c r="R171" s="380">
        <f t="shared" si="68"/>
        <v>513.6</v>
      </c>
      <c r="S171" s="380">
        <f t="shared" si="68"/>
        <v>525.6</v>
      </c>
      <c r="T171" s="417">
        <f t="shared" ref="T171:T177" si="69">SUM(H171:S171)</f>
        <v>5472.0000000000009</v>
      </c>
    </row>
    <row r="172" spans="2:20" x14ac:dyDescent="0.2">
      <c r="B172" s="308"/>
      <c r="C172" s="496" t="str">
        <f>"Sales Tax on "&amp;$B14&amp;" Line"</f>
        <v>Sales Tax on Service Revenue Line</v>
      </c>
      <c r="D172" s="454">
        <f>'Year 2'!D172:D173</f>
        <v>0.01</v>
      </c>
      <c r="E172" s="453" t="str">
        <f>'Year 2'!E172:E173</f>
        <v>n.a.</v>
      </c>
      <c r="F172" s="453" t="str">
        <f>IF('Year 2'!F172:F173="","",'Year 1'!F172:F173+'Year 2'!$S$118)</f>
        <v/>
      </c>
      <c r="G172" s="15" t="s">
        <v>303</v>
      </c>
      <c r="H172" s="379">
        <f>IF($E172="n.a.",0,$D172*H$20+IF(H173=0,'Year 2'!S172,0))</f>
        <v>0</v>
      </c>
      <c r="I172" s="380">
        <f>IF($E172="n.a.",0,$D172*I$20+IF(I173=0,H172,0))</f>
        <v>0</v>
      </c>
      <c r="J172" s="380">
        <f t="shared" ref="J172:S172" si="70">IF($E172="n.a.",0,$D172*J$20+IF(J173=0,I172,0))</f>
        <v>0</v>
      </c>
      <c r="K172" s="380">
        <f t="shared" si="70"/>
        <v>0</v>
      </c>
      <c r="L172" s="380">
        <f t="shared" si="70"/>
        <v>0</v>
      </c>
      <c r="M172" s="380">
        <f t="shared" si="70"/>
        <v>0</v>
      </c>
      <c r="N172" s="380">
        <f t="shared" si="70"/>
        <v>0</v>
      </c>
      <c r="O172" s="380">
        <f t="shared" si="70"/>
        <v>0</v>
      </c>
      <c r="P172" s="380">
        <f t="shared" si="70"/>
        <v>0</v>
      </c>
      <c r="Q172" s="380">
        <f t="shared" si="70"/>
        <v>0</v>
      </c>
      <c r="R172" s="380">
        <f t="shared" si="70"/>
        <v>0</v>
      </c>
      <c r="S172" s="380">
        <f t="shared" si="70"/>
        <v>0</v>
      </c>
      <c r="T172" s="417">
        <f t="shared" si="69"/>
        <v>0</v>
      </c>
    </row>
    <row r="173" spans="2:20" x14ac:dyDescent="0.2">
      <c r="B173" s="308"/>
      <c r="C173" s="496"/>
      <c r="D173" s="5"/>
      <c r="E173" s="54"/>
      <c r="F173" s="36"/>
      <c r="G173" s="15" t="s">
        <v>293</v>
      </c>
      <c r="H173" s="379">
        <f>IF($E172="Monthly",'Year 2'!S172,IF($E172="Quarterly",IF(AND($E172="Quarterly",OR(H$118=((RIGHT(LEFT($E$3,6),1)-1)*12)+1,H$118=((RIGHT(LEFT($E$3,6),1)-1)*12)+4,H$118=((RIGHT(LEFT($E$3,6),1)-1)*12)+7,H$118=((RIGHT(LEFT($E$3,6),1)-1)*12)+10)),'Year 2'!S172,0),IF(AND($E172="Yearly",$F172=H$118),'Year 2'!S172,0)))</f>
        <v>0</v>
      </c>
      <c r="I173" s="380">
        <f t="shared" ref="I173:S173" si="71">IF($E172="Monthly",H172,IF($E172="Quarterly",IF(AND($E172="Quarterly",OR(I$118=((RIGHT(LEFT($E$3,6),1)-1)*12)+1,I$118=((RIGHT(LEFT($E$3,6),1)-1)*12)+4,I$118=((RIGHT(LEFT($E$3,6),1)-1)*12)+7,I$118=((RIGHT(LEFT($E$3,6),1)-1)*12)+10)),H172,0),IF(AND($E172="Yearly",$F172=I$118),H172,0)))</f>
        <v>0</v>
      </c>
      <c r="J173" s="380">
        <f t="shared" si="71"/>
        <v>0</v>
      </c>
      <c r="K173" s="380">
        <f t="shared" si="71"/>
        <v>0</v>
      </c>
      <c r="L173" s="380">
        <f t="shared" si="71"/>
        <v>0</v>
      </c>
      <c r="M173" s="380">
        <f t="shared" si="71"/>
        <v>0</v>
      </c>
      <c r="N173" s="380">
        <f t="shared" si="71"/>
        <v>0</v>
      </c>
      <c r="O173" s="380">
        <f t="shared" si="71"/>
        <v>0</v>
      </c>
      <c r="P173" s="380">
        <f t="shared" si="71"/>
        <v>0</v>
      </c>
      <c r="Q173" s="380">
        <f t="shared" si="71"/>
        <v>0</v>
      </c>
      <c r="R173" s="380">
        <f t="shared" si="71"/>
        <v>0</v>
      </c>
      <c r="S173" s="380">
        <f t="shared" si="71"/>
        <v>0</v>
      </c>
      <c r="T173" s="417">
        <f t="shared" si="69"/>
        <v>0</v>
      </c>
    </row>
    <row r="174" spans="2:20" x14ac:dyDescent="0.2">
      <c r="B174" s="308"/>
      <c r="C174" s="496" t="str">
        <f>"Sales Tax on "&amp;$B22&amp;" Line"</f>
        <v>Sales Tax on Billable Hours Revenue Line</v>
      </c>
      <c r="D174" s="454">
        <f>'Year 2'!D174:D175</f>
        <v>0.01</v>
      </c>
      <c r="E174" s="453" t="str">
        <f>'Year 2'!E174:E175</f>
        <v>Yearly</v>
      </c>
      <c r="F174" s="453">
        <f>IF('Year 2'!F174:F175="","",'Year 1'!F174:F175+'Year 2'!$S$118)</f>
        <v>27</v>
      </c>
      <c r="G174" s="15" t="s">
        <v>303</v>
      </c>
      <c r="H174" s="379">
        <f>IF($E174="n.a.",0,$D174*H$28+IF(H175=0,'Year 2'!S174,0))</f>
        <v>1346.4</v>
      </c>
      <c r="I174" s="380">
        <f>IF($E174="n.a.",0,$D174*I$28+IF(I175=0,H174,0))</f>
        <v>1499.4</v>
      </c>
      <c r="J174" s="380">
        <f t="shared" ref="J174:S174" si="72">IF($E174="n.a.",0,$D174*J$28+IF(J175=0,I174,0))</f>
        <v>160.5</v>
      </c>
      <c r="K174" s="380">
        <f t="shared" si="72"/>
        <v>328.5</v>
      </c>
      <c r="L174" s="380">
        <f t="shared" si="72"/>
        <v>502.5</v>
      </c>
      <c r="M174" s="380">
        <f t="shared" si="72"/>
        <v>684</v>
      </c>
      <c r="N174" s="380">
        <f t="shared" si="72"/>
        <v>873</v>
      </c>
      <c r="O174" s="380">
        <f t="shared" si="72"/>
        <v>1069.5</v>
      </c>
      <c r="P174" s="380">
        <f t="shared" si="72"/>
        <v>1272</v>
      </c>
      <c r="Q174" s="380">
        <f t="shared" si="72"/>
        <v>1482</v>
      </c>
      <c r="R174" s="380">
        <f t="shared" si="72"/>
        <v>1699.5</v>
      </c>
      <c r="S174" s="380">
        <f t="shared" si="72"/>
        <v>1924.05</v>
      </c>
      <c r="T174" s="417">
        <f t="shared" si="69"/>
        <v>12841.349999999999</v>
      </c>
    </row>
    <row r="175" spans="2:20" x14ac:dyDescent="0.2">
      <c r="B175" s="308"/>
      <c r="C175" s="496"/>
      <c r="D175" s="5"/>
      <c r="E175" s="54"/>
      <c r="F175" s="36"/>
      <c r="G175" s="15" t="s">
        <v>293</v>
      </c>
      <c r="H175" s="379">
        <f>IF($E174="Monthly",'Year 2'!S174,IF($E174="Quarterly",IF(AND($E174="Quarterly",OR(H$118=((RIGHT(LEFT($E$3,6),1)-1)*12)+1,H$118=((RIGHT(LEFT($E$3,6),1)-1)*12)+4,H$118=((RIGHT(LEFT($E$3,6),1)-1)*12)+7,H$118=((RIGHT(LEFT($E$3,6),1)-1)*12)+10)),'Year 2'!S174,0),IF(AND($E174="Yearly",$F174=H$118),'Year 2'!S174,0)))</f>
        <v>0</v>
      </c>
      <c r="I175" s="380">
        <f t="shared" ref="I175:S175" si="73">IF($E174="Monthly",H174,IF($E174="Quarterly",IF(AND($E174="Quarterly",OR(I$118=((RIGHT(LEFT($E$3,6),1)-1)*12)+1,I$118=((RIGHT(LEFT($E$3,6),1)-1)*12)+4,I$118=((RIGHT(LEFT($E$3,6),1)-1)*12)+7,I$118=((RIGHT(LEFT($E$3,6),1)-1)*12)+10)),H174,0),IF(AND($E174="Yearly",$F174=I$118),H174,0)))</f>
        <v>0</v>
      </c>
      <c r="J175" s="380">
        <f t="shared" si="73"/>
        <v>1499.4</v>
      </c>
      <c r="K175" s="380">
        <f t="shared" si="73"/>
        <v>0</v>
      </c>
      <c r="L175" s="380">
        <f t="shared" si="73"/>
        <v>0</v>
      </c>
      <c r="M175" s="380">
        <f t="shared" si="73"/>
        <v>0</v>
      </c>
      <c r="N175" s="380">
        <f t="shared" si="73"/>
        <v>0</v>
      </c>
      <c r="O175" s="380">
        <f t="shared" si="73"/>
        <v>0</v>
      </c>
      <c r="P175" s="380">
        <f t="shared" si="73"/>
        <v>0</v>
      </c>
      <c r="Q175" s="380">
        <f t="shared" si="73"/>
        <v>0</v>
      </c>
      <c r="R175" s="380">
        <f t="shared" si="73"/>
        <v>0</v>
      </c>
      <c r="S175" s="380">
        <f t="shared" si="73"/>
        <v>0</v>
      </c>
      <c r="T175" s="417">
        <f t="shared" si="69"/>
        <v>1499.4</v>
      </c>
    </row>
    <row r="176" spans="2:20" x14ac:dyDescent="0.2">
      <c r="B176" s="308"/>
      <c r="C176" s="496" t="str">
        <f>"Sales Tax on "&amp;$B30&amp;" Line"</f>
        <v>Sales Tax on Subscription Revenue Line</v>
      </c>
      <c r="D176" s="454">
        <f>'Year 2'!D176:D177</f>
        <v>0</v>
      </c>
      <c r="E176" s="453" t="str">
        <f>'Year 2'!E176:E177</f>
        <v>Quarterly</v>
      </c>
      <c r="F176" s="453" t="str">
        <f>IF('Year 2'!F176:F177="","",'Year 1'!F176:F177+'Year 2'!$S$118)</f>
        <v/>
      </c>
      <c r="G176" s="15" t="s">
        <v>303</v>
      </c>
      <c r="H176" s="379">
        <f>IF($E176="n.a.",0,$D176*H$39+IF(H177=0,'Year 2'!S176,0))</f>
        <v>0</v>
      </c>
      <c r="I176" s="380">
        <f>IF($E176="n.a.",0,$D176*I$39+IF(I177=0,H176,0))</f>
        <v>0</v>
      </c>
      <c r="J176" s="380">
        <f t="shared" ref="J176:S176" si="74">IF($E176="n.a.",0,$D176*J$39+IF(J177=0,I176,0))</f>
        <v>0</v>
      </c>
      <c r="K176" s="380">
        <f t="shared" si="74"/>
        <v>0</v>
      </c>
      <c r="L176" s="380">
        <f t="shared" si="74"/>
        <v>0</v>
      </c>
      <c r="M176" s="380">
        <f t="shared" si="74"/>
        <v>0</v>
      </c>
      <c r="N176" s="380">
        <f t="shared" si="74"/>
        <v>0</v>
      </c>
      <c r="O176" s="380">
        <f t="shared" si="74"/>
        <v>0</v>
      </c>
      <c r="P176" s="380">
        <f t="shared" si="74"/>
        <v>0</v>
      </c>
      <c r="Q176" s="380">
        <f t="shared" si="74"/>
        <v>0</v>
      </c>
      <c r="R176" s="380">
        <f t="shared" si="74"/>
        <v>0</v>
      </c>
      <c r="S176" s="380">
        <f t="shared" si="74"/>
        <v>0</v>
      </c>
      <c r="T176" s="417">
        <f t="shared" si="69"/>
        <v>0</v>
      </c>
    </row>
    <row r="177" spans="2:20" x14ac:dyDescent="0.2">
      <c r="B177" s="308"/>
      <c r="C177" s="496"/>
      <c r="D177" s="5"/>
      <c r="E177" s="54"/>
      <c r="F177" s="36"/>
      <c r="G177" s="15" t="s">
        <v>293</v>
      </c>
      <c r="H177" s="379">
        <f>IF($E176="Monthly",'Year 2'!S176,IF($E176="Quarterly",IF(AND($E176="Quarterly",OR(H$118=((RIGHT(LEFT($E$3,6),1)-1)*12)+1,H$118=((RIGHT(LEFT($E$3,6),1)-1)*12)+4,H$118=((RIGHT(LEFT($E$3,6),1)-1)*12)+7,H$118=((RIGHT(LEFT($E$3,6),1)-1)*12)+10)),'Year 2'!S176,0),IF(AND($E176="Yearly",$F176=H$118),'Year 2'!S176,0)))</f>
        <v>0</v>
      </c>
      <c r="I177" s="380">
        <f t="shared" ref="I177:S177" si="75">IF($E176="Monthly",H176,IF($E176="Quarterly",IF(AND($E176="Quarterly",OR(I$118=((RIGHT(LEFT($E$3,6),1)-1)*12)+1,I$118=((RIGHT(LEFT($E$3,6),1)-1)*12)+4,I$118=((RIGHT(LEFT($E$3,6),1)-1)*12)+7,I$118=((RIGHT(LEFT($E$3,6),1)-1)*12)+10)),H176,0),IF(AND($E176="Yearly",$F176=I$118),H176,0)))</f>
        <v>0</v>
      </c>
      <c r="J177" s="380">
        <f t="shared" si="75"/>
        <v>0</v>
      </c>
      <c r="K177" s="380">
        <f t="shared" si="75"/>
        <v>0</v>
      </c>
      <c r="L177" s="380">
        <f t="shared" si="75"/>
        <v>0</v>
      </c>
      <c r="M177" s="380">
        <f t="shared" si="75"/>
        <v>0</v>
      </c>
      <c r="N177" s="380">
        <f t="shared" si="75"/>
        <v>0</v>
      </c>
      <c r="O177" s="380">
        <f t="shared" si="75"/>
        <v>0</v>
      </c>
      <c r="P177" s="380">
        <f t="shared" si="75"/>
        <v>0</v>
      </c>
      <c r="Q177" s="380">
        <f t="shared" si="75"/>
        <v>0</v>
      </c>
      <c r="R177" s="380">
        <f t="shared" si="75"/>
        <v>0</v>
      </c>
      <c r="S177" s="380">
        <f t="shared" si="75"/>
        <v>0</v>
      </c>
      <c r="T177" s="417">
        <f t="shared" si="69"/>
        <v>0</v>
      </c>
    </row>
    <row r="178" spans="2:20" x14ac:dyDescent="0.2">
      <c r="B178" s="308"/>
      <c r="C178" s="106"/>
      <c r="D178" s="60"/>
      <c r="E178" s="60"/>
      <c r="F178" s="61"/>
      <c r="H178" s="379"/>
      <c r="I178" s="380"/>
      <c r="J178" s="380"/>
      <c r="K178" s="380"/>
      <c r="L178" s="380"/>
      <c r="M178" s="380"/>
      <c r="N178" s="380"/>
      <c r="O178" s="380"/>
      <c r="P178" s="380"/>
      <c r="Q178" s="380"/>
      <c r="R178" s="380"/>
      <c r="S178" s="380"/>
      <c r="T178" s="417"/>
    </row>
    <row r="179" spans="2:20" x14ac:dyDescent="0.2">
      <c r="B179" s="308"/>
      <c r="C179" s="106"/>
      <c r="D179" s="454">
        <f>'Year 2'!D179:D180</f>
        <v>0.24</v>
      </c>
      <c r="E179" s="453" t="str">
        <f>'Year 2'!E179:E180</f>
        <v>Quarterly</v>
      </c>
      <c r="F179" s="453" t="str">
        <f>IF('Year 2'!F179:F180="","",'Year 1'!F179:F180+'Year 2'!$S$118)</f>
        <v/>
      </c>
      <c r="G179" s="15" t="s">
        <v>303</v>
      </c>
      <c r="H179" s="379">
        <f>IF($E179="n.a.",0,$D179*H$157+IF(H$180=0,'Year 2'!S179,IF(H$180&lt;0,'Year 2'!S179+($D179*H$157),0)))</f>
        <v>-122965.70167039997</v>
      </c>
      <c r="I179" s="380">
        <f t="shared" ref="I179:J179" si="76">IF($E179="n.a.",0,$D179*I$157+IF(I$180=0,H$179,IF(I$180&lt;0,H$179+($D179*I$157),0)))</f>
        <v>-126186.29646079997</v>
      </c>
      <c r="J179" s="380">
        <f t="shared" si="76"/>
        <v>-129158.19365119998</v>
      </c>
      <c r="K179" s="380">
        <f>IF($E179="n.a.",0,$D179*K$157+IF(K$180=0,J$179,IF(K$180&lt;0,J$179+($D179*K$157),0)))</f>
        <v>-131807.59164159998</v>
      </c>
      <c r="L179" s="380">
        <f t="shared" ref="L179:S179" si="77">IF($E179="n.a.",0,$D179*L$157+IF(L$180=0,K$179,IF(L$180&lt;0,K$179+($D179*L$157),0)))</f>
        <v>-134252.42483199999</v>
      </c>
      <c r="M179" s="380">
        <f t="shared" si="77"/>
        <v>-136448.32042239999</v>
      </c>
      <c r="N179" s="380">
        <f t="shared" si="77"/>
        <v>-138420.1952128</v>
      </c>
      <c r="O179" s="380">
        <f t="shared" si="77"/>
        <v>-140164.77080319999</v>
      </c>
      <c r="P179" s="380">
        <f t="shared" si="77"/>
        <v>-141680.86479359999</v>
      </c>
      <c r="Q179" s="380">
        <f t="shared" si="77"/>
        <v>-142972.137984</v>
      </c>
      <c r="R179" s="380">
        <f t="shared" si="77"/>
        <v>-144038.79037440001</v>
      </c>
      <c r="S179" s="380">
        <f t="shared" si="77"/>
        <v>-144860.91156480002</v>
      </c>
      <c r="T179" s="417">
        <f>SUM(H179:S179)</f>
        <v>-1632956.1994112001</v>
      </c>
    </row>
    <row r="180" spans="2:20" ht="17" thickBot="1" x14ac:dyDescent="0.25">
      <c r="B180" s="308"/>
      <c r="C180" t="s">
        <v>290</v>
      </c>
      <c r="D180" s="5"/>
      <c r="E180" s="54"/>
      <c r="F180" s="36"/>
      <c r="G180" s="15" t="s">
        <v>293</v>
      </c>
      <c r="H180" s="379">
        <f>IF(H$157&lt;0,0,IF('Year 2'!S179&lt;0,0,IF($E179="Monthly",'Year 2'!S179,IF($E179="Quarterly",IF(AND($E179="Quarterly",OR(H$118=((RIGHT(LEFT($E$3,6),1)-1)*12)+1,H$118=((RIGHT(LEFT($E$3,6),1)-1)*12)+4,H$118=((RIGHT(LEFT($E$3,6),1)-1)*12)+7,H$118=((RIGHT(LEFT($E$3,6),1)-1)*12)+10)),'Year 2'!S179,0),IF(AND($E179="Yearly",$F179=H$118),'Year 2'!S179,0)))))</f>
        <v>0</v>
      </c>
      <c r="I180" s="380">
        <f t="shared" ref="I180:S180" si="78">IF(I$157&lt;0,0,IF(H179&lt;0,0,IF($E179="Monthly",H179,IF($E179="Quarterly",IF(AND($E179="Quarterly",OR(I$118=((RIGHT(LEFT($E$3,6),1)-1)*12)+1,I$118=((RIGHT(LEFT($E$3,6),1)-1)*12)+4,I$118=((RIGHT(LEFT($E$3,6),1)-1)*12)+7,I$118=((RIGHT(LEFT($E$3,6),1)-1)*12)+10)),H179,0),IF(AND($E179="Yearly",$F179=I$118),H179,0)))))</f>
        <v>0</v>
      </c>
      <c r="J180" s="380">
        <f t="shared" si="78"/>
        <v>0</v>
      </c>
      <c r="K180" s="380">
        <f t="shared" si="78"/>
        <v>0</v>
      </c>
      <c r="L180" s="380">
        <f t="shared" si="78"/>
        <v>0</v>
      </c>
      <c r="M180" s="380">
        <f t="shared" si="78"/>
        <v>0</v>
      </c>
      <c r="N180" s="380">
        <f t="shared" si="78"/>
        <v>0</v>
      </c>
      <c r="O180" s="380">
        <f t="shared" si="78"/>
        <v>0</v>
      </c>
      <c r="P180" s="380">
        <f t="shared" si="78"/>
        <v>0</v>
      </c>
      <c r="Q180" s="380">
        <f t="shared" si="78"/>
        <v>0</v>
      </c>
      <c r="R180" s="380">
        <f t="shared" si="78"/>
        <v>0</v>
      </c>
      <c r="S180" s="380">
        <f t="shared" si="78"/>
        <v>0</v>
      </c>
      <c r="T180" s="417">
        <f>SUM(H180:S180)</f>
        <v>0</v>
      </c>
    </row>
    <row r="181" spans="2:20" ht="17" thickTop="1" x14ac:dyDescent="0.2">
      <c r="B181" s="418" t="s">
        <v>305</v>
      </c>
      <c r="C181" s="419"/>
      <c r="D181" s="419"/>
      <c r="E181" s="419"/>
      <c r="F181" s="419"/>
      <c r="G181" s="420"/>
      <c r="H181" s="421">
        <f t="shared" ref="H181:S181" si="79">SUM(H171,H173,H175,H177,H180)</f>
        <v>386.40000000000003</v>
      </c>
      <c r="I181" s="422">
        <f t="shared" si="79"/>
        <v>398.40000000000003</v>
      </c>
      <c r="J181" s="422">
        <f t="shared" si="79"/>
        <v>1909.8000000000002</v>
      </c>
      <c r="K181" s="422">
        <f t="shared" si="79"/>
        <v>424.8</v>
      </c>
      <c r="L181" s="422">
        <f t="shared" si="79"/>
        <v>436.8</v>
      </c>
      <c r="M181" s="422">
        <f t="shared" si="79"/>
        <v>448.8</v>
      </c>
      <c r="N181" s="422">
        <f t="shared" si="79"/>
        <v>463.2</v>
      </c>
      <c r="O181" s="422">
        <f t="shared" si="79"/>
        <v>475.2</v>
      </c>
      <c r="P181" s="422">
        <f t="shared" si="79"/>
        <v>487.2</v>
      </c>
      <c r="Q181" s="422">
        <f t="shared" si="79"/>
        <v>501.6</v>
      </c>
      <c r="R181" s="422">
        <f t="shared" si="79"/>
        <v>513.6</v>
      </c>
      <c r="S181" s="422">
        <f t="shared" si="79"/>
        <v>525.6</v>
      </c>
      <c r="T181" s="423">
        <f>SUM(H181:S181)</f>
        <v>6971.4000000000015</v>
      </c>
    </row>
    <row r="182" spans="2:20" ht="17" thickBot="1" x14ac:dyDescent="0.25">
      <c r="B182" s="431"/>
      <c r="E182" s="8"/>
      <c r="F182" s="8"/>
      <c r="H182" s="382"/>
      <c r="I182" s="383"/>
      <c r="J182" s="383"/>
      <c r="K182" s="383"/>
      <c r="L182" s="383"/>
      <c r="M182" s="383"/>
      <c r="N182" s="383"/>
      <c r="O182" s="383"/>
      <c r="P182" s="383"/>
      <c r="Q182" s="383"/>
      <c r="R182" s="383"/>
      <c r="S182" s="383"/>
      <c r="T182" s="425"/>
    </row>
    <row r="183" spans="2:20" ht="17" thickTop="1" x14ac:dyDescent="0.2">
      <c r="B183" s="434" t="s">
        <v>23</v>
      </c>
      <c r="C183" s="237"/>
      <c r="D183" s="237"/>
      <c r="E183" s="237"/>
      <c r="F183" s="237"/>
      <c r="G183" s="237"/>
      <c r="H183" s="239">
        <f t="shared" ref="H183:S183" si="80">H157-H166-H181</f>
        <v>-14715.564959999994</v>
      </c>
      <c r="I183" s="240">
        <f t="shared" si="80"/>
        <v>-13845.322737777775</v>
      </c>
      <c r="J183" s="240">
        <f t="shared" si="80"/>
        <v>-14306.59384888889</v>
      </c>
      <c r="K183" s="240">
        <f t="shared" si="80"/>
        <v>-11463.958293333331</v>
      </c>
      <c r="L183" s="240">
        <f t="shared" si="80"/>
        <v>-10623.604960000001</v>
      </c>
      <c r="M183" s="240">
        <f t="shared" si="80"/>
        <v>-9598.3649600000026</v>
      </c>
      <c r="N183" s="240">
        <f t="shared" si="80"/>
        <v>-8679.3449599999985</v>
      </c>
      <c r="O183" s="240">
        <f t="shared" si="80"/>
        <v>-7744.2649600000032</v>
      </c>
      <c r="P183" s="240">
        <f t="shared" si="80"/>
        <v>-6804.2582933333324</v>
      </c>
      <c r="Q183" s="240">
        <f t="shared" si="80"/>
        <v>-5881.9049600000017</v>
      </c>
      <c r="R183" s="240">
        <f t="shared" si="80"/>
        <v>-4957.9849600000034</v>
      </c>
      <c r="S183" s="240">
        <f t="shared" si="80"/>
        <v>-3951.1049600000056</v>
      </c>
      <c r="T183" s="251">
        <f>SUM(H183:S183)</f>
        <v>-112572.27285333334</v>
      </c>
    </row>
    <row r="184" spans="2:20" x14ac:dyDescent="0.2">
      <c r="E184" s="8"/>
      <c r="F184" s="8"/>
      <c r="H184" s="382"/>
      <c r="I184" s="383"/>
      <c r="J184" s="383"/>
      <c r="K184" s="383"/>
      <c r="L184" s="383"/>
      <c r="M184" s="383"/>
      <c r="N184" s="383"/>
      <c r="O184" s="383"/>
      <c r="P184" s="383"/>
      <c r="Q184" s="383"/>
      <c r="R184" s="383"/>
      <c r="S184" s="383"/>
      <c r="T184" s="395"/>
    </row>
    <row r="185" spans="2:20" ht="20" x14ac:dyDescent="0.2">
      <c r="B185" s="116" t="s">
        <v>35</v>
      </c>
      <c r="C185" s="327"/>
      <c r="D185" s="327"/>
      <c r="E185" s="327" t="str">
        <f>$E$3</f>
        <v>Year 3 (2022)</v>
      </c>
      <c r="F185" s="327"/>
      <c r="G185" s="327"/>
      <c r="H185" s="360" t="s">
        <v>127</v>
      </c>
      <c r="I185" s="361" t="s">
        <v>128</v>
      </c>
      <c r="J185" s="361" t="s">
        <v>129</v>
      </c>
      <c r="K185" s="361" t="s">
        <v>130</v>
      </c>
      <c r="L185" s="361" t="s">
        <v>131</v>
      </c>
      <c r="M185" s="361" t="s">
        <v>132</v>
      </c>
      <c r="N185" s="361" t="s">
        <v>133</v>
      </c>
      <c r="O185" s="361" t="s">
        <v>134</v>
      </c>
      <c r="P185" s="361" t="s">
        <v>135</v>
      </c>
      <c r="Q185" s="361" t="s">
        <v>136</v>
      </c>
      <c r="R185" s="361" t="s">
        <v>137</v>
      </c>
      <c r="S185" s="361" t="s">
        <v>138</v>
      </c>
      <c r="T185" s="362" t="s">
        <v>179</v>
      </c>
    </row>
    <row r="186" spans="2:20" x14ac:dyDescent="0.2">
      <c r="B186" s="401"/>
      <c r="C186" s="402"/>
      <c r="D186" s="402"/>
      <c r="E186" s="402"/>
      <c r="F186" s="402"/>
      <c r="G186" s="403" t="s">
        <v>57</v>
      </c>
      <c r="H186" s="363">
        <f>H$4</f>
        <v>25</v>
      </c>
      <c r="I186" s="364">
        <f t="shared" ref="I186:S186" si="81">I$4</f>
        <v>26</v>
      </c>
      <c r="J186" s="364">
        <f t="shared" si="81"/>
        <v>27</v>
      </c>
      <c r="K186" s="364">
        <f t="shared" si="81"/>
        <v>28</v>
      </c>
      <c r="L186" s="364">
        <f t="shared" si="81"/>
        <v>29</v>
      </c>
      <c r="M186" s="364">
        <f t="shared" si="81"/>
        <v>30</v>
      </c>
      <c r="N186" s="364">
        <f t="shared" si="81"/>
        <v>31</v>
      </c>
      <c r="O186" s="364">
        <f t="shared" si="81"/>
        <v>32</v>
      </c>
      <c r="P186" s="364">
        <f t="shared" si="81"/>
        <v>33</v>
      </c>
      <c r="Q186" s="364">
        <f t="shared" si="81"/>
        <v>34</v>
      </c>
      <c r="R186" s="364">
        <f t="shared" si="81"/>
        <v>35</v>
      </c>
      <c r="S186" s="364">
        <f t="shared" si="81"/>
        <v>36</v>
      </c>
      <c r="T186" s="405" t="str">
        <f>"Total for " &amp; $E$3</f>
        <v>Total for Year 3 (2022)</v>
      </c>
    </row>
    <row r="187" spans="2:20" x14ac:dyDescent="0.2">
      <c r="B187" s="307" t="s">
        <v>289</v>
      </c>
      <c r="D187" s="8" t="s">
        <v>242</v>
      </c>
      <c r="E187" s="52" t="s">
        <v>241</v>
      </c>
      <c r="G187" s="8"/>
      <c r="H187" s="367"/>
      <c r="I187" s="368"/>
      <c r="J187" s="368"/>
      <c r="K187" s="368"/>
      <c r="L187" s="368"/>
      <c r="M187" s="368"/>
      <c r="N187" s="368"/>
      <c r="O187" s="368"/>
      <c r="P187" s="368"/>
      <c r="Q187" s="368"/>
      <c r="R187" s="368"/>
      <c r="S187" s="368"/>
      <c r="T187" s="427"/>
    </row>
    <row r="188" spans="2:20" x14ac:dyDescent="0.2">
      <c r="B188" s="428"/>
      <c r="C188" t="s">
        <v>238</v>
      </c>
      <c r="D188" s="453">
        <f>'Year 2'!D188</f>
        <v>1</v>
      </c>
      <c r="E188" s="452">
        <v>100000</v>
      </c>
      <c r="G188" s="8"/>
      <c r="H188" s="379">
        <f>IFERROR(INDEX($D188:$F188,MATCH(H$186,$D188,FALSE),2),0)</f>
        <v>0</v>
      </c>
      <c r="I188" s="380">
        <f t="shared" ref="I188:S188" si="82">IFERROR(INDEX($D188:$F188,MATCH(I$186,$D188,FALSE),2),0)</f>
        <v>0</v>
      </c>
      <c r="J188" s="380">
        <f t="shared" si="82"/>
        <v>0</v>
      </c>
      <c r="K188" s="380">
        <f t="shared" si="82"/>
        <v>0</v>
      </c>
      <c r="L188" s="380">
        <f t="shared" si="82"/>
        <v>0</v>
      </c>
      <c r="M188" s="380">
        <f t="shared" si="82"/>
        <v>0</v>
      </c>
      <c r="N188" s="380">
        <f t="shared" si="82"/>
        <v>0</v>
      </c>
      <c r="O188" s="380">
        <f t="shared" si="82"/>
        <v>0</v>
      </c>
      <c r="P188" s="380">
        <f t="shared" si="82"/>
        <v>0</v>
      </c>
      <c r="Q188" s="380">
        <f t="shared" si="82"/>
        <v>0</v>
      </c>
      <c r="R188" s="380">
        <f t="shared" si="82"/>
        <v>0</v>
      </c>
      <c r="S188" s="380">
        <f t="shared" si="82"/>
        <v>0</v>
      </c>
      <c r="T188" s="417">
        <f>SUM(H188:S188)</f>
        <v>0</v>
      </c>
    </row>
    <row r="189" spans="2:20" x14ac:dyDescent="0.2">
      <c r="B189" s="428"/>
      <c r="C189" t="s">
        <v>239</v>
      </c>
      <c r="D189" s="453">
        <f>'Year 2'!D189</f>
        <v>1</v>
      </c>
      <c r="E189" s="452">
        <v>1200000</v>
      </c>
      <c r="G189" s="8"/>
      <c r="H189" s="379">
        <f t="shared" ref="H189:S191" si="83">IFERROR(INDEX($D189:$F189,MATCH(H$186,$D189,FALSE),2),0)</f>
        <v>0</v>
      </c>
      <c r="I189" s="380">
        <f t="shared" si="83"/>
        <v>0</v>
      </c>
      <c r="J189" s="380">
        <f t="shared" si="83"/>
        <v>0</v>
      </c>
      <c r="K189" s="380">
        <f t="shared" si="83"/>
        <v>0</v>
      </c>
      <c r="L189" s="380">
        <f t="shared" si="83"/>
        <v>0</v>
      </c>
      <c r="M189" s="380">
        <f t="shared" si="83"/>
        <v>0</v>
      </c>
      <c r="N189" s="380">
        <f t="shared" si="83"/>
        <v>0</v>
      </c>
      <c r="O189" s="380">
        <f t="shared" si="83"/>
        <v>0</v>
      </c>
      <c r="P189" s="380">
        <f t="shared" si="83"/>
        <v>0</v>
      </c>
      <c r="Q189" s="380">
        <f t="shared" si="83"/>
        <v>0</v>
      </c>
      <c r="R189" s="380">
        <f t="shared" si="83"/>
        <v>0</v>
      </c>
      <c r="S189" s="380">
        <f t="shared" si="83"/>
        <v>0</v>
      </c>
      <c r="T189" s="417">
        <f t="shared" ref="T189:T191" si="84">SUM(H189:S189)</f>
        <v>0</v>
      </c>
    </row>
    <row r="190" spans="2:20" x14ac:dyDescent="0.2">
      <c r="B190" s="428"/>
      <c r="C190" t="s">
        <v>240</v>
      </c>
      <c r="D190" s="453">
        <f>'Year 2'!D190</f>
        <v>6</v>
      </c>
      <c r="E190" s="452">
        <v>23000</v>
      </c>
      <c r="G190" s="8"/>
      <c r="H190" s="379">
        <f t="shared" si="83"/>
        <v>0</v>
      </c>
      <c r="I190" s="380">
        <f t="shared" si="83"/>
        <v>0</v>
      </c>
      <c r="J190" s="380">
        <f t="shared" si="83"/>
        <v>0</v>
      </c>
      <c r="K190" s="380">
        <f t="shared" si="83"/>
        <v>0</v>
      </c>
      <c r="L190" s="380">
        <f t="shared" si="83"/>
        <v>0</v>
      </c>
      <c r="M190" s="380">
        <f t="shared" si="83"/>
        <v>0</v>
      </c>
      <c r="N190" s="380">
        <f t="shared" si="83"/>
        <v>0</v>
      </c>
      <c r="O190" s="380">
        <f t="shared" si="83"/>
        <v>0</v>
      </c>
      <c r="P190" s="380">
        <f t="shared" si="83"/>
        <v>0</v>
      </c>
      <c r="Q190" s="380">
        <f t="shared" si="83"/>
        <v>0</v>
      </c>
      <c r="R190" s="380">
        <f t="shared" si="83"/>
        <v>0</v>
      </c>
      <c r="S190" s="380">
        <f t="shared" si="83"/>
        <v>0</v>
      </c>
      <c r="T190" s="417">
        <f t="shared" si="84"/>
        <v>0</v>
      </c>
    </row>
    <row r="191" spans="2:20" x14ac:dyDescent="0.2">
      <c r="B191" s="428"/>
      <c r="C191" t="s">
        <v>24</v>
      </c>
      <c r="D191" s="453">
        <f>'Year 2'!D191</f>
        <v>2</v>
      </c>
      <c r="E191" s="452">
        <v>3000</v>
      </c>
      <c r="G191" s="8"/>
      <c r="H191" s="379">
        <f t="shared" si="83"/>
        <v>0</v>
      </c>
      <c r="I191" s="380">
        <f t="shared" si="83"/>
        <v>0</v>
      </c>
      <c r="J191" s="380">
        <f t="shared" si="83"/>
        <v>0</v>
      </c>
      <c r="K191" s="380">
        <f t="shared" si="83"/>
        <v>0</v>
      </c>
      <c r="L191" s="380">
        <f t="shared" si="83"/>
        <v>0</v>
      </c>
      <c r="M191" s="380">
        <f t="shared" si="83"/>
        <v>0</v>
      </c>
      <c r="N191" s="380">
        <f t="shared" si="83"/>
        <v>0</v>
      </c>
      <c r="O191" s="380">
        <f t="shared" si="83"/>
        <v>0</v>
      </c>
      <c r="P191" s="380">
        <f t="shared" si="83"/>
        <v>0</v>
      </c>
      <c r="Q191" s="380">
        <f t="shared" si="83"/>
        <v>0</v>
      </c>
      <c r="R191" s="380">
        <f t="shared" si="83"/>
        <v>0</v>
      </c>
      <c r="S191" s="380">
        <f t="shared" si="83"/>
        <v>0</v>
      </c>
      <c r="T191" s="417">
        <f t="shared" si="84"/>
        <v>0</v>
      </c>
    </row>
    <row r="192" spans="2:20" ht="16" customHeight="1" x14ac:dyDescent="0.2">
      <c r="B192" s="428"/>
      <c r="D192" s="37"/>
      <c r="E192" s="53"/>
      <c r="G192" s="8"/>
      <c r="H192" s="367"/>
      <c r="I192" s="368"/>
      <c r="J192" s="368"/>
      <c r="K192" s="396"/>
      <c r="L192" s="368"/>
      <c r="M192" s="368"/>
      <c r="N192" s="397"/>
      <c r="O192" s="368"/>
      <c r="P192" s="368"/>
      <c r="Q192" s="368"/>
      <c r="R192" s="368"/>
      <c r="S192" s="368"/>
      <c r="T192" s="427"/>
    </row>
    <row r="193" spans="2:20" x14ac:dyDescent="0.2">
      <c r="B193" s="307" t="s">
        <v>288</v>
      </c>
      <c r="D193" s="52" t="s">
        <v>241</v>
      </c>
      <c r="E193" s="8" t="s">
        <v>242</v>
      </c>
      <c r="F193" t="s">
        <v>243</v>
      </c>
      <c r="G193" s="8"/>
      <c r="H193" s="367"/>
      <c r="I193" s="368"/>
      <c r="J193" s="368"/>
      <c r="K193" s="368"/>
      <c r="L193" s="368"/>
      <c r="M193" s="368"/>
      <c r="N193" s="368"/>
      <c r="O193" s="368"/>
      <c r="P193" s="368"/>
      <c r="Q193" s="368"/>
      <c r="R193" s="368"/>
      <c r="S193" s="368"/>
      <c r="T193" s="427"/>
    </row>
    <row r="194" spans="2:20" x14ac:dyDescent="0.2">
      <c r="B194" s="308"/>
      <c r="C194" t="s">
        <v>238</v>
      </c>
      <c r="D194" s="452">
        <f>'Year 2'!$D194</f>
        <v>1200</v>
      </c>
      <c r="E194" s="453">
        <f>CEILING('Year 2'!$S$186,$F194)+'Year 2'!$E194-IFERROR(FLOOR('Year 2'!$E194,F194),0)</f>
        <v>29</v>
      </c>
      <c r="F194" s="453">
        <f>'Year 2'!$F194</f>
        <v>7</v>
      </c>
      <c r="H194" s="379">
        <f>IFERROR(IF(INT((H$186-$E194)/$F194)=(H$186-$E194)/$F194,$D194,0),0)</f>
        <v>0</v>
      </c>
      <c r="I194" s="380">
        <f t="shared" ref="I194:S199" si="85">IF(I$186=$E194,$D194,IFERROR(IF(INT((I$186-$E194)/$F194)=(I$186-$E194)/$F194,$D194,0),0))</f>
        <v>0</v>
      </c>
      <c r="J194" s="380">
        <f t="shared" si="85"/>
        <v>0</v>
      </c>
      <c r="K194" s="380">
        <f t="shared" si="85"/>
        <v>0</v>
      </c>
      <c r="L194" s="380">
        <f t="shared" si="85"/>
        <v>1200</v>
      </c>
      <c r="M194" s="380">
        <f t="shared" si="85"/>
        <v>0</v>
      </c>
      <c r="N194" s="380">
        <f t="shared" si="85"/>
        <v>0</v>
      </c>
      <c r="O194" s="380">
        <f t="shared" si="85"/>
        <v>0</v>
      </c>
      <c r="P194" s="380">
        <f t="shared" si="85"/>
        <v>0</v>
      </c>
      <c r="Q194" s="380">
        <f t="shared" si="85"/>
        <v>0</v>
      </c>
      <c r="R194" s="380">
        <f t="shared" si="85"/>
        <v>0</v>
      </c>
      <c r="S194" s="380">
        <f t="shared" si="85"/>
        <v>1200</v>
      </c>
      <c r="T194" s="417">
        <f t="shared" ref="T194:T199" si="86">SUM(H194:S194)</f>
        <v>2400</v>
      </c>
    </row>
    <row r="195" spans="2:20" x14ac:dyDescent="0.2">
      <c r="B195" s="308"/>
      <c r="C195" t="s">
        <v>239</v>
      </c>
      <c r="D195" s="452">
        <f>'Year 2'!$D195</f>
        <v>1000</v>
      </c>
      <c r="E195" s="453">
        <f>CEILING('Year 2'!$S$186,$F195)+'Year 2'!$E195-IFERROR(FLOOR('Year 2'!$E195,F195),0)</f>
        <v>28</v>
      </c>
      <c r="F195" s="453">
        <f>'Year 2'!$F195</f>
        <v>5</v>
      </c>
      <c r="H195" s="379">
        <f t="shared" ref="H195:H199" si="87">IF(H$186=$E195,$D195,IFERROR(IF(INT((H$186-$E195)/$F195)=(H$186-$E195)/$F195,$D195,0),0))</f>
        <v>0</v>
      </c>
      <c r="I195" s="380">
        <f t="shared" si="85"/>
        <v>0</v>
      </c>
      <c r="J195" s="380">
        <f t="shared" si="85"/>
        <v>0</v>
      </c>
      <c r="K195" s="380">
        <f t="shared" si="85"/>
        <v>1000</v>
      </c>
      <c r="L195" s="380">
        <f t="shared" si="85"/>
        <v>0</v>
      </c>
      <c r="M195" s="380">
        <f t="shared" si="85"/>
        <v>0</v>
      </c>
      <c r="N195" s="380">
        <f t="shared" si="85"/>
        <v>0</v>
      </c>
      <c r="O195" s="380">
        <f t="shared" si="85"/>
        <v>0</v>
      </c>
      <c r="P195" s="380">
        <f t="shared" si="85"/>
        <v>1000</v>
      </c>
      <c r="Q195" s="380">
        <f t="shared" si="85"/>
        <v>0</v>
      </c>
      <c r="R195" s="380">
        <f t="shared" si="85"/>
        <v>0</v>
      </c>
      <c r="S195" s="380">
        <f t="shared" si="85"/>
        <v>0</v>
      </c>
      <c r="T195" s="417">
        <f t="shared" si="86"/>
        <v>2000</v>
      </c>
    </row>
    <row r="196" spans="2:20" x14ac:dyDescent="0.2">
      <c r="B196" s="308"/>
      <c r="C196" t="s">
        <v>240</v>
      </c>
      <c r="D196" s="452">
        <f>'Year 2'!$D196</f>
        <v>1000</v>
      </c>
      <c r="E196" s="453">
        <f>CEILING('Year 2'!$S$186,$F196)+'Year 2'!$E196-IFERROR(FLOOR('Year 2'!$E196,F196),0)</f>
        <v>25</v>
      </c>
      <c r="F196" s="453">
        <f>'Year 2'!$F196</f>
        <v>12</v>
      </c>
      <c r="H196" s="379">
        <f t="shared" si="87"/>
        <v>1000</v>
      </c>
      <c r="I196" s="380">
        <f t="shared" si="85"/>
        <v>0</v>
      </c>
      <c r="J196" s="380">
        <f t="shared" si="85"/>
        <v>0</v>
      </c>
      <c r="K196" s="380">
        <f t="shared" si="85"/>
        <v>0</v>
      </c>
      <c r="L196" s="380">
        <f t="shared" si="85"/>
        <v>0</v>
      </c>
      <c r="M196" s="380">
        <f t="shared" si="85"/>
        <v>0</v>
      </c>
      <c r="N196" s="380">
        <f t="shared" si="85"/>
        <v>0</v>
      </c>
      <c r="O196" s="380">
        <f t="shared" si="85"/>
        <v>0</v>
      </c>
      <c r="P196" s="380">
        <f t="shared" si="85"/>
        <v>0</v>
      </c>
      <c r="Q196" s="380">
        <f t="shared" si="85"/>
        <v>0</v>
      </c>
      <c r="R196" s="380">
        <f t="shared" si="85"/>
        <v>0</v>
      </c>
      <c r="S196" s="380">
        <f t="shared" si="85"/>
        <v>0</v>
      </c>
      <c r="T196" s="417">
        <f t="shared" si="86"/>
        <v>1000</v>
      </c>
    </row>
    <row r="197" spans="2:20" x14ac:dyDescent="0.2">
      <c r="B197" s="308"/>
      <c r="C197" t="s">
        <v>36</v>
      </c>
      <c r="D197" s="452">
        <f>'Year 2'!$D197</f>
        <v>3000</v>
      </c>
      <c r="E197" s="453">
        <f>CEILING('Year 2'!$S$186,$F197)+'Year 2'!$E197-IFERROR(FLOOR('Year 2'!$E197,F197),0)</f>
        <v>25</v>
      </c>
      <c r="F197" s="453">
        <f>'Year 2'!$F197</f>
        <v>6</v>
      </c>
      <c r="H197" s="379">
        <f t="shared" si="87"/>
        <v>3000</v>
      </c>
      <c r="I197" s="380">
        <f t="shared" si="85"/>
        <v>0</v>
      </c>
      <c r="J197" s="380">
        <f t="shared" si="85"/>
        <v>0</v>
      </c>
      <c r="K197" s="380">
        <f t="shared" si="85"/>
        <v>0</v>
      </c>
      <c r="L197" s="380">
        <f t="shared" si="85"/>
        <v>0</v>
      </c>
      <c r="M197" s="380">
        <f t="shared" si="85"/>
        <v>0</v>
      </c>
      <c r="N197" s="380">
        <f t="shared" si="85"/>
        <v>3000</v>
      </c>
      <c r="O197" s="380">
        <f t="shared" si="85"/>
        <v>0</v>
      </c>
      <c r="P197" s="380">
        <f t="shared" si="85"/>
        <v>0</v>
      </c>
      <c r="Q197" s="380">
        <f t="shared" si="85"/>
        <v>0</v>
      </c>
      <c r="R197" s="380">
        <f t="shared" si="85"/>
        <v>0</v>
      </c>
      <c r="S197" s="380">
        <f t="shared" si="85"/>
        <v>0</v>
      </c>
      <c r="T197" s="417">
        <f t="shared" si="86"/>
        <v>6000</v>
      </c>
    </row>
    <row r="198" spans="2:20" x14ac:dyDescent="0.2">
      <c r="B198" s="308"/>
      <c r="C198" t="s">
        <v>37</v>
      </c>
      <c r="D198" s="452">
        <f>'Year 2'!$D198</f>
        <v>900</v>
      </c>
      <c r="E198" s="453">
        <f>CEILING('Year 2'!$S$186,$F198)+'Year 2'!$E198-IFERROR(FLOOR('Year 2'!$E198,F198),0)</f>
        <v>1</v>
      </c>
      <c r="F198" s="453">
        <f>'Year 2'!$F198</f>
        <v>0</v>
      </c>
      <c r="H198" s="379">
        <f t="shared" si="87"/>
        <v>0</v>
      </c>
      <c r="I198" s="380">
        <f t="shared" si="85"/>
        <v>0</v>
      </c>
      <c r="J198" s="380">
        <f t="shared" si="85"/>
        <v>0</v>
      </c>
      <c r="K198" s="380">
        <f t="shared" si="85"/>
        <v>0</v>
      </c>
      <c r="L198" s="380">
        <f t="shared" si="85"/>
        <v>0</v>
      </c>
      <c r="M198" s="380">
        <f t="shared" si="85"/>
        <v>0</v>
      </c>
      <c r="N198" s="380">
        <f t="shared" si="85"/>
        <v>0</v>
      </c>
      <c r="O198" s="380">
        <f t="shared" si="85"/>
        <v>0</v>
      </c>
      <c r="P198" s="380">
        <f t="shared" si="85"/>
        <v>0</v>
      </c>
      <c r="Q198" s="380">
        <f t="shared" si="85"/>
        <v>0</v>
      </c>
      <c r="R198" s="380">
        <f t="shared" si="85"/>
        <v>0</v>
      </c>
      <c r="S198" s="380">
        <f t="shared" si="85"/>
        <v>0</v>
      </c>
      <c r="T198" s="417">
        <f t="shared" si="86"/>
        <v>0</v>
      </c>
    </row>
    <row r="199" spans="2:20" ht="17" thickBot="1" x14ac:dyDescent="0.25">
      <c r="B199" s="308"/>
      <c r="C199" s="24" t="s">
        <v>38</v>
      </c>
      <c r="D199" s="452">
        <f>'Year 2'!$D199</f>
        <v>15000</v>
      </c>
      <c r="E199" s="453">
        <f>CEILING('Year 2'!$S$186,$F199)+'Year 2'!$E199-IFERROR(FLOOR('Year 2'!$E199,F199),0)</f>
        <v>25</v>
      </c>
      <c r="F199" s="453">
        <f>'Year 2'!$F199</f>
        <v>24</v>
      </c>
      <c r="H199" s="379">
        <f t="shared" si="87"/>
        <v>15000</v>
      </c>
      <c r="I199" s="380">
        <f t="shared" si="85"/>
        <v>0</v>
      </c>
      <c r="J199" s="380">
        <f t="shared" si="85"/>
        <v>0</v>
      </c>
      <c r="K199" s="380">
        <f t="shared" si="85"/>
        <v>0</v>
      </c>
      <c r="L199" s="380">
        <f t="shared" si="85"/>
        <v>0</v>
      </c>
      <c r="M199" s="380">
        <f t="shared" si="85"/>
        <v>0</v>
      </c>
      <c r="N199" s="380">
        <f t="shared" si="85"/>
        <v>0</v>
      </c>
      <c r="O199" s="380">
        <f t="shared" si="85"/>
        <v>0</v>
      </c>
      <c r="P199" s="380">
        <f t="shared" si="85"/>
        <v>0</v>
      </c>
      <c r="Q199" s="380">
        <f t="shared" si="85"/>
        <v>0</v>
      </c>
      <c r="R199" s="380">
        <f t="shared" si="85"/>
        <v>0</v>
      </c>
      <c r="S199" s="380">
        <f t="shared" si="85"/>
        <v>0</v>
      </c>
      <c r="T199" s="417">
        <f t="shared" si="86"/>
        <v>15000</v>
      </c>
    </row>
    <row r="200" spans="2:20" ht="17" thickTop="1" x14ac:dyDescent="0.2">
      <c r="B200" s="250" t="s">
        <v>39</v>
      </c>
      <c r="C200" s="237"/>
      <c r="D200" s="237"/>
      <c r="E200" s="237"/>
      <c r="F200" s="237"/>
      <c r="G200" s="237"/>
      <c r="H200" s="239">
        <f>SUM(H188:H199)</f>
        <v>19000</v>
      </c>
      <c r="I200" s="240">
        <f t="shared" ref="I200:S200" si="88">SUM(I188:I199)</f>
        <v>0</v>
      </c>
      <c r="J200" s="240">
        <f t="shared" si="88"/>
        <v>0</v>
      </c>
      <c r="K200" s="240">
        <f t="shared" si="88"/>
        <v>1000</v>
      </c>
      <c r="L200" s="240">
        <f t="shared" si="88"/>
        <v>1200</v>
      </c>
      <c r="M200" s="240">
        <f t="shared" si="88"/>
        <v>0</v>
      </c>
      <c r="N200" s="240">
        <f t="shared" si="88"/>
        <v>3000</v>
      </c>
      <c r="O200" s="240">
        <f t="shared" si="88"/>
        <v>0</v>
      </c>
      <c r="P200" s="240">
        <f t="shared" si="88"/>
        <v>1000</v>
      </c>
      <c r="Q200" s="240">
        <f t="shared" si="88"/>
        <v>0</v>
      </c>
      <c r="R200" s="240">
        <f t="shared" si="88"/>
        <v>0</v>
      </c>
      <c r="S200" s="240">
        <f t="shared" si="88"/>
        <v>1200</v>
      </c>
      <c r="T200" s="251">
        <f>SUM(H200:S200)</f>
        <v>26400</v>
      </c>
    </row>
    <row r="201" spans="2:20" x14ac:dyDescent="0.2">
      <c r="H201" s="367"/>
      <c r="I201" s="368"/>
      <c r="J201" s="368"/>
      <c r="K201" s="368"/>
      <c r="L201" s="368"/>
      <c r="M201" s="368"/>
      <c r="N201" s="368"/>
      <c r="O201" s="368"/>
      <c r="P201" s="368"/>
      <c r="Q201" s="368"/>
      <c r="R201" s="368"/>
      <c r="S201" s="368"/>
      <c r="T201" s="381"/>
    </row>
    <row r="202" spans="2:20" ht="20" x14ac:dyDescent="0.2">
      <c r="B202" s="116" t="s">
        <v>41</v>
      </c>
      <c r="C202" s="327"/>
      <c r="D202" s="327"/>
      <c r="E202" s="327" t="str">
        <f>$E$3</f>
        <v>Year 3 (2022)</v>
      </c>
      <c r="F202" s="327"/>
      <c r="G202" s="327"/>
      <c r="H202" s="360" t="s">
        <v>127</v>
      </c>
      <c r="I202" s="361" t="s">
        <v>128</v>
      </c>
      <c r="J202" s="361" t="s">
        <v>129</v>
      </c>
      <c r="K202" s="361" t="s">
        <v>130</v>
      </c>
      <c r="L202" s="361" t="s">
        <v>131</v>
      </c>
      <c r="M202" s="361" t="s">
        <v>132</v>
      </c>
      <c r="N202" s="361" t="s">
        <v>133</v>
      </c>
      <c r="O202" s="361" t="s">
        <v>134</v>
      </c>
      <c r="P202" s="361" t="s">
        <v>135</v>
      </c>
      <c r="Q202" s="361" t="s">
        <v>136</v>
      </c>
      <c r="R202" s="361" t="s">
        <v>137</v>
      </c>
      <c r="S202" s="361" t="s">
        <v>138</v>
      </c>
      <c r="T202" s="362" t="s">
        <v>179</v>
      </c>
    </row>
    <row r="203" spans="2:20" x14ac:dyDescent="0.2">
      <c r="B203" s="401"/>
      <c r="C203" s="402"/>
      <c r="D203" s="402"/>
      <c r="E203" s="402"/>
      <c r="F203" s="402"/>
      <c r="G203" s="403" t="s">
        <v>57</v>
      </c>
      <c r="H203" s="363">
        <f>H$4</f>
        <v>25</v>
      </c>
      <c r="I203" s="364">
        <f t="shared" ref="I203:S203" si="89">I$4</f>
        <v>26</v>
      </c>
      <c r="J203" s="364">
        <f t="shared" si="89"/>
        <v>27</v>
      </c>
      <c r="K203" s="364">
        <f t="shared" si="89"/>
        <v>28</v>
      </c>
      <c r="L203" s="364">
        <f t="shared" si="89"/>
        <v>29</v>
      </c>
      <c r="M203" s="364">
        <f t="shared" si="89"/>
        <v>30</v>
      </c>
      <c r="N203" s="364">
        <f t="shared" si="89"/>
        <v>31</v>
      </c>
      <c r="O203" s="364">
        <f t="shared" si="89"/>
        <v>32</v>
      </c>
      <c r="P203" s="364">
        <f t="shared" si="89"/>
        <v>33</v>
      </c>
      <c r="Q203" s="364">
        <f t="shared" si="89"/>
        <v>34</v>
      </c>
      <c r="R203" s="364">
        <f t="shared" si="89"/>
        <v>35</v>
      </c>
      <c r="S203" s="364">
        <f t="shared" si="89"/>
        <v>36</v>
      </c>
      <c r="T203" s="405" t="str">
        <f>"Total for " &amp; $E$3</f>
        <v>Total for Year 3 (2022)</v>
      </c>
    </row>
    <row r="204" spans="2:20" x14ac:dyDescent="0.2">
      <c r="B204" s="307" t="s">
        <v>149</v>
      </c>
      <c r="E204" s="24" t="s">
        <v>42</v>
      </c>
      <c r="H204" s="367"/>
      <c r="I204" s="368"/>
      <c r="J204" s="368"/>
      <c r="K204" s="368"/>
      <c r="L204" s="368"/>
      <c r="M204" s="368"/>
      <c r="N204" s="368"/>
      <c r="O204" s="368"/>
      <c r="P204" s="368"/>
      <c r="Q204" s="368"/>
      <c r="R204" s="368"/>
      <c r="S204" s="368"/>
      <c r="T204" s="407"/>
    </row>
    <row r="205" spans="2:20" x14ac:dyDescent="0.2">
      <c r="B205" s="307"/>
      <c r="C205" t="str">
        <f>"Receivable days for "&amp;$B6</f>
        <v>Receivable days for Product Revenue</v>
      </c>
      <c r="E205" s="453">
        <f>'Year 2'!E205</f>
        <v>30</v>
      </c>
      <c r="H205" s="379">
        <f t="shared" ref="H205:S205" si="90">H$12*$E205/30</f>
        <v>19920</v>
      </c>
      <c r="I205" s="380">
        <f t="shared" si="90"/>
        <v>20520</v>
      </c>
      <c r="J205" s="380">
        <f t="shared" si="90"/>
        <v>21240</v>
      </c>
      <c r="K205" s="380">
        <f t="shared" si="90"/>
        <v>21840</v>
      </c>
      <c r="L205" s="380">
        <f t="shared" si="90"/>
        <v>22440</v>
      </c>
      <c r="M205" s="380">
        <f t="shared" si="90"/>
        <v>23160</v>
      </c>
      <c r="N205" s="380">
        <f t="shared" si="90"/>
        <v>23760</v>
      </c>
      <c r="O205" s="380">
        <f t="shared" si="90"/>
        <v>24360</v>
      </c>
      <c r="P205" s="380">
        <f t="shared" si="90"/>
        <v>25080</v>
      </c>
      <c r="Q205" s="380">
        <f t="shared" si="90"/>
        <v>25680</v>
      </c>
      <c r="R205" s="380">
        <f t="shared" si="90"/>
        <v>26280</v>
      </c>
      <c r="S205" s="380">
        <f t="shared" si="90"/>
        <v>27000</v>
      </c>
      <c r="T205" s="417">
        <f>SUM(H205:S205)</f>
        <v>281280</v>
      </c>
    </row>
    <row r="206" spans="2:20" x14ac:dyDescent="0.2">
      <c r="B206" s="307"/>
      <c r="C206" t="str">
        <f>"Receivable days for "&amp;$B14</f>
        <v>Receivable days for Service Revenue</v>
      </c>
      <c r="E206" s="453">
        <f>'Year 2'!E206</f>
        <v>0</v>
      </c>
      <c r="H206" s="379">
        <f t="shared" ref="H206:S206" si="91">H$20*$E206/30</f>
        <v>0</v>
      </c>
      <c r="I206" s="380">
        <f t="shared" si="91"/>
        <v>0</v>
      </c>
      <c r="J206" s="380">
        <f t="shared" si="91"/>
        <v>0</v>
      </c>
      <c r="K206" s="380">
        <f t="shared" si="91"/>
        <v>0</v>
      </c>
      <c r="L206" s="380">
        <f t="shared" si="91"/>
        <v>0</v>
      </c>
      <c r="M206" s="380">
        <f t="shared" si="91"/>
        <v>0</v>
      </c>
      <c r="N206" s="380">
        <f t="shared" si="91"/>
        <v>0</v>
      </c>
      <c r="O206" s="380">
        <f t="shared" si="91"/>
        <v>0</v>
      </c>
      <c r="P206" s="380">
        <f t="shared" si="91"/>
        <v>0</v>
      </c>
      <c r="Q206" s="380">
        <f t="shared" si="91"/>
        <v>0</v>
      </c>
      <c r="R206" s="380">
        <f t="shared" si="91"/>
        <v>0</v>
      </c>
      <c r="S206" s="380">
        <f t="shared" si="91"/>
        <v>0</v>
      </c>
      <c r="T206" s="417">
        <f t="shared" ref="T206:T208" si="92">SUM(H206:S206)</f>
        <v>0</v>
      </c>
    </row>
    <row r="207" spans="2:20" x14ac:dyDescent="0.2">
      <c r="B207" s="307"/>
      <c r="C207" t="str">
        <f>"Receivable days for "&amp;$B22</f>
        <v>Receivable days for Billable Hours Revenue</v>
      </c>
      <c r="E207" s="453">
        <f>'Year 2'!E207</f>
        <v>15</v>
      </c>
      <c r="H207" s="379">
        <f t="shared" ref="H207:S207" si="93">H$28*$E207/30</f>
        <v>7350</v>
      </c>
      <c r="I207" s="380">
        <f t="shared" si="93"/>
        <v>7650</v>
      </c>
      <c r="J207" s="380">
        <f t="shared" si="93"/>
        <v>8025</v>
      </c>
      <c r="K207" s="380">
        <f t="shared" si="93"/>
        <v>8400</v>
      </c>
      <c r="L207" s="380">
        <f t="shared" si="93"/>
        <v>8700</v>
      </c>
      <c r="M207" s="380">
        <f t="shared" si="93"/>
        <v>9075</v>
      </c>
      <c r="N207" s="380">
        <f t="shared" si="93"/>
        <v>9450</v>
      </c>
      <c r="O207" s="380">
        <f t="shared" si="93"/>
        <v>9825</v>
      </c>
      <c r="P207" s="380">
        <f t="shared" si="93"/>
        <v>10125</v>
      </c>
      <c r="Q207" s="380">
        <f t="shared" si="93"/>
        <v>10500</v>
      </c>
      <c r="R207" s="380">
        <f t="shared" si="93"/>
        <v>10875</v>
      </c>
      <c r="S207" s="380">
        <f t="shared" si="93"/>
        <v>11227.5</v>
      </c>
      <c r="T207" s="417">
        <f t="shared" si="92"/>
        <v>111202.5</v>
      </c>
    </row>
    <row r="208" spans="2:20" ht="17" thickBot="1" x14ac:dyDescent="0.25">
      <c r="B208" s="308"/>
      <c r="C208" t="str">
        <f>"Receivable days for "&amp;$B30</f>
        <v>Receivable days for Subscription Revenue</v>
      </c>
      <c r="E208" s="453">
        <f>'Year 2'!E208</f>
        <v>30</v>
      </c>
      <c r="H208" s="379">
        <f t="shared" ref="H208:S208" si="94">H$39*$E208/30</f>
        <v>894</v>
      </c>
      <c r="I208" s="380">
        <f t="shared" si="94"/>
        <v>894</v>
      </c>
      <c r="J208" s="380">
        <f t="shared" si="94"/>
        <v>894</v>
      </c>
      <c r="K208" s="380">
        <f t="shared" si="94"/>
        <v>894</v>
      </c>
      <c r="L208" s="380">
        <f t="shared" si="94"/>
        <v>894</v>
      </c>
      <c r="M208" s="380">
        <f t="shared" si="94"/>
        <v>894</v>
      </c>
      <c r="N208" s="380">
        <f t="shared" si="94"/>
        <v>894</v>
      </c>
      <c r="O208" s="380">
        <f t="shared" si="94"/>
        <v>894</v>
      </c>
      <c r="P208" s="380">
        <f t="shared" si="94"/>
        <v>894</v>
      </c>
      <c r="Q208" s="380">
        <f t="shared" si="94"/>
        <v>894</v>
      </c>
      <c r="R208" s="380">
        <f t="shared" si="94"/>
        <v>894</v>
      </c>
      <c r="S208" s="380">
        <f t="shared" si="94"/>
        <v>894</v>
      </c>
      <c r="T208" s="417">
        <f t="shared" si="92"/>
        <v>10728</v>
      </c>
    </row>
    <row r="209" spans="2:20" ht="17" thickTop="1" x14ac:dyDescent="0.2">
      <c r="B209" s="418" t="s">
        <v>151</v>
      </c>
      <c r="C209" s="419"/>
      <c r="D209" s="419"/>
      <c r="E209" s="419"/>
      <c r="F209" s="419"/>
      <c r="G209" s="420"/>
      <c r="H209" s="421">
        <f>SUM(H205:H208)</f>
        <v>28164</v>
      </c>
      <c r="I209" s="422">
        <f t="shared" ref="I209:S209" si="95">SUM(I205:I208)</f>
        <v>29064</v>
      </c>
      <c r="J209" s="422">
        <f t="shared" si="95"/>
        <v>30159</v>
      </c>
      <c r="K209" s="422">
        <f t="shared" si="95"/>
        <v>31134</v>
      </c>
      <c r="L209" s="422">
        <f t="shared" si="95"/>
        <v>32034</v>
      </c>
      <c r="M209" s="422">
        <f t="shared" si="95"/>
        <v>33129</v>
      </c>
      <c r="N209" s="422">
        <f t="shared" si="95"/>
        <v>34104</v>
      </c>
      <c r="O209" s="422">
        <f t="shared" si="95"/>
        <v>35079</v>
      </c>
      <c r="P209" s="422">
        <f t="shared" si="95"/>
        <v>36099</v>
      </c>
      <c r="Q209" s="422">
        <f t="shared" si="95"/>
        <v>37074</v>
      </c>
      <c r="R209" s="422">
        <f t="shared" si="95"/>
        <v>38049</v>
      </c>
      <c r="S209" s="422">
        <f t="shared" si="95"/>
        <v>39121.5</v>
      </c>
      <c r="T209" s="423">
        <f>SUM(H209:S209)</f>
        <v>403210.5</v>
      </c>
    </row>
    <row r="210" spans="2:20" x14ac:dyDescent="0.2">
      <c r="B210" s="308"/>
      <c r="C210" s="40"/>
      <c r="E210" s="44"/>
      <c r="H210" s="379"/>
      <c r="I210" s="380"/>
      <c r="J210" s="380"/>
      <c r="K210" s="380"/>
      <c r="L210" s="380"/>
      <c r="M210" s="380"/>
      <c r="N210" s="380"/>
      <c r="O210" s="380"/>
      <c r="P210" s="380"/>
      <c r="Q210" s="380"/>
      <c r="R210" s="380"/>
      <c r="S210" s="380"/>
      <c r="T210" s="417"/>
    </row>
    <row r="211" spans="2:20" x14ac:dyDescent="0.2">
      <c r="B211" s="307" t="s">
        <v>371</v>
      </c>
      <c r="E211" t="s">
        <v>373</v>
      </c>
      <c r="G211" s="13"/>
      <c r="H211" s="370"/>
      <c r="I211" s="371"/>
      <c r="J211" s="371"/>
      <c r="K211" s="371"/>
      <c r="L211" s="371"/>
      <c r="M211" s="371"/>
      <c r="N211" s="371"/>
      <c r="O211" s="371"/>
      <c r="P211" s="371"/>
      <c r="Q211" s="371"/>
      <c r="R211" s="371"/>
      <c r="S211" s="372"/>
      <c r="T211" s="410"/>
    </row>
    <row r="212" spans="2:20" ht="17" thickBot="1" x14ac:dyDescent="0.25">
      <c r="B212" s="307"/>
      <c r="C212" t="s">
        <v>372</v>
      </c>
      <c r="E212" s="454">
        <v>0.3</v>
      </c>
      <c r="G212" s="13" t="s">
        <v>375</v>
      </c>
      <c r="H212" s="460"/>
      <c r="I212" s="461"/>
      <c r="J212" s="461"/>
      <c r="K212" s="461"/>
      <c r="L212" s="461"/>
      <c r="M212" s="461"/>
      <c r="N212" s="461"/>
      <c r="O212" s="461"/>
      <c r="P212" s="461"/>
      <c r="Q212" s="461"/>
      <c r="R212" s="461"/>
      <c r="S212" s="461"/>
      <c r="T212" s="417" t="str">
        <f>IF(SUM($H$212:$S$212)=0,"",SUM($H$212:$S$212))</f>
        <v/>
      </c>
    </row>
    <row r="213" spans="2:20" ht="17" thickTop="1" x14ac:dyDescent="0.2">
      <c r="B213" s="418" t="s">
        <v>374</v>
      </c>
      <c r="C213" s="419"/>
      <c r="D213" s="419"/>
      <c r="E213" s="419"/>
      <c r="F213" s="419"/>
      <c r="G213" s="420"/>
      <c r="H213" s="421">
        <f>IF(H$212="",$E$212*H$12,"")</f>
        <v>5976</v>
      </c>
      <c r="I213" s="422">
        <f t="shared" ref="I213:S213" si="96">IF(I$212="",$E$212*I$12,"")</f>
        <v>6156</v>
      </c>
      <c r="J213" s="422">
        <f t="shared" si="96"/>
        <v>6372</v>
      </c>
      <c r="K213" s="422">
        <f t="shared" si="96"/>
        <v>6552</v>
      </c>
      <c r="L213" s="422">
        <f t="shared" si="96"/>
        <v>6732</v>
      </c>
      <c r="M213" s="422">
        <f t="shared" si="96"/>
        <v>6948</v>
      </c>
      <c r="N213" s="422">
        <f t="shared" si="96"/>
        <v>7128</v>
      </c>
      <c r="O213" s="422">
        <f t="shared" si="96"/>
        <v>7308</v>
      </c>
      <c r="P213" s="422">
        <f t="shared" si="96"/>
        <v>7524</v>
      </c>
      <c r="Q213" s="422">
        <f t="shared" si="96"/>
        <v>7704</v>
      </c>
      <c r="R213" s="422">
        <f t="shared" si="96"/>
        <v>7884</v>
      </c>
      <c r="S213" s="422">
        <f t="shared" si="96"/>
        <v>8100</v>
      </c>
      <c r="T213" s="423">
        <f>IFERROR(SUM(H213:S213)+T212,SUM(H213:S213))</f>
        <v>84384</v>
      </c>
    </row>
    <row r="214" spans="2:20" x14ac:dyDescent="0.2">
      <c r="B214" s="308"/>
      <c r="C214" s="40"/>
      <c r="E214" s="44"/>
      <c r="H214" s="379"/>
      <c r="I214" s="380"/>
      <c r="J214" s="380"/>
      <c r="K214" s="380"/>
      <c r="L214" s="380"/>
      <c r="M214" s="380"/>
      <c r="N214" s="380"/>
      <c r="O214" s="380"/>
      <c r="P214" s="380"/>
      <c r="Q214" s="380"/>
      <c r="R214" s="380"/>
      <c r="S214" s="380"/>
      <c r="T214" s="417"/>
    </row>
    <row r="215" spans="2:20" x14ac:dyDescent="0.2">
      <c r="B215" s="307" t="s">
        <v>150</v>
      </c>
      <c r="C215" s="40"/>
      <c r="E215" s="24" t="s">
        <v>42</v>
      </c>
      <c r="H215" s="379"/>
      <c r="I215" s="380"/>
      <c r="J215" s="380"/>
      <c r="K215" s="380"/>
      <c r="L215" s="380"/>
      <c r="M215" s="380"/>
      <c r="N215" s="380"/>
      <c r="O215" s="380"/>
      <c r="P215" s="380"/>
      <c r="Q215" s="380"/>
      <c r="R215" s="380"/>
      <c r="S215" s="380"/>
      <c r="T215" s="417"/>
    </row>
    <row r="216" spans="2:20" x14ac:dyDescent="0.2">
      <c r="B216" s="307"/>
      <c r="C216" t="str">
        <f>"Payable Days for "&amp;$C56</f>
        <v>Payable Days for Commission on Product Revenue</v>
      </c>
      <c r="E216" s="453">
        <f>'Year 2'!E216</f>
        <v>14</v>
      </c>
      <c r="H216" s="379">
        <f t="shared" ref="H216:S216" si="97">H56*$E216/30</f>
        <v>278.88</v>
      </c>
      <c r="I216" s="380">
        <f t="shared" si="97"/>
        <v>287.27999999999997</v>
      </c>
      <c r="J216" s="380">
        <f t="shared" si="97"/>
        <v>297.35999999999996</v>
      </c>
      <c r="K216" s="380">
        <f t="shared" si="97"/>
        <v>305.76</v>
      </c>
      <c r="L216" s="380">
        <f t="shared" si="97"/>
        <v>314.15999999999997</v>
      </c>
      <c r="M216" s="380">
        <f t="shared" si="97"/>
        <v>324.23999999999995</v>
      </c>
      <c r="N216" s="380">
        <f t="shared" si="97"/>
        <v>332.64</v>
      </c>
      <c r="O216" s="380">
        <f t="shared" si="97"/>
        <v>341.03999999999996</v>
      </c>
      <c r="P216" s="380">
        <f t="shared" si="97"/>
        <v>351.12</v>
      </c>
      <c r="Q216" s="380">
        <f t="shared" si="97"/>
        <v>359.52000000000004</v>
      </c>
      <c r="R216" s="380">
        <f t="shared" si="97"/>
        <v>367.92</v>
      </c>
      <c r="S216" s="380">
        <f t="shared" si="97"/>
        <v>378</v>
      </c>
      <c r="T216" s="417">
        <f t="shared" ref="T216:T219" si="98">SUM(H216:S216)</f>
        <v>3937.92</v>
      </c>
    </row>
    <row r="217" spans="2:20" x14ac:dyDescent="0.2">
      <c r="B217" s="307"/>
      <c r="C217" t="str">
        <f>"Payable Days for "&amp;$C57</f>
        <v>Payable Days for Commission on Service Revenue</v>
      </c>
      <c r="E217" s="453">
        <f>'Year 2'!E217</f>
        <v>14</v>
      </c>
      <c r="H217" s="379">
        <f t="shared" ref="H217:S217" si="99">H57*$E217/30</f>
        <v>4.4800000000000004</v>
      </c>
      <c r="I217" s="380">
        <f t="shared" si="99"/>
        <v>4.666666666666667</v>
      </c>
      <c r="J217" s="380">
        <f t="shared" si="99"/>
        <v>4.8533333333333335</v>
      </c>
      <c r="K217" s="380">
        <f t="shared" si="99"/>
        <v>5.1333333333333337</v>
      </c>
      <c r="L217" s="380">
        <f t="shared" si="99"/>
        <v>5.3199999999999994</v>
      </c>
      <c r="M217" s="380">
        <f t="shared" si="99"/>
        <v>5.5066666666666668</v>
      </c>
      <c r="N217" s="380">
        <f t="shared" si="99"/>
        <v>5.6933333333333334</v>
      </c>
      <c r="O217" s="380">
        <f t="shared" si="99"/>
        <v>5.9733333333333336</v>
      </c>
      <c r="P217" s="380">
        <f t="shared" si="99"/>
        <v>6.16</v>
      </c>
      <c r="Q217" s="380">
        <f t="shared" si="99"/>
        <v>6.3466666666666667</v>
      </c>
      <c r="R217" s="380">
        <f t="shared" si="99"/>
        <v>6.5333333333333332</v>
      </c>
      <c r="S217" s="380">
        <f t="shared" si="99"/>
        <v>6.8133333333333335</v>
      </c>
      <c r="T217" s="417">
        <f t="shared" si="98"/>
        <v>67.48</v>
      </c>
    </row>
    <row r="218" spans="2:20" x14ac:dyDescent="0.2">
      <c r="B218" s="307"/>
      <c r="C218" t="str">
        <f>"Payable Days for "&amp;$C58</f>
        <v>Payable Days for Commission on Billable Hours Revenue</v>
      </c>
      <c r="E218" s="453">
        <f>'Year 2'!E218</f>
        <v>14</v>
      </c>
      <c r="H218" s="379">
        <f t="shared" ref="H218:S218" si="100">H58*$E218/30</f>
        <v>68.599999999999994</v>
      </c>
      <c r="I218" s="380">
        <f t="shared" si="100"/>
        <v>71.400000000000006</v>
      </c>
      <c r="J218" s="380">
        <f t="shared" si="100"/>
        <v>74.900000000000006</v>
      </c>
      <c r="K218" s="380">
        <f t="shared" si="100"/>
        <v>78.400000000000006</v>
      </c>
      <c r="L218" s="380">
        <f t="shared" si="100"/>
        <v>81.2</v>
      </c>
      <c r="M218" s="380">
        <f t="shared" si="100"/>
        <v>84.7</v>
      </c>
      <c r="N218" s="380">
        <f t="shared" si="100"/>
        <v>88.2</v>
      </c>
      <c r="O218" s="380">
        <f t="shared" si="100"/>
        <v>91.7</v>
      </c>
      <c r="P218" s="380">
        <f t="shared" si="100"/>
        <v>94.5</v>
      </c>
      <c r="Q218" s="380">
        <f t="shared" si="100"/>
        <v>98</v>
      </c>
      <c r="R218" s="380">
        <f t="shared" si="100"/>
        <v>101.5</v>
      </c>
      <c r="S218" s="380">
        <f t="shared" si="100"/>
        <v>104.79</v>
      </c>
      <c r="T218" s="417">
        <f t="shared" si="98"/>
        <v>1037.8900000000001</v>
      </c>
    </row>
    <row r="219" spans="2:20" x14ac:dyDescent="0.2">
      <c r="B219" s="307"/>
      <c r="C219" t="str">
        <f>"Payable Days for "&amp;$C59</f>
        <v>Payable Days for Commission on Subscription Revenue</v>
      </c>
      <c r="E219" s="453">
        <f>'Year 2'!E219</f>
        <v>14</v>
      </c>
      <c r="H219" s="379">
        <f t="shared" ref="H219:S219" si="101">H59*$E219/30</f>
        <v>16.687999999999999</v>
      </c>
      <c r="I219" s="380">
        <f t="shared" si="101"/>
        <v>16.687999999999999</v>
      </c>
      <c r="J219" s="380">
        <f t="shared" si="101"/>
        <v>16.687999999999999</v>
      </c>
      <c r="K219" s="380">
        <f t="shared" si="101"/>
        <v>16.687999999999999</v>
      </c>
      <c r="L219" s="380">
        <f t="shared" si="101"/>
        <v>16.687999999999999</v>
      </c>
      <c r="M219" s="380">
        <f t="shared" si="101"/>
        <v>16.687999999999999</v>
      </c>
      <c r="N219" s="380">
        <f t="shared" si="101"/>
        <v>16.687999999999999</v>
      </c>
      <c r="O219" s="380">
        <f t="shared" si="101"/>
        <v>16.687999999999999</v>
      </c>
      <c r="P219" s="380">
        <f t="shared" si="101"/>
        <v>16.687999999999999</v>
      </c>
      <c r="Q219" s="380">
        <f t="shared" si="101"/>
        <v>16.687999999999999</v>
      </c>
      <c r="R219" s="380">
        <f t="shared" si="101"/>
        <v>16.687999999999999</v>
      </c>
      <c r="S219" s="380">
        <f t="shared" si="101"/>
        <v>16.687999999999999</v>
      </c>
      <c r="T219" s="417">
        <f t="shared" si="98"/>
        <v>200.25599999999994</v>
      </c>
    </row>
    <row r="220" spans="2:20" x14ac:dyDescent="0.2">
      <c r="B220" s="308"/>
      <c r="C220" t="str">
        <f>"Payable Days for "&amp;$C70</f>
        <v>Payable Days for S&amp;M Expenses for Product Line</v>
      </c>
      <c r="E220" s="453">
        <f>'Year 2'!E220</f>
        <v>30</v>
      </c>
      <c r="H220" s="379">
        <f t="shared" ref="H220:S220" si="102">H70*$E220/30</f>
        <v>0</v>
      </c>
      <c r="I220" s="380">
        <f t="shared" si="102"/>
        <v>0</v>
      </c>
      <c r="J220" s="380">
        <f t="shared" si="102"/>
        <v>0</v>
      </c>
      <c r="K220" s="380">
        <f t="shared" si="102"/>
        <v>0</v>
      </c>
      <c r="L220" s="380">
        <f t="shared" si="102"/>
        <v>0</v>
      </c>
      <c r="M220" s="380">
        <f t="shared" si="102"/>
        <v>0</v>
      </c>
      <c r="N220" s="380">
        <f t="shared" si="102"/>
        <v>0</v>
      </c>
      <c r="O220" s="380">
        <f t="shared" si="102"/>
        <v>0</v>
      </c>
      <c r="P220" s="380">
        <f t="shared" si="102"/>
        <v>0</v>
      </c>
      <c r="Q220" s="380">
        <f t="shared" si="102"/>
        <v>0</v>
      </c>
      <c r="R220" s="380">
        <f t="shared" si="102"/>
        <v>0</v>
      </c>
      <c r="S220" s="380">
        <f t="shared" si="102"/>
        <v>0</v>
      </c>
      <c r="T220" s="417">
        <f>SUM(H220:S220)</f>
        <v>0</v>
      </c>
    </row>
    <row r="221" spans="2:20" x14ac:dyDescent="0.2">
      <c r="B221" s="308"/>
      <c r="C221" t="str">
        <f>"Payable Days for "&amp;$C71</f>
        <v>Payable Days for S&amp;M Expenses for Services Line</v>
      </c>
      <c r="E221" s="453">
        <f>'Year 2'!E221</f>
        <v>30</v>
      </c>
      <c r="H221" s="379">
        <f t="shared" ref="H221:S221" si="103">H71*$E221/30</f>
        <v>0</v>
      </c>
      <c r="I221" s="380">
        <f t="shared" si="103"/>
        <v>0</v>
      </c>
      <c r="J221" s="380">
        <f t="shared" si="103"/>
        <v>0</v>
      </c>
      <c r="K221" s="380">
        <f t="shared" si="103"/>
        <v>0</v>
      </c>
      <c r="L221" s="380">
        <f t="shared" si="103"/>
        <v>0</v>
      </c>
      <c r="M221" s="380">
        <f t="shared" si="103"/>
        <v>0</v>
      </c>
      <c r="N221" s="380">
        <f t="shared" si="103"/>
        <v>0</v>
      </c>
      <c r="O221" s="380">
        <f t="shared" si="103"/>
        <v>0</v>
      </c>
      <c r="P221" s="380">
        <f t="shared" si="103"/>
        <v>0</v>
      </c>
      <c r="Q221" s="380">
        <f t="shared" si="103"/>
        <v>0</v>
      </c>
      <c r="R221" s="380">
        <f t="shared" si="103"/>
        <v>0</v>
      </c>
      <c r="S221" s="380">
        <f t="shared" si="103"/>
        <v>0</v>
      </c>
      <c r="T221" s="417">
        <f t="shared" ref="T221:T245" si="104">SUM(H221:S221)</f>
        <v>0</v>
      </c>
    </row>
    <row r="222" spans="2:20" x14ac:dyDescent="0.2">
      <c r="B222" s="308"/>
      <c r="C222" t="str">
        <f>"Payable Days for "&amp;$C72</f>
        <v>Payable Days for S&amp;M Expenses for Billable Hours Line</v>
      </c>
      <c r="E222" s="453">
        <f>'Year 2'!E222</f>
        <v>0</v>
      </c>
      <c r="H222" s="379">
        <f t="shared" ref="H222:S222" si="105">H72*$E222/30</f>
        <v>0</v>
      </c>
      <c r="I222" s="380">
        <f t="shared" si="105"/>
        <v>0</v>
      </c>
      <c r="J222" s="380">
        <f t="shared" si="105"/>
        <v>0</v>
      </c>
      <c r="K222" s="380">
        <f t="shared" si="105"/>
        <v>0</v>
      </c>
      <c r="L222" s="380">
        <f t="shared" si="105"/>
        <v>0</v>
      </c>
      <c r="M222" s="380">
        <f t="shared" si="105"/>
        <v>0</v>
      </c>
      <c r="N222" s="380">
        <f t="shared" si="105"/>
        <v>0</v>
      </c>
      <c r="O222" s="380">
        <f t="shared" si="105"/>
        <v>0</v>
      </c>
      <c r="P222" s="380">
        <f t="shared" si="105"/>
        <v>0</v>
      </c>
      <c r="Q222" s="380">
        <f t="shared" si="105"/>
        <v>0</v>
      </c>
      <c r="R222" s="380">
        <f t="shared" si="105"/>
        <v>0</v>
      </c>
      <c r="S222" s="380">
        <f t="shared" si="105"/>
        <v>0</v>
      </c>
      <c r="T222" s="417">
        <f t="shared" si="104"/>
        <v>0</v>
      </c>
    </row>
    <row r="223" spans="2:20" x14ac:dyDescent="0.2">
      <c r="B223" s="308"/>
      <c r="C223" t="str">
        <f>"Payable Days for "&amp;$C73</f>
        <v>Payable Days for S&amp;M Expenses for Subscriptions Line</v>
      </c>
      <c r="E223" s="453">
        <f>'Year 2'!E223</f>
        <v>14</v>
      </c>
      <c r="H223" s="379">
        <f t="shared" ref="H223:S223" si="106">H73*$E223/30</f>
        <v>186.66666666666666</v>
      </c>
      <c r="I223" s="380">
        <f t="shared" si="106"/>
        <v>186.66666666666666</v>
      </c>
      <c r="J223" s="380">
        <f t="shared" si="106"/>
        <v>186.66666666666666</v>
      </c>
      <c r="K223" s="380">
        <f t="shared" si="106"/>
        <v>0</v>
      </c>
      <c r="L223" s="380">
        <f t="shared" si="106"/>
        <v>0</v>
      </c>
      <c r="M223" s="380">
        <f t="shared" si="106"/>
        <v>0</v>
      </c>
      <c r="N223" s="380">
        <f t="shared" si="106"/>
        <v>0</v>
      </c>
      <c r="O223" s="380">
        <f t="shared" si="106"/>
        <v>0</v>
      </c>
      <c r="P223" s="380">
        <f t="shared" si="106"/>
        <v>0</v>
      </c>
      <c r="Q223" s="380">
        <f t="shared" si="106"/>
        <v>0</v>
      </c>
      <c r="R223" s="380">
        <f t="shared" si="106"/>
        <v>0</v>
      </c>
      <c r="S223" s="380">
        <f t="shared" si="106"/>
        <v>0</v>
      </c>
      <c r="T223" s="417">
        <f t="shared" si="104"/>
        <v>560</v>
      </c>
    </row>
    <row r="224" spans="2:20" x14ac:dyDescent="0.2">
      <c r="B224" s="308"/>
      <c r="C224" t="str">
        <f t="shared" ref="C224:C242" si="107">"Payable Days for "&amp;$C121</f>
        <v>Payable Days for Advertising Campaigns</v>
      </c>
      <c r="E224" s="453">
        <f>'Year 2'!E224</f>
        <v>12</v>
      </c>
      <c r="H224" s="379">
        <f t="shared" ref="H224:S224" si="108">H121*$E224/30</f>
        <v>200</v>
      </c>
      <c r="I224" s="380">
        <f t="shared" si="108"/>
        <v>200</v>
      </c>
      <c r="J224" s="380">
        <f t="shared" si="108"/>
        <v>200</v>
      </c>
      <c r="K224" s="380">
        <f t="shared" si="108"/>
        <v>200</v>
      </c>
      <c r="L224" s="380">
        <f t="shared" si="108"/>
        <v>200</v>
      </c>
      <c r="M224" s="380">
        <f t="shared" si="108"/>
        <v>200</v>
      </c>
      <c r="N224" s="380">
        <f t="shared" si="108"/>
        <v>200</v>
      </c>
      <c r="O224" s="380">
        <f t="shared" si="108"/>
        <v>200</v>
      </c>
      <c r="P224" s="380">
        <f t="shared" si="108"/>
        <v>200</v>
      </c>
      <c r="Q224" s="380">
        <f t="shared" si="108"/>
        <v>200</v>
      </c>
      <c r="R224" s="380">
        <f t="shared" si="108"/>
        <v>200</v>
      </c>
      <c r="S224" s="380">
        <f t="shared" si="108"/>
        <v>200</v>
      </c>
      <c r="T224" s="417">
        <f t="shared" si="104"/>
        <v>2400</v>
      </c>
    </row>
    <row r="225" spans="2:20" x14ac:dyDescent="0.2">
      <c r="B225" s="308"/>
      <c r="C225" t="str">
        <f t="shared" si="107"/>
        <v>Payable Days for Car and Truck Expenses</v>
      </c>
      <c r="E225" s="453">
        <f>'Year 2'!E225</f>
        <v>12</v>
      </c>
      <c r="H225" s="379">
        <f t="shared" ref="H225:S225" si="109">H122*$E225/30</f>
        <v>240</v>
      </c>
      <c r="I225" s="380">
        <f t="shared" si="109"/>
        <v>240</v>
      </c>
      <c r="J225" s="380">
        <f t="shared" si="109"/>
        <v>240</v>
      </c>
      <c r="K225" s="380">
        <f t="shared" si="109"/>
        <v>240</v>
      </c>
      <c r="L225" s="380">
        <f t="shared" si="109"/>
        <v>240</v>
      </c>
      <c r="M225" s="380">
        <f t="shared" si="109"/>
        <v>240</v>
      </c>
      <c r="N225" s="380">
        <f t="shared" si="109"/>
        <v>240</v>
      </c>
      <c r="O225" s="380">
        <f t="shared" si="109"/>
        <v>240</v>
      </c>
      <c r="P225" s="380">
        <f t="shared" si="109"/>
        <v>240</v>
      </c>
      <c r="Q225" s="380">
        <f t="shared" si="109"/>
        <v>240</v>
      </c>
      <c r="R225" s="380">
        <f t="shared" si="109"/>
        <v>240</v>
      </c>
      <c r="S225" s="380">
        <f t="shared" si="109"/>
        <v>240</v>
      </c>
      <c r="T225" s="417">
        <f t="shared" si="104"/>
        <v>2880</v>
      </c>
    </row>
    <row r="226" spans="2:20" x14ac:dyDescent="0.2">
      <c r="B226" s="308"/>
      <c r="C226" t="str">
        <f t="shared" si="107"/>
        <v>Payable Days for Bank &amp; Merchant Fees</v>
      </c>
      <c r="E226" s="453">
        <f>'Year 2'!E226</f>
        <v>12</v>
      </c>
      <c r="H226" s="379">
        <f t="shared" ref="H226:S226" si="110">H123*$E226/30</f>
        <v>0</v>
      </c>
      <c r="I226" s="380">
        <f t="shared" si="110"/>
        <v>0</v>
      </c>
      <c r="J226" s="380">
        <f t="shared" si="110"/>
        <v>0</v>
      </c>
      <c r="K226" s="380">
        <f t="shared" si="110"/>
        <v>0</v>
      </c>
      <c r="L226" s="380">
        <f t="shared" si="110"/>
        <v>0</v>
      </c>
      <c r="M226" s="380">
        <f t="shared" si="110"/>
        <v>0</v>
      </c>
      <c r="N226" s="380">
        <f t="shared" si="110"/>
        <v>0</v>
      </c>
      <c r="O226" s="380">
        <f t="shared" si="110"/>
        <v>0</v>
      </c>
      <c r="P226" s="380">
        <f t="shared" si="110"/>
        <v>0</v>
      </c>
      <c r="Q226" s="380">
        <f t="shared" si="110"/>
        <v>0</v>
      </c>
      <c r="R226" s="380">
        <f t="shared" si="110"/>
        <v>0</v>
      </c>
      <c r="S226" s="380">
        <f t="shared" si="110"/>
        <v>0</v>
      </c>
      <c r="T226" s="417">
        <f t="shared" si="104"/>
        <v>0</v>
      </c>
    </row>
    <row r="227" spans="2:20" x14ac:dyDescent="0.2">
      <c r="B227" s="308"/>
      <c r="C227" t="str">
        <f t="shared" si="107"/>
        <v>Payable Days for Conferences &amp; Seminars</v>
      </c>
      <c r="E227" s="453">
        <f>'Year 2'!E227</f>
        <v>12</v>
      </c>
      <c r="H227" s="379">
        <f t="shared" ref="H227:S227" si="111">H124*$E227/30</f>
        <v>0</v>
      </c>
      <c r="I227" s="380">
        <f t="shared" si="111"/>
        <v>0</v>
      </c>
      <c r="J227" s="380">
        <f t="shared" si="111"/>
        <v>0</v>
      </c>
      <c r="K227" s="380">
        <f t="shared" si="111"/>
        <v>0</v>
      </c>
      <c r="L227" s="380">
        <f t="shared" si="111"/>
        <v>0</v>
      </c>
      <c r="M227" s="380">
        <f t="shared" si="111"/>
        <v>0</v>
      </c>
      <c r="N227" s="380">
        <f t="shared" si="111"/>
        <v>0</v>
      </c>
      <c r="O227" s="380">
        <f t="shared" si="111"/>
        <v>0</v>
      </c>
      <c r="P227" s="380">
        <f t="shared" si="111"/>
        <v>0</v>
      </c>
      <c r="Q227" s="380">
        <f t="shared" si="111"/>
        <v>0</v>
      </c>
      <c r="R227" s="380">
        <f t="shared" si="111"/>
        <v>0</v>
      </c>
      <c r="S227" s="380">
        <f t="shared" si="111"/>
        <v>0</v>
      </c>
      <c r="T227" s="417">
        <f t="shared" si="104"/>
        <v>0</v>
      </c>
    </row>
    <row r="228" spans="2:20" x14ac:dyDescent="0.2">
      <c r="B228" s="308"/>
      <c r="C228" t="str">
        <f t="shared" si="107"/>
        <v>Payable Days for Dues and Subscriptions</v>
      </c>
      <c r="E228" s="453">
        <f>'Year 2'!E228</f>
        <v>12</v>
      </c>
      <c r="H228" s="379">
        <f t="shared" ref="H228:S228" si="112">H125*$E228/30</f>
        <v>80</v>
      </c>
      <c r="I228" s="380">
        <f t="shared" si="112"/>
        <v>80</v>
      </c>
      <c r="J228" s="380">
        <f t="shared" si="112"/>
        <v>80</v>
      </c>
      <c r="K228" s="380">
        <f t="shared" si="112"/>
        <v>80</v>
      </c>
      <c r="L228" s="380">
        <f t="shared" si="112"/>
        <v>80</v>
      </c>
      <c r="M228" s="380">
        <f t="shared" si="112"/>
        <v>80</v>
      </c>
      <c r="N228" s="380">
        <f t="shared" si="112"/>
        <v>80</v>
      </c>
      <c r="O228" s="380">
        <f t="shared" si="112"/>
        <v>80</v>
      </c>
      <c r="P228" s="380">
        <f t="shared" si="112"/>
        <v>80</v>
      </c>
      <c r="Q228" s="380">
        <f t="shared" si="112"/>
        <v>80</v>
      </c>
      <c r="R228" s="380">
        <f t="shared" si="112"/>
        <v>80</v>
      </c>
      <c r="S228" s="380">
        <f t="shared" si="112"/>
        <v>80</v>
      </c>
      <c r="T228" s="417">
        <f t="shared" si="104"/>
        <v>960</v>
      </c>
    </row>
    <row r="229" spans="2:20" x14ac:dyDescent="0.2">
      <c r="B229" s="308"/>
      <c r="C229" t="str">
        <f t="shared" si="107"/>
        <v>Payable Days for Miscellaneous</v>
      </c>
      <c r="E229" s="453">
        <f>'Year 2'!E229</f>
        <v>12</v>
      </c>
      <c r="H229" s="379">
        <f t="shared" ref="H229:S229" si="113">H126*$E229/30</f>
        <v>0</v>
      </c>
      <c r="I229" s="380">
        <f t="shared" si="113"/>
        <v>0</v>
      </c>
      <c r="J229" s="380">
        <f t="shared" si="113"/>
        <v>0</v>
      </c>
      <c r="K229" s="380">
        <f t="shared" si="113"/>
        <v>0</v>
      </c>
      <c r="L229" s="380">
        <f t="shared" si="113"/>
        <v>0</v>
      </c>
      <c r="M229" s="380">
        <f t="shared" si="113"/>
        <v>0</v>
      </c>
      <c r="N229" s="380">
        <f t="shared" si="113"/>
        <v>0</v>
      </c>
      <c r="O229" s="380">
        <f t="shared" si="113"/>
        <v>0</v>
      </c>
      <c r="P229" s="380">
        <f t="shared" si="113"/>
        <v>0</v>
      </c>
      <c r="Q229" s="380">
        <f t="shared" si="113"/>
        <v>0</v>
      </c>
      <c r="R229" s="380">
        <f t="shared" si="113"/>
        <v>0</v>
      </c>
      <c r="S229" s="380">
        <f t="shared" si="113"/>
        <v>0</v>
      </c>
      <c r="T229" s="417">
        <f t="shared" si="104"/>
        <v>0</v>
      </c>
    </row>
    <row r="230" spans="2:20" x14ac:dyDescent="0.2">
      <c r="B230" s="308"/>
      <c r="C230" t="str">
        <f t="shared" si="107"/>
        <v>Payable Days for Insurance (Liability and Property)</v>
      </c>
      <c r="E230" s="453">
        <f>'Year 2'!E230</f>
        <v>12</v>
      </c>
      <c r="H230" s="379">
        <f t="shared" ref="H230:S230" si="114">H127*$E230/30</f>
        <v>0</v>
      </c>
      <c r="I230" s="380">
        <f t="shared" si="114"/>
        <v>0</v>
      </c>
      <c r="J230" s="380">
        <f t="shared" si="114"/>
        <v>0</v>
      </c>
      <c r="K230" s="380">
        <f t="shared" si="114"/>
        <v>0</v>
      </c>
      <c r="L230" s="380">
        <f t="shared" si="114"/>
        <v>0</v>
      </c>
      <c r="M230" s="380">
        <f t="shared" si="114"/>
        <v>0</v>
      </c>
      <c r="N230" s="380">
        <f t="shared" si="114"/>
        <v>0</v>
      </c>
      <c r="O230" s="380">
        <f t="shared" si="114"/>
        <v>0</v>
      </c>
      <c r="P230" s="380">
        <f t="shared" si="114"/>
        <v>0</v>
      </c>
      <c r="Q230" s="380">
        <f t="shared" si="114"/>
        <v>0</v>
      </c>
      <c r="R230" s="380">
        <f t="shared" si="114"/>
        <v>0</v>
      </c>
      <c r="S230" s="380">
        <f t="shared" si="114"/>
        <v>0</v>
      </c>
      <c r="T230" s="417">
        <f t="shared" si="104"/>
        <v>0</v>
      </c>
    </row>
    <row r="231" spans="2:20" x14ac:dyDescent="0.2">
      <c r="B231" s="308"/>
      <c r="C231" t="str">
        <f t="shared" si="107"/>
        <v>Payable Days for Licenses/Fees/Permits</v>
      </c>
      <c r="E231" s="453">
        <f>'Year 2'!E231</f>
        <v>12</v>
      </c>
      <c r="H231" s="379">
        <f t="shared" ref="H231:S231" si="115">H128*$E231/30</f>
        <v>0</v>
      </c>
      <c r="I231" s="380">
        <f t="shared" si="115"/>
        <v>0</v>
      </c>
      <c r="J231" s="380">
        <f t="shared" si="115"/>
        <v>0</v>
      </c>
      <c r="K231" s="380">
        <f t="shared" si="115"/>
        <v>0</v>
      </c>
      <c r="L231" s="380">
        <f t="shared" si="115"/>
        <v>0</v>
      </c>
      <c r="M231" s="380">
        <f t="shared" si="115"/>
        <v>0</v>
      </c>
      <c r="N231" s="380">
        <f t="shared" si="115"/>
        <v>0</v>
      </c>
      <c r="O231" s="380">
        <f t="shared" si="115"/>
        <v>0</v>
      </c>
      <c r="P231" s="380">
        <f t="shared" si="115"/>
        <v>0</v>
      </c>
      <c r="Q231" s="380">
        <f t="shared" si="115"/>
        <v>0</v>
      </c>
      <c r="R231" s="380">
        <f t="shared" si="115"/>
        <v>0</v>
      </c>
      <c r="S231" s="380">
        <f t="shared" si="115"/>
        <v>0</v>
      </c>
      <c r="T231" s="417">
        <f t="shared" si="104"/>
        <v>0</v>
      </c>
    </row>
    <row r="232" spans="2:20" x14ac:dyDescent="0.2">
      <c r="B232" s="308"/>
      <c r="C232" t="str">
        <f t="shared" si="107"/>
        <v>Payable Days for Legal and Professional Fees</v>
      </c>
      <c r="E232" s="453">
        <f>'Year 2'!E232</f>
        <v>12</v>
      </c>
      <c r="H232" s="379">
        <f t="shared" ref="H232:S232" si="116">H129*$E232/30</f>
        <v>0</v>
      </c>
      <c r="I232" s="380">
        <f t="shared" si="116"/>
        <v>0</v>
      </c>
      <c r="J232" s="380">
        <f t="shared" si="116"/>
        <v>0</v>
      </c>
      <c r="K232" s="380">
        <f t="shared" si="116"/>
        <v>0</v>
      </c>
      <c r="L232" s="380">
        <f t="shared" si="116"/>
        <v>0</v>
      </c>
      <c r="M232" s="380">
        <f t="shared" si="116"/>
        <v>0</v>
      </c>
      <c r="N232" s="380">
        <f t="shared" si="116"/>
        <v>0</v>
      </c>
      <c r="O232" s="380">
        <f t="shared" si="116"/>
        <v>0</v>
      </c>
      <c r="P232" s="380">
        <f t="shared" si="116"/>
        <v>0</v>
      </c>
      <c r="Q232" s="380">
        <f t="shared" si="116"/>
        <v>0</v>
      </c>
      <c r="R232" s="380">
        <f t="shared" si="116"/>
        <v>0</v>
      </c>
      <c r="S232" s="380">
        <f t="shared" si="116"/>
        <v>0</v>
      </c>
      <c r="T232" s="417">
        <f t="shared" si="104"/>
        <v>0</v>
      </c>
    </row>
    <row r="233" spans="2:20" x14ac:dyDescent="0.2">
      <c r="B233" s="308"/>
      <c r="C233" t="str">
        <f t="shared" si="107"/>
        <v>Payable Days for Office Expenses &amp; Supplies</v>
      </c>
      <c r="E233" s="453">
        <f>'Year 2'!E233</f>
        <v>12</v>
      </c>
      <c r="H233" s="379">
        <f t="shared" ref="H233:S233" si="117">H130*$E233/30</f>
        <v>0</v>
      </c>
      <c r="I233" s="380">
        <f t="shared" si="117"/>
        <v>0</v>
      </c>
      <c r="J233" s="380">
        <f t="shared" si="117"/>
        <v>0</v>
      </c>
      <c r="K233" s="380">
        <f t="shared" si="117"/>
        <v>0</v>
      </c>
      <c r="L233" s="380">
        <f t="shared" si="117"/>
        <v>0</v>
      </c>
      <c r="M233" s="380">
        <f t="shared" si="117"/>
        <v>0</v>
      </c>
      <c r="N233" s="380">
        <f t="shared" si="117"/>
        <v>0</v>
      </c>
      <c r="O233" s="380">
        <f t="shared" si="117"/>
        <v>0</v>
      </c>
      <c r="P233" s="380">
        <f t="shared" si="117"/>
        <v>0</v>
      </c>
      <c r="Q233" s="380">
        <f t="shared" si="117"/>
        <v>0</v>
      </c>
      <c r="R233" s="380">
        <f t="shared" si="117"/>
        <v>0</v>
      </c>
      <c r="S233" s="380">
        <f t="shared" si="117"/>
        <v>0</v>
      </c>
      <c r="T233" s="417">
        <f t="shared" si="104"/>
        <v>0</v>
      </c>
    </row>
    <row r="234" spans="2:20" x14ac:dyDescent="0.2">
      <c r="B234" s="308"/>
      <c r="C234" t="str">
        <f t="shared" si="107"/>
        <v>Payable Days for Postage and Delivery</v>
      </c>
      <c r="E234" s="453">
        <f>'Year 2'!E234</f>
        <v>12</v>
      </c>
      <c r="H234" s="379">
        <f t="shared" ref="H234:S234" si="118">H131*$E234/30</f>
        <v>80</v>
      </c>
      <c r="I234" s="380">
        <f t="shared" si="118"/>
        <v>80</v>
      </c>
      <c r="J234" s="380">
        <f t="shared" si="118"/>
        <v>80</v>
      </c>
      <c r="K234" s="380">
        <f t="shared" si="118"/>
        <v>80</v>
      </c>
      <c r="L234" s="380">
        <f t="shared" si="118"/>
        <v>80</v>
      </c>
      <c r="M234" s="380">
        <f t="shared" si="118"/>
        <v>80</v>
      </c>
      <c r="N234" s="380">
        <f t="shared" si="118"/>
        <v>80</v>
      </c>
      <c r="O234" s="380">
        <f t="shared" si="118"/>
        <v>80</v>
      </c>
      <c r="P234" s="380">
        <f t="shared" si="118"/>
        <v>80</v>
      </c>
      <c r="Q234" s="380">
        <f t="shared" si="118"/>
        <v>80</v>
      </c>
      <c r="R234" s="380">
        <f t="shared" si="118"/>
        <v>80</v>
      </c>
      <c r="S234" s="380">
        <f t="shared" si="118"/>
        <v>80</v>
      </c>
      <c r="T234" s="417">
        <f t="shared" si="104"/>
        <v>960</v>
      </c>
    </row>
    <row r="235" spans="2:20" x14ac:dyDescent="0.2">
      <c r="B235" s="308"/>
      <c r="C235" t="str">
        <f t="shared" si="107"/>
        <v>Payable Days for Rent (on business property)</v>
      </c>
      <c r="E235" s="453">
        <f>'Year 2'!E235</f>
        <v>12</v>
      </c>
      <c r="H235" s="379">
        <f t="shared" ref="H235:S235" si="119">H132*$E235/30</f>
        <v>1200</v>
      </c>
      <c r="I235" s="380">
        <f t="shared" si="119"/>
        <v>1200</v>
      </c>
      <c r="J235" s="380">
        <f t="shared" si="119"/>
        <v>1200</v>
      </c>
      <c r="K235" s="380">
        <f t="shared" si="119"/>
        <v>1200</v>
      </c>
      <c r="L235" s="380">
        <f t="shared" si="119"/>
        <v>1200</v>
      </c>
      <c r="M235" s="380">
        <f t="shared" si="119"/>
        <v>1200</v>
      </c>
      <c r="N235" s="380">
        <f t="shared" si="119"/>
        <v>1200</v>
      </c>
      <c r="O235" s="380">
        <f t="shared" si="119"/>
        <v>1200</v>
      </c>
      <c r="P235" s="380">
        <f t="shared" si="119"/>
        <v>1200</v>
      </c>
      <c r="Q235" s="380">
        <f t="shared" si="119"/>
        <v>1200</v>
      </c>
      <c r="R235" s="380">
        <f t="shared" si="119"/>
        <v>1200</v>
      </c>
      <c r="S235" s="380">
        <f t="shared" si="119"/>
        <v>1200</v>
      </c>
      <c r="T235" s="417">
        <f t="shared" si="104"/>
        <v>14400</v>
      </c>
    </row>
    <row r="236" spans="2:20" x14ac:dyDescent="0.2">
      <c r="B236" s="308"/>
      <c r="C236" t="str">
        <f t="shared" si="107"/>
        <v>Payable Days for Rent of Vehicles and Equipment</v>
      </c>
      <c r="E236" s="453">
        <f>'Year 2'!E236</f>
        <v>12</v>
      </c>
      <c r="H236" s="379">
        <f t="shared" ref="H236:S236" si="120">H133*$E236/30</f>
        <v>296</v>
      </c>
      <c r="I236" s="380">
        <f t="shared" si="120"/>
        <v>296</v>
      </c>
      <c r="J236" s="380">
        <f t="shared" si="120"/>
        <v>296</v>
      </c>
      <c r="K236" s="380">
        <f t="shared" si="120"/>
        <v>296</v>
      </c>
      <c r="L236" s="380">
        <f t="shared" si="120"/>
        <v>296</v>
      </c>
      <c r="M236" s="380">
        <f t="shared" si="120"/>
        <v>296</v>
      </c>
      <c r="N236" s="380">
        <f t="shared" si="120"/>
        <v>296</v>
      </c>
      <c r="O236" s="380">
        <f t="shared" si="120"/>
        <v>296</v>
      </c>
      <c r="P236" s="380">
        <f t="shared" si="120"/>
        <v>296</v>
      </c>
      <c r="Q236" s="380">
        <f t="shared" si="120"/>
        <v>296</v>
      </c>
      <c r="R236" s="380">
        <f t="shared" si="120"/>
        <v>296</v>
      </c>
      <c r="S236" s="380">
        <f t="shared" si="120"/>
        <v>296</v>
      </c>
      <c r="T236" s="417">
        <f t="shared" si="104"/>
        <v>3552</v>
      </c>
    </row>
    <row r="237" spans="2:20" x14ac:dyDescent="0.2">
      <c r="B237" s="308"/>
      <c r="C237" t="str">
        <f t="shared" si="107"/>
        <v>Payable Days for Taxes-Other</v>
      </c>
      <c r="E237" s="453">
        <f>'Year 2'!E237</f>
        <v>12</v>
      </c>
      <c r="H237" s="379">
        <f t="shared" ref="H237:S237" si="121">H134*$E237/30</f>
        <v>0</v>
      </c>
      <c r="I237" s="380">
        <f t="shared" si="121"/>
        <v>0</v>
      </c>
      <c r="J237" s="380">
        <f t="shared" si="121"/>
        <v>0</v>
      </c>
      <c r="K237" s="380">
        <f t="shared" si="121"/>
        <v>0</v>
      </c>
      <c r="L237" s="380">
        <f t="shared" si="121"/>
        <v>0</v>
      </c>
      <c r="M237" s="380">
        <f t="shared" si="121"/>
        <v>0</v>
      </c>
      <c r="N237" s="380">
        <f t="shared" si="121"/>
        <v>0</v>
      </c>
      <c r="O237" s="380">
        <f t="shared" si="121"/>
        <v>0</v>
      </c>
      <c r="P237" s="380">
        <f t="shared" si="121"/>
        <v>0</v>
      </c>
      <c r="Q237" s="380">
        <f t="shared" si="121"/>
        <v>0</v>
      </c>
      <c r="R237" s="380">
        <f t="shared" si="121"/>
        <v>0</v>
      </c>
      <c r="S237" s="380">
        <f t="shared" si="121"/>
        <v>0</v>
      </c>
      <c r="T237" s="417">
        <f t="shared" si="104"/>
        <v>0</v>
      </c>
    </row>
    <row r="238" spans="2:20" x14ac:dyDescent="0.2">
      <c r="B238" s="308"/>
      <c r="C238" t="str">
        <f t="shared" si="107"/>
        <v>Payable Days for Telephone and Communications</v>
      </c>
      <c r="E238" s="453">
        <f>'Year 2'!E238</f>
        <v>12</v>
      </c>
      <c r="H238" s="379">
        <f t="shared" ref="H238:S238" si="122">H135*$E238/30</f>
        <v>0</v>
      </c>
      <c r="I238" s="380">
        <f t="shared" si="122"/>
        <v>0</v>
      </c>
      <c r="J238" s="380">
        <f t="shared" si="122"/>
        <v>0</v>
      </c>
      <c r="K238" s="380">
        <f t="shared" si="122"/>
        <v>0</v>
      </c>
      <c r="L238" s="380">
        <f t="shared" si="122"/>
        <v>0</v>
      </c>
      <c r="M238" s="380">
        <f t="shared" si="122"/>
        <v>0</v>
      </c>
      <c r="N238" s="380">
        <f t="shared" si="122"/>
        <v>0</v>
      </c>
      <c r="O238" s="380">
        <f t="shared" si="122"/>
        <v>0</v>
      </c>
      <c r="P238" s="380">
        <f t="shared" si="122"/>
        <v>0</v>
      </c>
      <c r="Q238" s="380">
        <f t="shared" si="122"/>
        <v>0</v>
      </c>
      <c r="R238" s="380">
        <f t="shared" si="122"/>
        <v>0</v>
      </c>
      <c r="S238" s="380">
        <f t="shared" si="122"/>
        <v>0</v>
      </c>
      <c r="T238" s="417">
        <f t="shared" si="104"/>
        <v>0</v>
      </c>
    </row>
    <row r="239" spans="2:20" x14ac:dyDescent="0.2">
      <c r="B239" s="308"/>
      <c r="C239" t="str">
        <f t="shared" si="107"/>
        <v>Payable Days for Travel</v>
      </c>
      <c r="E239" s="453">
        <f>'Year 2'!E239</f>
        <v>12</v>
      </c>
      <c r="H239" s="379">
        <f t="shared" ref="H239:S239" si="123">H136*$E239/30</f>
        <v>0</v>
      </c>
      <c r="I239" s="380">
        <f t="shared" si="123"/>
        <v>0</v>
      </c>
      <c r="J239" s="380">
        <f t="shared" si="123"/>
        <v>0</v>
      </c>
      <c r="K239" s="380">
        <f t="shared" si="123"/>
        <v>0</v>
      </c>
      <c r="L239" s="380">
        <f t="shared" si="123"/>
        <v>0</v>
      </c>
      <c r="M239" s="380">
        <f t="shared" si="123"/>
        <v>0</v>
      </c>
      <c r="N239" s="380">
        <f t="shared" si="123"/>
        <v>0</v>
      </c>
      <c r="O239" s="380">
        <f t="shared" si="123"/>
        <v>0</v>
      </c>
      <c r="P239" s="380">
        <f t="shared" si="123"/>
        <v>0</v>
      </c>
      <c r="Q239" s="380">
        <f t="shared" si="123"/>
        <v>0</v>
      </c>
      <c r="R239" s="380">
        <f t="shared" si="123"/>
        <v>0</v>
      </c>
      <c r="S239" s="380">
        <f t="shared" si="123"/>
        <v>0</v>
      </c>
      <c r="T239" s="417">
        <f t="shared" si="104"/>
        <v>0</v>
      </c>
    </row>
    <row r="240" spans="2:20" x14ac:dyDescent="0.2">
      <c r="B240" s="308"/>
      <c r="C240" t="str">
        <f t="shared" si="107"/>
        <v>Payable Days for IT services (infrastructure, security etc)</v>
      </c>
      <c r="E240" s="453">
        <f>'Year 2'!E240</f>
        <v>12</v>
      </c>
      <c r="H240" s="379">
        <f t="shared" ref="H240:S240" si="124">H137*$E240/30</f>
        <v>0</v>
      </c>
      <c r="I240" s="380">
        <f t="shared" si="124"/>
        <v>0</v>
      </c>
      <c r="J240" s="380">
        <f t="shared" si="124"/>
        <v>0</v>
      </c>
      <c r="K240" s="380">
        <f t="shared" si="124"/>
        <v>0</v>
      </c>
      <c r="L240" s="380">
        <f t="shared" si="124"/>
        <v>0</v>
      </c>
      <c r="M240" s="380">
        <f t="shared" si="124"/>
        <v>0</v>
      </c>
      <c r="N240" s="380">
        <f t="shared" si="124"/>
        <v>0</v>
      </c>
      <c r="O240" s="380">
        <f t="shared" si="124"/>
        <v>0</v>
      </c>
      <c r="P240" s="380">
        <f t="shared" si="124"/>
        <v>0</v>
      </c>
      <c r="Q240" s="380">
        <f t="shared" si="124"/>
        <v>0</v>
      </c>
      <c r="R240" s="380">
        <f t="shared" si="124"/>
        <v>0</v>
      </c>
      <c r="S240" s="380">
        <f t="shared" si="124"/>
        <v>0</v>
      </c>
      <c r="T240" s="417">
        <f t="shared" si="104"/>
        <v>0</v>
      </c>
    </row>
    <row r="241" spans="2:20" x14ac:dyDescent="0.2">
      <c r="B241" s="308"/>
      <c r="C241" t="str">
        <f t="shared" si="107"/>
        <v>Payable Days for Utilities</v>
      </c>
      <c r="E241" s="453">
        <f>'Year 2'!E241</f>
        <v>12</v>
      </c>
      <c r="H241" s="379">
        <f t="shared" ref="H241:S241" si="125">H138*$E241/30</f>
        <v>60</v>
      </c>
      <c r="I241" s="380">
        <f t="shared" si="125"/>
        <v>60</v>
      </c>
      <c r="J241" s="380">
        <f t="shared" si="125"/>
        <v>60</v>
      </c>
      <c r="K241" s="380">
        <f t="shared" si="125"/>
        <v>60</v>
      </c>
      <c r="L241" s="380">
        <f t="shared" si="125"/>
        <v>60</v>
      </c>
      <c r="M241" s="380">
        <f t="shared" si="125"/>
        <v>60</v>
      </c>
      <c r="N241" s="380">
        <f t="shared" si="125"/>
        <v>60</v>
      </c>
      <c r="O241" s="380">
        <f t="shared" si="125"/>
        <v>60</v>
      </c>
      <c r="P241" s="380">
        <f t="shared" si="125"/>
        <v>60</v>
      </c>
      <c r="Q241" s="380">
        <f t="shared" si="125"/>
        <v>60</v>
      </c>
      <c r="R241" s="380">
        <f t="shared" si="125"/>
        <v>60</v>
      </c>
      <c r="S241" s="380">
        <f t="shared" si="125"/>
        <v>60</v>
      </c>
      <c r="T241" s="417">
        <f t="shared" si="104"/>
        <v>720</v>
      </c>
    </row>
    <row r="242" spans="2:20" x14ac:dyDescent="0.2">
      <c r="B242" s="308"/>
      <c r="C242" t="str">
        <f t="shared" si="107"/>
        <v>Payable Days for Others</v>
      </c>
      <c r="E242" s="453">
        <f>'Year 2'!E242</f>
        <v>12</v>
      </c>
      <c r="H242" s="379">
        <f t="shared" ref="H242:S242" si="126">H139*$E242/30</f>
        <v>0</v>
      </c>
      <c r="I242" s="380">
        <f t="shared" si="126"/>
        <v>0</v>
      </c>
      <c r="J242" s="380">
        <f t="shared" si="126"/>
        <v>0</v>
      </c>
      <c r="K242" s="380">
        <f t="shared" si="126"/>
        <v>0</v>
      </c>
      <c r="L242" s="380">
        <f t="shared" si="126"/>
        <v>0</v>
      </c>
      <c r="M242" s="380">
        <f t="shared" si="126"/>
        <v>0</v>
      </c>
      <c r="N242" s="380">
        <f t="shared" si="126"/>
        <v>0</v>
      </c>
      <c r="O242" s="380">
        <f t="shared" si="126"/>
        <v>0</v>
      </c>
      <c r="P242" s="380">
        <f t="shared" si="126"/>
        <v>0</v>
      </c>
      <c r="Q242" s="380">
        <f t="shared" si="126"/>
        <v>0</v>
      </c>
      <c r="R242" s="380">
        <f t="shared" si="126"/>
        <v>0</v>
      </c>
      <c r="S242" s="380">
        <f t="shared" si="126"/>
        <v>0</v>
      </c>
      <c r="T242" s="417">
        <f t="shared" si="104"/>
        <v>0</v>
      </c>
    </row>
    <row r="243" spans="2:20" x14ac:dyDescent="0.2">
      <c r="B243" s="308"/>
      <c r="C243" t="str">
        <f>"Payable Days for "&amp;$B86</f>
        <v>Payable Days for Employee Wages</v>
      </c>
      <c r="E243" s="453">
        <f>'Year 2'!E243</f>
        <v>30</v>
      </c>
      <c r="H243" s="379">
        <f t="shared" ref="H243:S243" si="127">H$102*$E243/30</f>
        <v>26001.279999999995</v>
      </c>
      <c r="I243" s="380">
        <f t="shared" si="127"/>
        <v>26001.279999999995</v>
      </c>
      <c r="J243" s="380">
        <f t="shared" si="127"/>
        <v>26001.279999999995</v>
      </c>
      <c r="K243" s="380">
        <f t="shared" si="127"/>
        <v>26001.279999999995</v>
      </c>
      <c r="L243" s="380">
        <f t="shared" si="127"/>
        <v>26001.279999999995</v>
      </c>
      <c r="M243" s="380">
        <f t="shared" si="127"/>
        <v>26001.279999999995</v>
      </c>
      <c r="N243" s="380">
        <f t="shared" si="127"/>
        <v>26001.279999999995</v>
      </c>
      <c r="O243" s="380">
        <f t="shared" si="127"/>
        <v>26001.279999999995</v>
      </c>
      <c r="P243" s="380">
        <f t="shared" si="127"/>
        <v>26001.279999999995</v>
      </c>
      <c r="Q243" s="380">
        <f t="shared" si="127"/>
        <v>26001.279999999995</v>
      </c>
      <c r="R243" s="380">
        <f t="shared" si="127"/>
        <v>26001.279999999995</v>
      </c>
      <c r="S243" s="380">
        <f t="shared" si="127"/>
        <v>26001.279999999995</v>
      </c>
      <c r="T243" s="417">
        <f t="shared" si="104"/>
        <v>312015.35999999993</v>
      </c>
    </row>
    <row r="244" spans="2:20" x14ac:dyDescent="0.2">
      <c r="B244" s="308"/>
      <c r="C244" t="str">
        <f>"Payable Days for "&amp;$B104</f>
        <v>Payable Days for Payroll Taxes and Benefits</v>
      </c>
      <c r="E244" s="453">
        <f>'Year 2'!E244</f>
        <v>60</v>
      </c>
      <c r="H244" s="379">
        <f t="shared" ref="H244:S244" si="128">H$113*$E244/30</f>
        <v>16752.177920000002</v>
      </c>
      <c r="I244" s="380">
        <f t="shared" si="128"/>
        <v>16752.177920000002</v>
      </c>
      <c r="J244" s="380">
        <f t="shared" si="128"/>
        <v>16752.177920000002</v>
      </c>
      <c r="K244" s="380">
        <f t="shared" si="128"/>
        <v>16752.177920000002</v>
      </c>
      <c r="L244" s="380">
        <f t="shared" si="128"/>
        <v>16752.177920000002</v>
      </c>
      <c r="M244" s="380">
        <f t="shared" si="128"/>
        <v>16752.177920000002</v>
      </c>
      <c r="N244" s="380">
        <f t="shared" si="128"/>
        <v>16752.177920000002</v>
      </c>
      <c r="O244" s="380">
        <f t="shared" si="128"/>
        <v>16752.177920000002</v>
      </c>
      <c r="P244" s="380">
        <f t="shared" si="128"/>
        <v>16752.177920000002</v>
      </c>
      <c r="Q244" s="380">
        <f t="shared" si="128"/>
        <v>16752.177920000002</v>
      </c>
      <c r="R244" s="380">
        <f t="shared" si="128"/>
        <v>16752.177920000002</v>
      </c>
      <c r="S244" s="380">
        <f t="shared" si="128"/>
        <v>16752.177920000002</v>
      </c>
      <c r="T244" s="417">
        <f t="shared" si="104"/>
        <v>201026.13503999996</v>
      </c>
    </row>
    <row r="245" spans="2:20" ht="17" thickBot="1" x14ac:dyDescent="0.25">
      <c r="B245" s="308"/>
      <c r="C245" t="str">
        <f>"Payable Days for "&amp;$C159</f>
        <v xml:space="preserve">Payable Days for </v>
      </c>
      <c r="E245" s="453">
        <f>'Year 2'!E245</f>
        <v>90</v>
      </c>
      <c r="H245" s="379">
        <f t="shared" ref="H245:S245" si="129">H$166*$E245/30</f>
        <v>125.00000000000001</v>
      </c>
      <c r="I245" s="380">
        <f t="shared" si="129"/>
        <v>83.333333333333158</v>
      </c>
      <c r="J245" s="380">
        <f t="shared" si="129"/>
        <v>41.666666666666579</v>
      </c>
      <c r="K245" s="380">
        <f t="shared" si="129"/>
        <v>0</v>
      </c>
      <c r="L245" s="380">
        <f t="shared" si="129"/>
        <v>0</v>
      </c>
      <c r="M245" s="380">
        <f t="shared" si="129"/>
        <v>0</v>
      </c>
      <c r="N245" s="380">
        <f t="shared" si="129"/>
        <v>0</v>
      </c>
      <c r="O245" s="380">
        <f t="shared" si="129"/>
        <v>0</v>
      </c>
      <c r="P245" s="380">
        <f t="shared" si="129"/>
        <v>0</v>
      </c>
      <c r="Q245" s="380">
        <f t="shared" si="129"/>
        <v>0</v>
      </c>
      <c r="R245" s="380">
        <f t="shared" si="129"/>
        <v>0</v>
      </c>
      <c r="S245" s="380">
        <f t="shared" si="129"/>
        <v>0</v>
      </c>
      <c r="T245" s="417">
        <f t="shared" si="104"/>
        <v>249.99999999999974</v>
      </c>
    </row>
    <row r="246" spans="2:20" ht="17" thickTop="1" x14ac:dyDescent="0.2">
      <c r="B246" s="418" t="s">
        <v>152</v>
      </c>
      <c r="C246" s="419"/>
      <c r="D246" s="419"/>
      <c r="E246" s="419"/>
      <c r="F246" s="419"/>
      <c r="G246" s="420"/>
      <c r="H246" s="421">
        <f>SUM(H216:H245)</f>
        <v>45589.772586666659</v>
      </c>
      <c r="I246" s="422">
        <f t="shared" ref="I246:S246" si="130">SUM(I216:I245)</f>
        <v>45559.492586666667</v>
      </c>
      <c r="J246" s="422">
        <f t="shared" si="130"/>
        <v>45531.592586666658</v>
      </c>
      <c r="K246" s="422">
        <f t="shared" si="130"/>
        <v>45315.43925333333</v>
      </c>
      <c r="L246" s="422">
        <f t="shared" si="130"/>
        <v>45326.825919999996</v>
      </c>
      <c r="M246" s="422">
        <f t="shared" si="130"/>
        <v>45340.592586666666</v>
      </c>
      <c r="N246" s="422">
        <f t="shared" si="130"/>
        <v>45352.679253333336</v>
      </c>
      <c r="O246" s="422">
        <f t="shared" si="130"/>
        <v>45364.859253333329</v>
      </c>
      <c r="P246" s="422">
        <f t="shared" si="130"/>
        <v>45377.925919999994</v>
      </c>
      <c r="Q246" s="422">
        <f t="shared" si="130"/>
        <v>45390.012586666664</v>
      </c>
      <c r="R246" s="422">
        <f t="shared" si="130"/>
        <v>45402.099253333334</v>
      </c>
      <c r="S246" s="422">
        <f t="shared" si="130"/>
        <v>45415.749253333328</v>
      </c>
      <c r="T246" s="423">
        <f>SUM(H246:S246)</f>
        <v>544967.04104000004</v>
      </c>
    </row>
    <row r="247" spans="2:20" ht="17" thickBot="1" x14ac:dyDescent="0.25">
      <c r="B247" s="308"/>
      <c r="H247" s="367"/>
      <c r="I247" s="368"/>
      <c r="J247" s="368"/>
      <c r="K247" s="368"/>
      <c r="L247" s="368"/>
      <c r="M247" s="368"/>
      <c r="N247" s="368"/>
      <c r="O247" s="368"/>
      <c r="P247" s="368"/>
      <c r="Q247" s="368"/>
      <c r="R247" s="368"/>
      <c r="S247" s="368"/>
      <c r="T247" s="407"/>
    </row>
    <row r="248" spans="2:20" ht="17" thickTop="1" x14ac:dyDescent="0.2">
      <c r="B248" s="250" t="s">
        <v>41</v>
      </c>
      <c r="C248" s="237"/>
      <c r="D248" s="237"/>
      <c r="E248" s="237"/>
      <c r="F248" s="237"/>
      <c r="G248" s="237"/>
      <c r="H248" s="239">
        <f>H209+IF(H212="",H213,H212)-H246</f>
        <v>-11449.772586666659</v>
      </c>
      <c r="I248" s="240">
        <f t="shared" ref="I248:S248" si="131">I209+IF(I212="",I213,I212)-I246</f>
        <v>-10339.492586666667</v>
      </c>
      <c r="J248" s="240">
        <f t="shared" si="131"/>
        <v>-9000.5925866666585</v>
      </c>
      <c r="K248" s="240">
        <f t="shared" si="131"/>
        <v>-7629.4392533333303</v>
      </c>
      <c r="L248" s="240">
        <f t="shared" si="131"/>
        <v>-6560.8259199999957</v>
      </c>
      <c r="M248" s="240">
        <f t="shared" si="131"/>
        <v>-5263.5925866666657</v>
      </c>
      <c r="N248" s="240">
        <f t="shared" si="131"/>
        <v>-4120.6792533333355</v>
      </c>
      <c r="O248" s="240">
        <f t="shared" si="131"/>
        <v>-2977.8592533333285</v>
      </c>
      <c r="P248" s="240">
        <f t="shared" si="131"/>
        <v>-1754.9259199999942</v>
      </c>
      <c r="Q248" s="240">
        <f t="shared" si="131"/>
        <v>-612.01258666666399</v>
      </c>
      <c r="R248" s="240">
        <f t="shared" si="131"/>
        <v>530.90074666666624</v>
      </c>
      <c r="S248" s="240">
        <f t="shared" si="131"/>
        <v>1805.7507466666721</v>
      </c>
      <c r="T248" s="251">
        <f>SUM(H248:S248)</f>
        <v>-57372.54103999996</v>
      </c>
    </row>
    <row r="249" spans="2:20" x14ac:dyDescent="0.2">
      <c r="H249" s="367"/>
      <c r="I249" s="368"/>
      <c r="J249" s="368"/>
      <c r="K249" s="368"/>
      <c r="L249" s="368"/>
      <c r="M249" s="368"/>
      <c r="N249" s="368"/>
      <c r="O249" s="368"/>
      <c r="P249" s="368"/>
      <c r="Q249" s="368"/>
      <c r="R249" s="368"/>
      <c r="S249" s="368"/>
      <c r="T249" s="381"/>
    </row>
    <row r="250" spans="2:20" ht="20" x14ac:dyDescent="0.2">
      <c r="B250" s="116" t="s">
        <v>52</v>
      </c>
      <c r="C250" s="327"/>
      <c r="D250" s="327"/>
      <c r="E250" s="327" t="str">
        <f>$E$3</f>
        <v>Year 3 (2022)</v>
      </c>
      <c r="F250" s="327"/>
      <c r="G250" s="327"/>
      <c r="H250" s="360" t="s">
        <v>127</v>
      </c>
      <c r="I250" s="361" t="s">
        <v>128</v>
      </c>
      <c r="J250" s="361" t="s">
        <v>129</v>
      </c>
      <c r="K250" s="361" t="s">
        <v>130</v>
      </c>
      <c r="L250" s="361" t="s">
        <v>131</v>
      </c>
      <c r="M250" s="361" t="s">
        <v>132</v>
      </c>
      <c r="N250" s="361" t="s">
        <v>133</v>
      </c>
      <c r="O250" s="361" t="s">
        <v>134</v>
      </c>
      <c r="P250" s="361" t="s">
        <v>135</v>
      </c>
      <c r="Q250" s="361" t="s">
        <v>136</v>
      </c>
      <c r="R250" s="361" t="s">
        <v>137</v>
      </c>
      <c r="S250" s="361" t="s">
        <v>138</v>
      </c>
      <c r="T250" s="362" t="s">
        <v>179</v>
      </c>
    </row>
    <row r="251" spans="2:20" x14ac:dyDescent="0.2">
      <c r="B251" s="401"/>
      <c r="C251" s="402"/>
      <c r="D251" s="402"/>
      <c r="E251" s="402"/>
      <c r="F251" s="402"/>
      <c r="G251" s="403" t="s">
        <v>57</v>
      </c>
      <c r="H251" s="363">
        <f>H$4</f>
        <v>25</v>
      </c>
      <c r="I251" s="364">
        <f t="shared" ref="I251:S251" si="132">I$4</f>
        <v>26</v>
      </c>
      <c r="J251" s="364">
        <f t="shared" si="132"/>
        <v>27</v>
      </c>
      <c r="K251" s="364">
        <f t="shared" si="132"/>
        <v>28</v>
      </c>
      <c r="L251" s="364">
        <f t="shared" si="132"/>
        <v>29</v>
      </c>
      <c r="M251" s="364">
        <f t="shared" si="132"/>
        <v>30</v>
      </c>
      <c r="N251" s="364">
        <f t="shared" si="132"/>
        <v>31</v>
      </c>
      <c r="O251" s="364">
        <f t="shared" si="132"/>
        <v>32</v>
      </c>
      <c r="P251" s="364">
        <f t="shared" si="132"/>
        <v>33</v>
      </c>
      <c r="Q251" s="364">
        <f t="shared" si="132"/>
        <v>34</v>
      </c>
      <c r="R251" s="364">
        <f t="shared" si="132"/>
        <v>35</v>
      </c>
      <c r="S251" s="364">
        <f t="shared" si="132"/>
        <v>36</v>
      </c>
      <c r="T251" s="405" t="str">
        <f>"Total for " &amp; $E$3</f>
        <v>Total for Year 3 (2022)</v>
      </c>
    </row>
    <row r="252" spans="2:20" x14ac:dyDescent="0.2">
      <c r="B252" s="307" t="s">
        <v>146</v>
      </c>
      <c r="G252" s="15"/>
      <c r="H252" s="398"/>
      <c r="I252" s="399"/>
      <c r="J252" s="399"/>
      <c r="K252" s="399"/>
      <c r="L252" s="399"/>
      <c r="M252" s="399"/>
      <c r="N252" s="399"/>
      <c r="O252" s="399"/>
      <c r="P252" s="399"/>
      <c r="Q252" s="399"/>
      <c r="R252" s="399"/>
      <c r="S252" s="399"/>
      <c r="T252" s="432"/>
    </row>
    <row r="253" spans="2:20" x14ac:dyDescent="0.2">
      <c r="B253" s="308"/>
      <c r="C253" t="s">
        <v>23</v>
      </c>
      <c r="D253" s="5"/>
      <c r="E253" s="7"/>
      <c r="F253" s="7"/>
      <c r="G253" s="5"/>
      <c r="H253" s="379">
        <f>H$183</f>
        <v>-14715.564959999994</v>
      </c>
      <c r="I253" s="380">
        <f t="shared" ref="I253:S253" si="133">I$183</f>
        <v>-13845.322737777775</v>
      </c>
      <c r="J253" s="380">
        <f t="shared" si="133"/>
        <v>-14306.59384888889</v>
      </c>
      <c r="K253" s="380">
        <f t="shared" si="133"/>
        <v>-11463.958293333331</v>
      </c>
      <c r="L253" s="380">
        <f>L$183</f>
        <v>-10623.604960000001</v>
      </c>
      <c r="M253" s="380">
        <f t="shared" si="133"/>
        <v>-9598.3649600000026</v>
      </c>
      <c r="N253" s="380">
        <f t="shared" si="133"/>
        <v>-8679.3449599999985</v>
      </c>
      <c r="O253" s="380">
        <f t="shared" si="133"/>
        <v>-7744.2649600000032</v>
      </c>
      <c r="P253" s="380">
        <f t="shared" si="133"/>
        <v>-6804.2582933333324</v>
      </c>
      <c r="Q253" s="380">
        <f t="shared" si="133"/>
        <v>-5881.9049600000017</v>
      </c>
      <c r="R253" s="380">
        <f t="shared" si="133"/>
        <v>-4957.9849600000034</v>
      </c>
      <c r="S253" s="380">
        <f t="shared" si="133"/>
        <v>-3951.1049600000056</v>
      </c>
      <c r="T253" s="417">
        <f t="shared" ref="T253:T257" si="134">SUM(H253:S253)</f>
        <v>-112572.27285333334</v>
      </c>
    </row>
    <row r="254" spans="2:20" x14ac:dyDescent="0.2">
      <c r="B254" s="308"/>
      <c r="C254" t="s">
        <v>147</v>
      </c>
      <c r="D254" s="5"/>
      <c r="E254" s="7"/>
      <c r="F254" s="7"/>
      <c r="G254" s="5"/>
      <c r="H254" s="379">
        <f>H$155</f>
        <v>15.833333333333334</v>
      </c>
      <c r="I254" s="380">
        <f t="shared" ref="I254:S254" si="135">I$155</f>
        <v>0</v>
      </c>
      <c r="J254" s="380">
        <f t="shared" si="135"/>
        <v>0</v>
      </c>
      <c r="K254" s="380">
        <f t="shared" si="135"/>
        <v>0.83333333333333337</v>
      </c>
      <c r="L254" s="380">
        <f t="shared" si="135"/>
        <v>1</v>
      </c>
      <c r="M254" s="380">
        <f t="shared" si="135"/>
        <v>0</v>
      </c>
      <c r="N254" s="380">
        <f t="shared" si="135"/>
        <v>2.5</v>
      </c>
      <c r="O254" s="380">
        <f t="shared" si="135"/>
        <v>0</v>
      </c>
      <c r="P254" s="380">
        <f t="shared" si="135"/>
        <v>0.83333333333333337</v>
      </c>
      <c r="Q254" s="380">
        <f t="shared" si="135"/>
        <v>0</v>
      </c>
      <c r="R254" s="380">
        <f t="shared" si="135"/>
        <v>0</v>
      </c>
      <c r="S254" s="380">
        <f t="shared" si="135"/>
        <v>1</v>
      </c>
      <c r="T254" s="417">
        <f t="shared" si="134"/>
        <v>22</v>
      </c>
    </row>
    <row r="255" spans="2:20" x14ac:dyDescent="0.2">
      <c r="B255" s="308"/>
      <c r="C255" t="s">
        <v>153</v>
      </c>
      <c r="D255" s="5"/>
      <c r="E255" s="7"/>
      <c r="F255" s="7"/>
      <c r="G255" s="5"/>
      <c r="H255" s="379">
        <f>H246-G246</f>
        <v>45589.772586666659</v>
      </c>
      <c r="I255" s="380">
        <f t="shared" ref="I255:S255" si="136">I246-H246</f>
        <v>-30.27999999999156</v>
      </c>
      <c r="J255" s="380">
        <f t="shared" si="136"/>
        <v>-27.900000000008731</v>
      </c>
      <c r="K255" s="380">
        <f t="shared" si="136"/>
        <v>-216.15333333332819</v>
      </c>
      <c r="L255" s="380">
        <f t="shared" si="136"/>
        <v>11.386666666665406</v>
      </c>
      <c r="M255" s="380">
        <f t="shared" si="136"/>
        <v>13.766666666670062</v>
      </c>
      <c r="N255" s="380">
        <f t="shared" si="136"/>
        <v>12.086666666669771</v>
      </c>
      <c r="O255" s="380">
        <f t="shared" si="136"/>
        <v>12.179999999993015</v>
      </c>
      <c r="P255" s="380">
        <f t="shared" si="136"/>
        <v>13.066666666665697</v>
      </c>
      <c r="Q255" s="380">
        <f t="shared" si="136"/>
        <v>12.086666666669771</v>
      </c>
      <c r="R255" s="380">
        <f t="shared" si="136"/>
        <v>12.086666666669771</v>
      </c>
      <c r="S255" s="380">
        <f t="shared" si="136"/>
        <v>13.649999999994179</v>
      </c>
      <c r="T255" s="417">
        <f t="shared" si="134"/>
        <v>45415.749253333328</v>
      </c>
    </row>
    <row r="256" spans="2:20" ht="17" thickBot="1" x14ac:dyDescent="0.25">
      <c r="B256" s="308"/>
      <c r="C256" t="s">
        <v>148</v>
      </c>
      <c r="H256" s="379">
        <f>H200</f>
        <v>19000</v>
      </c>
      <c r="I256" s="380">
        <f t="shared" ref="I256:S256" si="137">I200</f>
        <v>0</v>
      </c>
      <c r="J256" s="380">
        <f t="shared" si="137"/>
        <v>0</v>
      </c>
      <c r="K256" s="380">
        <f t="shared" si="137"/>
        <v>1000</v>
      </c>
      <c r="L256" s="380">
        <f t="shared" si="137"/>
        <v>1200</v>
      </c>
      <c r="M256" s="380">
        <f t="shared" si="137"/>
        <v>0</v>
      </c>
      <c r="N256" s="380">
        <f t="shared" si="137"/>
        <v>3000</v>
      </c>
      <c r="O256" s="380">
        <f t="shared" si="137"/>
        <v>0</v>
      </c>
      <c r="P256" s="380">
        <f t="shared" si="137"/>
        <v>1000</v>
      </c>
      <c r="Q256" s="380">
        <f t="shared" si="137"/>
        <v>0</v>
      </c>
      <c r="R256" s="380">
        <f t="shared" si="137"/>
        <v>0</v>
      </c>
      <c r="S256" s="380">
        <f t="shared" si="137"/>
        <v>1200</v>
      </c>
      <c r="T256" s="417">
        <f t="shared" si="134"/>
        <v>26400</v>
      </c>
    </row>
    <row r="257" spans="2:20" ht="17" thickTop="1" x14ac:dyDescent="0.2">
      <c r="B257" s="250" t="s">
        <v>146</v>
      </c>
      <c r="C257" s="237"/>
      <c r="D257" s="237"/>
      <c r="E257" s="237"/>
      <c r="F257" s="237"/>
      <c r="G257" s="237"/>
      <c r="H257" s="167">
        <f>H253+H254+H255-H256</f>
        <v>11890.040959999998</v>
      </c>
      <c r="I257" s="167">
        <f t="shared" ref="I257:S257" si="138">I253+I254+I255-I256</f>
        <v>-13875.602737777766</v>
      </c>
      <c r="J257" s="167">
        <f t="shared" si="138"/>
        <v>-14334.493848888898</v>
      </c>
      <c r="K257" s="167">
        <f t="shared" si="138"/>
        <v>-12679.278293333326</v>
      </c>
      <c r="L257" s="167">
        <f t="shared" si="138"/>
        <v>-11811.218293333335</v>
      </c>
      <c r="M257" s="167">
        <f t="shared" si="138"/>
        <v>-9584.5982933333325</v>
      </c>
      <c r="N257" s="167">
        <f t="shared" si="138"/>
        <v>-11664.758293333329</v>
      </c>
      <c r="O257" s="167">
        <f t="shared" si="138"/>
        <v>-7732.0849600000101</v>
      </c>
      <c r="P257" s="167">
        <f t="shared" si="138"/>
        <v>-7790.3582933333337</v>
      </c>
      <c r="Q257" s="167">
        <f t="shared" si="138"/>
        <v>-5869.8182933333319</v>
      </c>
      <c r="R257" s="167">
        <f t="shared" si="138"/>
        <v>-4945.8982933333336</v>
      </c>
      <c r="S257" s="167">
        <f t="shared" si="138"/>
        <v>-5136.4549600000119</v>
      </c>
      <c r="T257" s="167">
        <f t="shared" si="134"/>
        <v>-93534.523600000015</v>
      </c>
    </row>
    <row r="258" spans="2:20" x14ac:dyDescent="0.2">
      <c r="B258" s="428"/>
      <c r="C258" s="5"/>
      <c r="D258" s="5"/>
      <c r="E258" s="7"/>
      <c r="F258" s="7"/>
      <c r="G258" s="5"/>
      <c r="H258" s="393"/>
      <c r="I258" s="394"/>
      <c r="J258" s="394"/>
      <c r="K258" s="394"/>
      <c r="L258" s="394"/>
      <c r="M258" s="394"/>
      <c r="N258" s="394"/>
      <c r="O258" s="394"/>
      <c r="P258" s="394"/>
      <c r="Q258" s="394"/>
      <c r="R258" s="394"/>
      <c r="S258" s="394"/>
      <c r="T258" s="430"/>
    </row>
    <row r="259" spans="2:20" x14ac:dyDescent="0.2">
      <c r="B259" s="307" t="s">
        <v>140</v>
      </c>
      <c r="G259" s="15"/>
      <c r="H259" s="398"/>
      <c r="I259" s="399"/>
      <c r="J259" s="399"/>
      <c r="K259" s="399"/>
      <c r="L259" s="399"/>
      <c r="M259" s="399"/>
      <c r="N259" s="399"/>
      <c r="O259" s="399"/>
      <c r="P259" s="399"/>
      <c r="Q259" s="399"/>
      <c r="R259" s="399"/>
      <c r="S259" s="399"/>
      <c r="T259" s="432"/>
    </row>
    <row r="260" spans="2:20" x14ac:dyDescent="0.2">
      <c r="B260" s="308"/>
      <c r="C260" s="24" t="s">
        <v>23</v>
      </c>
      <c r="D260" s="5"/>
      <c r="E260" s="7"/>
      <c r="F260" s="7"/>
      <c r="G260" s="5"/>
      <c r="H260" s="379">
        <f t="shared" ref="H260:T260" si="139">H183</f>
        <v>-14715.564959999994</v>
      </c>
      <c r="I260" s="380">
        <f t="shared" si="139"/>
        <v>-13845.322737777775</v>
      </c>
      <c r="J260" s="380">
        <f t="shared" si="139"/>
        <v>-14306.59384888889</v>
      </c>
      <c r="K260" s="380">
        <f t="shared" si="139"/>
        <v>-11463.958293333331</v>
      </c>
      <c r="L260" s="380">
        <f t="shared" si="139"/>
        <v>-10623.604960000001</v>
      </c>
      <c r="M260" s="380">
        <f t="shared" si="139"/>
        <v>-9598.3649600000026</v>
      </c>
      <c r="N260" s="380">
        <f t="shared" si="139"/>
        <v>-8679.3449599999985</v>
      </c>
      <c r="O260" s="380">
        <f t="shared" si="139"/>
        <v>-7744.2649600000032</v>
      </c>
      <c r="P260" s="380">
        <f t="shared" si="139"/>
        <v>-6804.2582933333324</v>
      </c>
      <c r="Q260" s="380">
        <f t="shared" si="139"/>
        <v>-5881.9049600000017</v>
      </c>
      <c r="R260" s="380">
        <f t="shared" si="139"/>
        <v>-4957.9849600000034</v>
      </c>
      <c r="S260" s="380">
        <f t="shared" si="139"/>
        <v>-3951.1049600000056</v>
      </c>
      <c r="T260" s="417">
        <f t="shared" si="139"/>
        <v>-112572.27285333334</v>
      </c>
    </row>
    <row r="261" spans="2:20" x14ac:dyDescent="0.2">
      <c r="B261" s="308"/>
      <c r="C261" s="24" t="s">
        <v>45</v>
      </c>
      <c r="H261" s="379">
        <f t="shared" ref="H261:T261" si="140">H155</f>
        <v>15.833333333333334</v>
      </c>
      <c r="I261" s="380">
        <f t="shared" si="140"/>
        <v>0</v>
      </c>
      <c r="J261" s="380">
        <f t="shared" si="140"/>
        <v>0</v>
      </c>
      <c r="K261" s="380">
        <f t="shared" si="140"/>
        <v>0.83333333333333337</v>
      </c>
      <c r="L261" s="380">
        <f t="shared" si="140"/>
        <v>1</v>
      </c>
      <c r="M261" s="380">
        <f t="shared" si="140"/>
        <v>0</v>
      </c>
      <c r="N261" s="380">
        <f t="shared" si="140"/>
        <v>2.5</v>
      </c>
      <c r="O261" s="380">
        <f t="shared" si="140"/>
        <v>0</v>
      </c>
      <c r="P261" s="380">
        <f t="shared" si="140"/>
        <v>0.83333333333333337</v>
      </c>
      <c r="Q261" s="380">
        <f t="shared" si="140"/>
        <v>0</v>
      </c>
      <c r="R261" s="380">
        <f t="shared" si="140"/>
        <v>0</v>
      </c>
      <c r="S261" s="380">
        <f t="shared" si="140"/>
        <v>1</v>
      </c>
      <c r="T261" s="417">
        <f t="shared" si="140"/>
        <v>22</v>
      </c>
    </row>
    <row r="262" spans="2:20" ht="17" thickBot="1" x14ac:dyDescent="0.25">
      <c r="B262" s="308"/>
      <c r="C262" s="24" t="s">
        <v>46</v>
      </c>
      <c r="H262" s="379">
        <f t="shared" ref="H262:S262" si="141">H248-G248</f>
        <v>-11449.772586666659</v>
      </c>
      <c r="I262" s="380">
        <f t="shared" si="141"/>
        <v>1110.2799999999916</v>
      </c>
      <c r="J262" s="380">
        <f t="shared" si="141"/>
        <v>1338.9000000000087</v>
      </c>
      <c r="K262" s="380">
        <f t="shared" si="141"/>
        <v>1371.1533333333282</v>
      </c>
      <c r="L262" s="380">
        <f t="shared" si="141"/>
        <v>1068.6133333333346</v>
      </c>
      <c r="M262" s="380">
        <f t="shared" si="141"/>
        <v>1297.2333333333299</v>
      </c>
      <c r="N262" s="380">
        <f t="shared" si="141"/>
        <v>1142.9133333333302</v>
      </c>
      <c r="O262" s="380">
        <f t="shared" si="141"/>
        <v>1142.820000000007</v>
      </c>
      <c r="P262" s="380">
        <f t="shared" si="141"/>
        <v>1222.9333333333343</v>
      </c>
      <c r="Q262" s="380">
        <f t="shared" si="141"/>
        <v>1142.9133333333302</v>
      </c>
      <c r="R262" s="380">
        <f t="shared" si="141"/>
        <v>1142.9133333333302</v>
      </c>
      <c r="S262" s="380">
        <f t="shared" si="141"/>
        <v>1274.8500000000058</v>
      </c>
      <c r="T262" s="417">
        <f t="shared" ref="T262:T268" si="142">SUM(H262:S262)</f>
        <v>1805.7507466666721</v>
      </c>
    </row>
    <row r="263" spans="2:20" ht="17" thickTop="1" x14ac:dyDescent="0.2">
      <c r="B263" s="250" t="s">
        <v>141</v>
      </c>
      <c r="C263" s="237"/>
      <c r="D263" s="237"/>
      <c r="E263" s="237"/>
      <c r="F263" s="237"/>
      <c r="G263" s="237"/>
      <c r="H263" s="167">
        <f>H260+H261-H262</f>
        <v>-3249.9590400000016</v>
      </c>
      <c r="I263" s="167">
        <f t="shared" ref="I263:S263" si="143">I260+I261-I262</f>
        <v>-14955.602737777766</v>
      </c>
      <c r="J263" s="167">
        <f t="shared" si="143"/>
        <v>-15645.493848888898</v>
      </c>
      <c r="K263" s="167">
        <f t="shared" si="143"/>
        <v>-12834.278293333326</v>
      </c>
      <c r="L263" s="167">
        <f t="shared" si="143"/>
        <v>-11691.218293333335</v>
      </c>
      <c r="M263" s="167">
        <f t="shared" si="143"/>
        <v>-10895.598293333333</v>
      </c>
      <c r="N263" s="167">
        <f t="shared" si="143"/>
        <v>-9819.7582933333288</v>
      </c>
      <c r="O263" s="167">
        <f t="shared" si="143"/>
        <v>-8887.0849600000111</v>
      </c>
      <c r="P263" s="167">
        <f t="shared" si="143"/>
        <v>-8026.3582933333337</v>
      </c>
      <c r="Q263" s="167">
        <f t="shared" si="143"/>
        <v>-7024.8182933333319</v>
      </c>
      <c r="R263" s="167">
        <f t="shared" si="143"/>
        <v>-6100.8982933333336</v>
      </c>
      <c r="S263" s="167">
        <f t="shared" si="143"/>
        <v>-5224.9549600000119</v>
      </c>
      <c r="T263" s="167">
        <f t="shared" si="142"/>
        <v>-114356.02360000001</v>
      </c>
    </row>
    <row r="264" spans="2:20" x14ac:dyDescent="0.2">
      <c r="B264" s="428"/>
      <c r="C264" s="5"/>
      <c r="D264" s="5"/>
      <c r="E264" s="7"/>
      <c r="F264" s="7"/>
      <c r="G264" s="5"/>
      <c r="H264" s="393"/>
      <c r="I264" s="394"/>
      <c r="J264" s="394"/>
      <c r="K264" s="394"/>
      <c r="L264" s="394"/>
      <c r="M264" s="394"/>
      <c r="N264" s="394"/>
      <c r="O264" s="394"/>
      <c r="P264" s="394"/>
      <c r="Q264" s="394"/>
      <c r="R264" s="394"/>
      <c r="S264" s="394"/>
      <c r="T264" s="430"/>
    </row>
    <row r="265" spans="2:20" x14ac:dyDescent="0.2">
      <c r="B265" s="307" t="s">
        <v>142</v>
      </c>
      <c r="C265" s="5"/>
      <c r="D265" s="5"/>
      <c r="E265" s="7"/>
      <c r="F265" s="7"/>
      <c r="G265" s="5"/>
      <c r="H265" s="393"/>
      <c r="I265" s="394"/>
      <c r="J265" s="394"/>
      <c r="K265" s="394"/>
      <c r="L265" s="394"/>
      <c r="M265" s="394"/>
      <c r="N265" s="394"/>
      <c r="O265" s="394"/>
      <c r="P265" s="394"/>
      <c r="Q265" s="394"/>
      <c r="R265" s="394"/>
      <c r="S265" s="394"/>
      <c r="T265" s="430"/>
    </row>
    <row r="266" spans="2:20" x14ac:dyDescent="0.2">
      <c r="B266" s="308"/>
      <c r="C266" t="s">
        <v>47</v>
      </c>
      <c r="H266" s="382">
        <f>H200</f>
        <v>19000</v>
      </c>
      <c r="I266" s="383">
        <f t="shared" ref="I266:S266" si="144">I200</f>
        <v>0</v>
      </c>
      <c r="J266" s="383">
        <f t="shared" si="144"/>
        <v>0</v>
      </c>
      <c r="K266" s="383">
        <f t="shared" si="144"/>
        <v>1000</v>
      </c>
      <c r="L266" s="383">
        <f t="shared" si="144"/>
        <v>1200</v>
      </c>
      <c r="M266" s="383">
        <f t="shared" si="144"/>
        <v>0</v>
      </c>
      <c r="N266" s="383">
        <f t="shared" si="144"/>
        <v>3000</v>
      </c>
      <c r="O266" s="383">
        <f t="shared" si="144"/>
        <v>0</v>
      </c>
      <c r="P266" s="383">
        <f t="shared" si="144"/>
        <v>1000</v>
      </c>
      <c r="Q266" s="383">
        <f t="shared" si="144"/>
        <v>0</v>
      </c>
      <c r="R266" s="383">
        <f t="shared" si="144"/>
        <v>0</v>
      </c>
      <c r="S266" s="383">
        <f t="shared" si="144"/>
        <v>1200</v>
      </c>
      <c r="T266" s="425">
        <f t="shared" si="142"/>
        <v>26400</v>
      </c>
    </row>
    <row r="267" spans="2:20" ht="17" thickBot="1" x14ac:dyDescent="0.25">
      <c r="B267" s="308"/>
      <c r="C267" s="457" t="s">
        <v>43</v>
      </c>
      <c r="D267" s="457"/>
      <c r="E267" s="457"/>
      <c r="F267" s="457"/>
      <c r="G267" s="457"/>
      <c r="H267" s="458">
        <v>0</v>
      </c>
      <c r="I267" s="459">
        <v>0</v>
      </c>
      <c r="J267" s="459">
        <v>0</v>
      </c>
      <c r="K267" s="459">
        <v>0</v>
      </c>
      <c r="L267" s="459">
        <v>0</v>
      </c>
      <c r="M267" s="459">
        <v>0</v>
      </c>
      <c r="N267" s="459">
        <v>0</v>
      </c>
      <c r="O267" s="459">
        <v>0</v>
      </c>
      <c r="P267" s="459">
        <v>0</v>
      </c>
      <c r="Q267" s="459">
        <v>0</v>
      </c>
      <c r="R267" s="459">
        <v>0</v>
      </c>
      <c r="S267" s="459">
        <v>0</v>
      </c>
      <c r="T267" s="417">
        <f t="shared" si="142"/>
        <v>0</v>
      </c>
    </row>
    <row r="268" spans="2:20" ht="17" thickTop="1" x14ac:dyDescent="0.2">
      <c r="B268" s="250" t="s">
        <v>144</v>
      </c>
      <c r="C268" s="237"/>
      <c r="D268" s="237"/>
      <c r="E268" s="237"/>
      <c r="F268" s="237"/>
      <c r="G268" s="237"/>
      <c r="H268" s="167">
        <f>-H266+H267</f>
        <v>-19000</v>
      </c>
      <c r="I268" s="167">
        <f t="shared" ref="I268:S268" si="145">-I266+I267</f>
        <v>0</v>
      </c>
      <c r="J268" s="167">
        <f t="shared" si="145"/>
        <v>0</v>
      </c>
      <c r="K268" s="167">
        <f t="shared" si="145"/>
        <v>-1000</v>
      </c>
      <c r="L268" s="167">
        <f t="shared" si="145"/>
        <v>-1200</v>
      </c>
      <c r="M268" s="167">
        <f t="shared" si="145"/>
        <v>0</v>
      </c>
      <c r="N268" s="167">
        <f t="shared" si="145"/>
        <v>-3000</v>
      </c>
      <c r="O268" s="167">
        <f t="shared" si="145"/>
        <v>0</v>
      </c>
      <c r="P268" s="167">
        <f t="shared" si="145"/>
        <v>-1000</v>
      </c>
      <c r="Q268" s="167">
        <f t="shared" si="145"/>
        <v>0</v>
      </c>
      <c r="R268" s="167">
        <f t="shared" si="145"/>
        <v>0</v>
      </c>
      <c r="S268" s="167">
        <f t="shared" si="145"/>
        <v>-1200</v>
      </c>
      <c r="T268" s="167">
        <f t="shared" si="142"/>
        <v>-26400</v>
      </c>
    </row>
    <row r="269" spans="2:20" x14ac:dyDescent="0.2">
      <c r="B269" s="428"/>
      <c r="C269" s="5"/>
      <c r="D269" s="5"/>
      <c r="E269" s="7"/>
      <c r="F269" s="7"/>
      <c r="G269" s="5"/>
      <c r="H269" s="393"/>
      <c r="I269" s="394"/>
      <c r="J269" s="394"/>
      <c r="K269" s="394"/>
      <c r="L269" s="394"/>
      <c r="M269" s="394"/>
      <c r="N269" s="394"/>
      <c r="O269" s="394"/>
      <c r="P269" s="394"/>
      <c r="Q269" s="394"/>
      <c r="R269" s="394"/>
      <c r="S269" s="394"/>
      <c r="T269" s="430"/>
    </row>
    <row r="270" spans="2:20" x14ac:dyDescent="0.2">
      <c r="B270" s="307" t="s">
        <v>143</v>
      </c>
      <c r="C270" s="5"/>
      <c r="D270" s="5"/>
      <c r="E270" s="7"/>
      <c r="F270" s="7"/>
      <c r="G270" s="5"/>
      <c r="H270" s="393"/>
      <c r="I270" s="394"/>
      <c r="J270" s="394"/>
      <c r="K270" s="394"/>
      <c r="L270" s="394"/>
      <c r="M270" s="394"/>
      <c r="N270" s="394"/>
      <c r="O270" s="394"/>
      <c r="P270" s="394"/>
      <c r="Q270" s="394"/>
      <c r="R270" s="394"/>
      <c r="S270" s="394"/>
      <c r="T270" s="430"/>
    </row>
    <row r="271" spans="2:20" x14ac:dyDescent="0.2">
      <c r="B271" s="308"/>
      <c r="C271" s="457" t="s">
        <v>44</v>
      </c>
      <c r="D271" s="457"/>
      <c r="E271" s="457"/>
      <c r="F271" s="457"/>
      <c r="G271" s="457"/>
      <c r="H271" s="458">
        <v>0</v>
      </c>
      <c r="I271" s="459">
        <v>0</v>
      </c>
      <c r="J271" s="459">
        <v>0</v>
      </c>
      <c r="K271" s="459">
        <v>0</v>
      </c>
      <c r="L271" s="459">
        <v>0</v>
      </c>
      <c r="M271" s="459">
        <v>0</v>
      </c>
      <c r="N271" s="459">
        <v>0</v>
      </c>
      <c r="O271" s="459">
        <v>0</v>
      </c>
      <c r="P271" s="459">
        <v>0</v>
      </c>
      <c r="Q271" s="459">
        <v>0</v>
      </c>
      <c r="R271" s="459">
        <v>0</v>
      </c>
      <c r="S271" s="459">
        <v>0</v>
      </c>
      <c r="T271" s="417">
        <f t="shared" ref="T271:T283" si="146">SUM(H271:S271)</f>
        <v>0</v>
      </c>
    </row>
    <row r="272" spans="2:20" x14ac:dyDescent="0.2">
      <c r="B272" s="308"/>
      <c r="C272" t="s">
        <v>123</v>
      </c>
      <c r="H272" s="379">
        <f>IFERROR(INDEX('Financing Schedule'!$C$13:$E$17,MATCH(H$251,'Financing Schedule'!$B$13:$B$17,FALSE),3),0)</f>
        <v>0</v>
      </c>
      <c r="I272" s="380">
        <f>IFERROR(INDEX('Financing Schedule'!$C$13:$E$17,MATCH(I$251,'Financing Schedule'!$B$13:$B$17,FALSE),3),0)</f>
        <v>0</v>
      </c>
      <c r="J272" s="380">
        <f>IFERROR(INDEX('Financing Schedule'!$C$13:$E$17,MATCH(J$251,'Financing Schedule'!$B$13:$B$17,FALSE),3),0)</f>
        <v>0</v>
      </c>
      <c r="K272" s="380">
        <f>IFERROR(INDEX('Financing Schedule'!$C$13:$E$17,MATCH(K$251,'Financing Schedule'!$B$13:$B$17,FALSE),3),0)</f>
        <v>0</v>
      </c>
      <c r="L272" s="380">
        <f>IFERROR(INDEX('Financing Schedule'!$C$13:$E$17,MATCH(L$251,'Financing Schedule'!$B$13:$B$17,FALSE),3),0)</f>
        <v>0</v>
      </c>
      <c r="M272" s="380">
        <f>IFERROR(INDEX('Financing Schedule'!$C$13:$E$17,MATCH(M$251,'Financing Schedule'!$B$13:$B$17,FALSE),3),0)</f>
        <v>0</v>
      </c>
      <c r="N272" s="380">
        <f>IFERROR(INDEX('Financing Schedule'!$C$13:$E$17,MATCH(N$251,'Financing Schedule'!$B$13:$B$17,FALSE),3),0)</f>
        <v>0</v>
      </c>
      <c r="O272" s="380">
        <f>IFERROR(INDEX('Financing Schedule'!$C$13:$E$17,MATCH(O$251,'Financing Schedule'!$B$13:$B$17,FALSE),3),0)</f>
        <v>0</v>
      </c>
      <c r="P272" s="380">
        <f>IFERROR(INDEX('Financing Schedule'!$C$13:$E$17,MATCH(P$251,'Financing Schedule'!$B$13:$B$17,FALSE),3),0)</f>
        <v>0</v>
      </c>
      <c r="Q272" s="380">
        <f>IFERROR(INDEX('Financing Schedule'!$C$13:$E$17,MATCH(Q$251,'Financing Schedule'!$B$13:$B$17,FALSE),3),0)</f>
        <v>0</v>
      </c>
      <c r="R272" s="380">
        <f>IFERROR(INDEX('Financing Schedule'!$C$13:$E$17,MATCH(R$251,'Financing Schedule'!$B$13:$B$17,FALSE),3),0)</f>
        <v>0</v>
      </c>
      <c r="S272" s="380">
        <f>IFERROR(INDEX('Financing Schedule'!$C$13:$E$17,MATCH(S$251,'Financing Schedule'!$B$13:$B$17,FALSE),3),0)</f>
        <v>0</v>
      </c>
      <c r="T272" s="417">
        <f>SUM(H272:S272)</f>
        <v>0</v>
      </c>
    </row>
    <row r="273" spans="2:20" x14ac:dyDescent="0.2">
      <c r="B273" s="308"/>
      <c r="C273" s="457" t="s">
        <v>122</v>
      </c>
      <c r="D273" s="457"/>
      <c r="E273" s="457"/>
      <c r="F273" s="457"/>
      <c r="G273" s="457"/>
      <c r="H273" s="458">
        <v>0</v>
      </c>
      <c r="I273" s="459">
        <v>0</v>
      </c>
      <c r="J273" s="459">
        <v>0</v>
      </c>
      <c r="K273" s="459">
        <v>0</v>
      </c>
      <c r="L273" s="459">
        <v>0</v>
      </c>
      <c r="M273" s="459">
        <v>0</v>
      </c>
      <c r="N273" s="459">
        <v>0</v>
      </c>
      <c r="O273" s="459">
        <v>0</v>
      </c>
      <c r="P273" s="459">
        <v>0</v>
      </c>
      <c r="Q273" s="459">
        <v>0</v>
      </c>
      <c r="R273" s="459">
        <v>0</v>
      </c>
      <c r="S273" s="459">
        <v>0</v>
      </c>
      <c r="T273" s="417">
        <f>SUM(H273:S273)</f>
        <v>0</v>
      </c>
    </row>
    <row r="274" spans="2:20" x14ac:dyDescent="0.2">
      <c r="B274" s="308"/>
      <c r="C274" t="s">
        <v>125</v>
      </c>
      <c r="H274" s="379">
        <f>IFERROR(INDEX('Financing Schedule'!$H$13:$L$17,MATCH(H$251,'Financing Schedule'!$G$13:$G$17,FALSE),3),0)</f>
        <v>0</v>
      </c>
      <c r="I274" s="380">
        <f>IFERROR(INDEX('Financing Schedule'!$H$13:$L$17,MATCH(I$251,'Financing Schedule'!$G$13:$G$17,FALSE),3),0)</f>
        <v>0</v>
      </c>
      <c r="J274" s="380">
        <f>IFERROR(INDEX('Financing Schedule'!$H$13:$L$17,MATCH(J$251,'Financing Schedule'!$G$13:$G$17,FALSE),3),0)</f>
        <v>0</v>
      </c>
      <c r="K274" s="380">
        <f>IFERROR(INDEX('Financing Schedule'!$H$13:$L$17,MATCH(K$251,'Financing Schedule'!$G$13:$G$17,FALSE),3),0)</f>
        <v>0</v>
      </c>
      <c r="L274" s="380">
        <f>IFERROR(INDEX('Financing Schedule'!$H$13:$L$17,MATCH(L$251,'Financing Schedule'!$G$13:$G$17,FALSE),3),0)</f>
        <v>0</v>
      </c>
      <c r="M274" s="380">
        <f>IFERROR(INDEX('Financing Schedule'!$H$13:$L$17,MATCH(M$251,'Financing Schedule'!$G$13:$G$17,FALSE),3),0)</f>
        <v>0</v>
      </c>
      <c r="N274" s="380">
        <f>IFERROR(INDEX('Financing Schedule'!$H$13:$L$17,MATCH(N$251,'Financing Schedule'!$G$13:$G$17,FALSE),3),0)</f>
        <v>0</v>
      </c>
      <c r="O274" s="380">
        <f>IFERROR(INDEX('Financing Schedule'!$H$13:$L$17,MATCH(O$251,'Financing Schedule'!$G$13:$G$17,FALSE),3),0)</f>
        <v>0</v>
      </c>
      <c r="P274" s="380">
        <f>IFERROR(INDEX('Financing Schedule'!$H$13:$L$17,MATCH(P$251,'Financing Schedule'!$G$13:$G$17,FALSE),3),0)</f>
        <v>0</v>
      </c>
      <c r="Q274" s="380">
        <f>IFERROR(INDEX('Financing Schedule'!$H$13:$L$17,MATCH(Q$251,'Financing Schedule'!$G$13:$G$17,FALSE),3),0)</f>
        <v>0</v>
      </c>
      <c r="R274" s="380">
        <f>IFERROR(INDEX('Financing Schedule'!$H$13:$L$17,MATCH(R$251,'Financing Schedule'!$G$13:$G$17,FALSE),3),0)</f>
        <v>0</v>
      </c>
      <c r="S274" s="380">
        <f>IFERROR(INDEX('Financing Schedule'!$H$13:$L$17,MATCH(S$251,'Financing Schedule'!$G$13:$G$17,FALSE),3),0)</f>
        <v>0</v>
      </c>
      <c r="T274" s="417">
        <f>SUM(H274:S274)</f>
        <v>0</v>
      </c>
    </row>
    <row r="275" spans="2:20" x14ac:dyDescent="0.2">
      <c r="B275" s="308"/>
      <c r="C275" t="s">
        <v>126</v>
      </c>
      <c r="H275" s="379"/>
      <c r="I275" s="380"/>
      <c r="J275" s="380"/>
      <c r="K275" s="380"/>
      <c r="L275" s="380"/>
      <c r="M275" s="380"/>
      <c r="N275" s="380"/>
      <c r="O275" s="380"/>
      <c r="P275" s="380"/>
      <c r="Q275" s="380"/>
      <c r="R275" s="380"/>
      <c r="S275" s="380"/>
      <c r="T275" s="417"/>
    </row>
    <row r="276" spans="2:20" x14ac:dyDescent="0.2">
      <c r="B276" s="308"/>
      <c r="D276" s="457" t="s">
        <v>156</v>
      </c>
      <c r="E276" s="457"/>
      <c r="F276" s="457"/>
      <c r="G276" s="457"/>
      <c r="H276" s="458">
        <v>0</v>
      </c>
      <c r="I276" s="459">
        <v>0</v>
      </c>
      <c r="J276" s="459">
        <v>0</v>
      </c>
      <c r="K276" s="459">
        <v>0</v>
      </c>
      <c r="L276" s="459">
        <v>0</v>
      </c>
      <c r="M276" s="459">
        <v>0</v>
      </c>
      <c r="N276" s="459">
        <v>0</v>
      </c>
      <c r="O276" s="459">
        <v>0</v>
      </c>
      <c r="P276" s="459">
        <v>0</v>
      </c>
      <c r="Q276" s="459">
        <v>0</v>
      </c>
      <c r="R276" s="459">
        <v>0</v>
      </c>
      <c r="S276" s="459">
        <v>0</v>
      </c>
      <c r="T276" s="417">
        <f>SUM(H276:S276)</f>
        <v>0</v>
      </c>
    </row>
    <row r="277" spans="2:20" x14ac:dyDescent="0.2">
      <c r="B277" s="308"/>
      <c r="D277" t="s">
        <v>158</v>
      </c>
      <c r="H277" s="379">
        <f>IFERROR(IF(AND(H$251&gt;'Financing Schedule'!$G13,H$251&lt;='Financing Schedule'!$G13+'Financing Schedule'!$L13),'Financing Schedule'!$I13,0),0)</f>
        <v>4166.666666666667</v>
      </c>
      <c r="I277" s="380">
        <f>IFERROR(IF(AND(I$251&gt;'Financing Schedule'!$G13,I$251&lt;='Financing Schedule'!$G13+'Financing Schedule'!$L13),'Financing Schedule'!$I13,0),0)</f>
        <v>4166.666666666667</v>
      </c>
      <c r="J277" s="380">
        <f>IFERROR(IF(AND(J$251&gt;'Financing Schedule'!$G13,J$251&lt;='Financing Schedule'!$G13+'Financing Schedule'!$L13),'Financing Schedule'!$I13,0),0)</f>
        <v>4166.666666666667</v>
      </c>
      <c r="K277" s="380">
        <f>IFERROR(IF(AND(K$251&gt;'Financing Schedule'!$G13,K$251&lt;='Financing Schedule'!$G13+'Financing Schedule'!$L13),'Financing Schedule'!$I13,0),0)</f>
        <v>0</v>
      </c>
      <c r="L277" s="380">
        <f>IFERROR(IF(AND(L$251&gt;'Financing Schedule'!$G13,L$251&lt;='Financing Schedule'!$G13+'Financing Schedule'!$L13),'Financing Schedule'!$I13,0),0)</f>
        <v>0</v>
      </c>
      <c r="M277" s="380">
        <f>IFERROR(IF(AND(M$251&gt;'Financing Schedule'!$G13,M$251&lt;='Financing Schedule'!$G13+'Financing Schedule'!$L13),'Financing Schedule'!$I13,0),0)</f>
        <v>0</v>
      </c>
      <c r="N277" s="380">
        <f>IFERROR(IF(AND(N$251&gt;'Financing Schedule'!$G13,N$251&lt;='Financing Schedule'!$G13+'Financing Schedule'!$L13),'Financing Schedule'!$I13,0),0)</f>
        <v>0</v>
      </c>
      <c r="O277" s="380">
        <f>IFERROR(IF(AND(O$251&gt;'Financing Schedule'!$G13,O$251&lt;='Financing Schedule'!$G13+'Financing Schedule'!$L13),'Financing Schedule'!$I13,0),0)</f>
        <v>0</v>
      </c>
      <c r="P277" s="380">
        <f>IFERROR(IF(AND(P$251&gt;'Financing Schedule'!$G13,P$251&lt;='Financing Schedule'!$G13+'Financing Schedule'!$L13),'Financing Schedule'!$I13,0),0)</f>
        <v>0</v>
      </c>
      <c r="Q277" s="380">
        <f>IFERROR(IF(AND(Q$251&gt;'Financing Schedule'!$G13,Q$251&lt;='Financing Schedule'!$G13+'Financing Schedule'!$L13),'Financing Schedule'!$I13,0),0)</f>
        <v>0</v>
      </c>
      <c r="R277" s="380">
        <f>IFERROR(IF(AND(R$251&gt;'Financing Schedule'!$G13,R$251&lt;='Financing Schedule'!$G13+'Financing Schedule'!$L13),'Financing Schedule'!$I13,0),0)</f>
        <v>0</v>
      </c>
      <c r="S277" s="380">
        <f>IFERROR(IF(AND(S$251&gt;'Financing Schedule'!$G13,S$251&lt;='Financing Schedule'!$G13+'Financing Schedule'!$L13),'Financing Schedule'!$I13,0),0)</f>
        <v>0</v>
      </c>
      <c r="T277" s="417">
        <f>SUM(H277:S277)</f>
        <v>12500</v>
      </c>
    </row>
    <row r="278" spans="2:20" x14ac:dyDescent="0.2">
      <c r="B278" s="308"/>
      <c r="D278" t="s">
        <v>159</v>
      </c>
      <c r="H278" s="379">
        <f>IFERROR(IF(AND(H$251&gt;'Financing Schedule'!$G14,H$251&lt;='Financing Schedule'!$G14+'Financing Schedule'!$L14),'Financing Schedule'!$I14,0),0)</f>
        <v>0</v>
      </c>
      <c r="I278" s="380">
        <f>IFERROR(IF(AND(I$251&gt;'Financing Schedule'!$G14,I$251&lt;='Financing Schedule'!$G14+'Financing Schedule'!$L14),'Financing Schedule'!$I14,0),0)</f>
        <v>0</v>
      </c>
      <c r="J278" s="380">
        <f>IFERROR(IF(AND(J$251&gt;'Financing Schedule'!$G14,J$251&lt;='Financing Schedule'!$G14+'Financing Schedule'!$L14),'Financing Schedule'!$I14,0),0)</f>
        <v>0</v>
      </c>
      <c r="K278" s="380">
        <f>IFERROR(IF(AND(K$251&gt;'Financing Schedule'!$G14,K$251&lt;='Financing Schedule'!$G14+'Financing Schedule'!$L14),'Financing Schedule'!$I14,0),0)</f>
        <v>0</v>
      </c>
      <c r="L278" s="380">
        <f>IFERROR(IF(AND(L$251&gt;'Financing Schedule'!$G14,L$251&lt;='Financing Schedule'!$G14+'Financing Schedule'!$L14),'Financing Schedule'!$I14,0),0)</f>
        <v>0</v>
      </c>
      <c r="M278" s="380">
        <f>IFERROR(IF(AND(M$251&gt;'Financing Schedule'!$G14,M$251&lt;='Financing Schedule'!$G14+'Financing Schedule'!$L14),'Financing Schedule'!$I14,0),0)</f>
        <v>0</v>
      </c>
      <c r="N278" s="380">
        <f>IFERROR(IF(AND(N$251&gt;'Financing Schedule'!$G14,N$251&lt;='Financing Schedule'!$G14+'Financing Schedule'!$L14),'Financing Schedule'!$I14,0),0)</f>
        <v>0</v>
      </c>
      <c r="O278" s="380">
        <f>IFERROR(IF(AND(O$251&gt;'Financing Schedule'!$G14,O$251&lt;='Financing Schedule'!$G14+'Financing Schedule'!$L14),'Financing Schedule'!$I14,0),0)</f>
        <v>0</v>
      </c>
      <c r="P278" s="380">
        <f>IFERROR(IF(AND(P$251&gt;'Financing Schedule'!$G14,P$251&lt;='Financing Schedule'!$G14+'Financing Schedule'!$L14),'Financing Schedule'!$I14,0),0)</f>
        <v>0</v>
      </c>
      <c r="Q278" s="380">
        <f>IFERROR(IF(AND(Q$251&gt;'Financing Schedule'!$G14,Q$251&lt;='Financing Schedule'!$G14+'Financing Schedule'!$L14),'Financing Schedule'!$I14,0),0)</f>
        <v>0</v>
      </c>
      <c r="R278" s="380">
        <f>IFERROR(IF(AND(R$251&gt;'Financing Schedule'!$G14,R$251&lt;='Financing Schedule'!$G14+'Financing Schedule'!$L14),'Financing Schedule'!$I14,0),0)</f>
        <v>0</v>
      </c>
      <c r="S278" s="380">
        <f>IFERROR(IF(AND(S$251&gt;'Financing Schedule'!$G14,S$251&lt;='Financing Schedule'!$G14+'Financing Schedule'!$L14),'Financing Schedule'!$I14,0),0)</f>
        <v>0</v>
      </c>
      <c r="T278" s="417">
        <f t="shared" ref="T278:T281" si="147">SUM(H278:S278)</f>
        <v>0</v>
      </c>
    </row>
    <row r="279" spans="2:20" x14ac:dyDescent="0.2">
      <c r="B279" s="308"/>
      <c r="D279" t="s">
        <v>160</v>
      </c>
      <c r="H279" s="379">
        <f>IFERROR(IF(AND(H$251&gt;'Financing Schedule'!$G15,H$251&lt;='Financing Schedule'!$G15+'Financing Schedule'!$L15),'Financing Schedule'!$I15,0),0)</f>
        <v>0</v>
      </c>
      <c r="I279" s="380">
        <f>IFERROR(IF(AND(I$251&gt;'Financing Schedule'!$G15,I$251&lt;='Financing Schedule'!$G15+'Financing Schedule'!$L15),'Financing Schedule'!$I15,0),0)</f>
        <v>0</v>
      </c>
      <c r="J279" s="380">
        <f>IFERROR(IF(AND(J$251&gt;'Financing Schedule'!$G15,J$251&lt;='Financing Schedule'!$G15+'Financing Schedule'!$L15),'Financing Schedule'!$I15,0),0)</f>
        <v>0</v>
      </c>
      <c r="K279" s="380">
        <f>IFERROR(IF(AND(K$251&gt;'Financing Schedule'!$G15,K$251&lt;='Financing Schedule'!$G15+'Financing Schedule'!$L15),'Financing Schedule'!$I15,0),0)</f>
        <v>0</v>
      </c>
      <c r="L279" s="380">
        <f>IFERROR(IF(AND(L$251&gt;'Financing Schedule'!$G15,L$251&lt;='Financing Schedule'!$G15+'Financing Schedule'!$L15),'Financing Schedule'!$I15,0),0)</f>
        <v>0</v>
      </c>
      <c r="M279" s="380">
        <f>IFERROR(IF(AND(M$251&gt;'Financing Schedule'!$G15,M$251&lt;='Financing Schedule'!$G15+'Financing Schedule'!$L15),'Financing Schedule'!$I15,0),0)</f>
        <v>0</v>
      </c>
      <c r="N279" s="380">
        <f>IFERROR(IF(AND(N$251&gt;'Financing Schedule'!$G15,N$251&lt;='Financing Schedule'!$G15+'Financing Schedule'!$L15),'Financing Schedule'!$I15,0),0)</f>
        <v>0</v>
      </c>
      <c r="O279" s="380">
        <f>IFERROR(IF(AND(O$251&gt;'Financing Schedule'!$G15,O$251&lt;='Financing Schedule'!$G15+'Financing Schedule'!$L15),'Financing Schedule'!$I15,0),0)</f>
        <v>0</v>
      </c>
      <c r="P279" s="380">
        <f>IFERROR(IF(AND(P$251&gt;'Financing Schedule'!$G15,P$251&lt;='Financing Schedule'!$G15+'Financing Schedule'!$L15),'Financing Schedule'!$I15,0),0)</f>
        <v>0</v>
      </c>
      <c r="Q279" s="380">
        <f>IFERROR(IF(AND(Q$251&gt;'Financing Schedule'!$G15,Q$251&lt;='Financing Schedule'!$G15+'Financing Schedule'!$L15),'Financing Schedule'!$I15,0),0)</f>
        <v>0</v>
      </c>
      <c r="R279" s="380">
        <f>IFERROR(IF(AND(R$251&gt;'Financing Schedule'!$G15,R$251&lt;='Financing Schedule'!$G15+'Financing Schedule'!$L15),'Financing Schedule'!$I15,0),0)</f>
        <v>0</v>
      </c>
      <c r="S279" s="380">
        <f>IFERROR(IF(AND(S$251&gt;'Financing Schedule'!$G15,S$251&lt;='Financing Schedule'!$G15+'Financing Schedule'!$L15),'Financing Schedule'!$I15,0),0)</f>
        <v>0</v>
      </c>
      <c r="T279" s="417">
        <f t="shared" si="147"/>
        <v>0</v>
      </c>
    </row>
    <row r="280" spans="2:20" x14ac:dyDescent="0.2">
      <c r="B280" s="308"/>
      <c r="D280" t="s">
        <v>161</v>
      </c>
      <c r="H280" s="379">
        <f>IFERROR(IF(AND(H$251&gt;'Financing Schedule'!$G16,H$251&lt;='Financing Schedule'!$G16+'Financing Schedule'!$L16),'Financing Schedule'!$I16,0),0)</f>
        <v>0</v>
      </c>
      <c r="I280" s="380">
        <f>IFERROR(IF(AND(I$251&gt;'Financing Schedule'!$G16,I$251&lt;='Financing Schedule'!$G16+'Financing Schedule'!$L16),'Financing Schedule'!$I16,0),0)</f>
        <v>0</v>
      </c>
      <c r="J280" s="380">
        <f>IFERROR(IF(AND(J$251&gt;'Financing Schedule'!$G16,J$251&lt;='Financing Schedule'!$G16+'Financing Schedule'!$L16),'Financing Schedule'!$I16,0),0)</f>
        <v>0</v>
      </c>
      <c r="K280" s="380">
        <f>IFERROR(IF(AND(K$251&gt;'Financing Schedule'!$G16,K$251&lt;='Financing Schedule'!$G16+'Financing Schedule'!$L16),'Financing Schedule'!$I16,0),0)</f>
        <v>0</v>
      </c>
      <c r="L280" s="380">
        <f>IFERROR(IF(AND(L$251&gt;'Financing Schedule'!$G16,L$251&lt;='Financing Schedule'!$G16+'Financing Schedule'!$L16),'Financing Schedule'!$I16,0),0)</f>
        <v>0</v>
      </c>
      <c r="M280" s="380">
        <f>IFERROR(IF(AND(M$251&gt;'Financing Schedule'!$G16,M$251&lt;='Financing Schedule'!$G16+'Financing Schedule'!$L16),'Financing Schedule'!$I16,0),0)</f>
        <v>0</v>
      </c>
      <c r="N280" s="380">
        <f>IFERROR(IF(AND(N$251&gt;'Financing Schedule'!$G16,N$251&lt;='Financing Schedule'!$G16+'Financing Schedule'!$L16),'Financing Schedule'!$I16,0),0)</f>
        <v>0</v>
      </c>
      <c r="O280" s="380">
        <f>IFERROR(IF(AND(O$251&gt;'Financing Schedule'!$G16,O$251&lt;='Financing Schedule'!$G16+'Financing Schedule'!$L16),'Financing Schedule'!$I16,0),0)</f>
        <v>0</v>
      </c>
      <c r="P280" s="380">
        <f>IFERROR(IF(AND(P$251&gt;'Financing Schedule'!$G16,P$251&lt;='Financing Schedule'!$G16+'Financing Schedule'!$L16),'Financing Schedule'!$I16,0),0)</f>
        <v>0</v>
      </c>
      <c r="Q280" s="380">
        <f>IFERROR(IF(AND(Q$251&gt;'Financing Schedule'!$G16,Q$251&lt;='Financing Schedule'!$G16+'Financing Schedule'!$L16),'Financing Schedule'!$I16,0),0)</f>
        <v>0</v>
      </c>
      <c r="R280" s="380">
        <f>IFERROR(IF(AND(R$251&gt;'Financing Schedule'!$G16,R$251&lt;='Financing Schedule'!$G16+'Financing Schedule'!$L16),'Financing Schedule'!$I16,0),0)</f>
        <v>0</v>
      </c>
      <c r="S280" s="380">
        <f>IFERROR(IF(AND(S$251&gt;'Financing Schedule'!$G16,S$251&lt;='Financing Schedule'!$G16+'Financing Schedule'!$L16),'Financing Schedule'!$I16,0),0)</f>
        <v>0</v>
      </c>
      <c r="T280" s="417">
        <f t="shared" si="147"/>
        <v>0</v>
      </c>
    </row>
    <row r="281" spans="2:20" ht="17" thickBot="1" x14ac:dyDescent="0.25">
      <c r="B281" s="308"/>
      <c r="D281" t="s">
        <v>162</v>
      </c>
      <c r="H281" s="379">
        <f>IFERROR(IF(AND(H$251&gt;'Financing Schedule'!$G17,H$251&lt;='Financing Schedule'!$G17+'Financing Schedule'!$L17),'Financing Schedule'!$I17,0),0)</f>
        <v>0</v>
      </c>
      <c r="I281" s="380">
        <f>IFERROR(IF(AND(I$251&gt;'Financing Schedule'!$G17,I$251&lt;='Financing Schedule'!$G17+'Financing Schedule'!$L17),'Financing Schedule'!$I17,0),0)</f>
        <v>0</v>
      </c>
      <c r="J281" s="380">
        <f>IFERROR(IF(AND(J$251&gt;'Financing Schedule'!$G17,J$251&lt;='Financing Schedule'!$G17+'Financing Schedule'!$L17),'Financing Schedule'!$I17,0),0)</f>
        <v>0</v>
      </c>
      <c r="K281" s="380">
        <f>IFERROR(IF(AND(K$251&gt;'Financing Schedule'!$G17,K$251&lt;='Financing Schedule'!$G17+'Financing Schedule'!$L17),'Financing Schedule'!$I17,0),0)</f>
        <v>0</v>
      </c>
      <c r="L281" s="380">
        <f>IFERROR(IF(AND(L$251&gt;'Financing Schedule'!$G17,L$251&lt;='Financing Schedule'!$G17+'Financing Schedule'!$L17),'Financing Schedule'!$I17,0),0)</f>
        <v>0</v>
      </c>
      <c r="M281" s="380">
        <f>IFERROR(IF(AND(M$251&gt;'Financing Schedule'!$G17,M$251&lt;='Financing Schedule'!$G17+'Financing Schedule'!$L17),'Financing Schedule'!$I17,0),0)</f>
        <v>0</v>
      </c>
      <c r="N281" s="380">
        <f>IFERROR(IF(AND(N$251&gt;'Financing Schedule'!$G17,N$251&lt;='Financing Schedule'!$G17+'Financing Schedule'!$L17),'Financing Schedule'!$I17,0),0)</f>
        <v>0</v>
      </c>
      <c r="O281" s="380">
        <f>IFERROR(IF(AND(O$251&gt;'Financing Schedule'!$G17,O$251&lt;='Financing Schedule'!$G17+'Financing Schedule'!$L17),'Financing Schedule'!$I17,0),0)</f>
        <v>0</v>
      </c>
      <c r="P281" s="380">
        <f>IFERROR(IF(AND(P$251&gt;'Financing Schedule'!$G17,P$251&lt;='Financing Schedule'!$G17+'Financing Schedule'!$L17),'Financing Schedule'!$I17,0),0)</f>
        <v>0</v>
      </c>
      <c r="Q281" s="380">
        <f>IFERROR(IF(AND(Q$251&gt;'Financing Schedule'!$G17,Q$251&lt;='Financing Schedule'!$G17+'Financing Schedule'!$L17),'Financing Schedule'!$I17,0),0)</f>
        <v>0</v>
      </c>
      <c r="R281" s="380">
        <f>IFERROR(IF(AND(R$251&gt;'Financing Schedule'!$G17,R$251&lt;='Financing Schedule'!$G17+'Financing Schedule'!$L17),'Financing Schedule'!$I17,0),0)</f>
        <v>0</v>
      </c>
      <c r="S281" s="380">
        <f>IFERROR(IF(AND(S$251&gt;'Financing Schedule'!$G17,S$251&lt;='Financing Schedule'!$G17+'Financing Schedule'!$L17),'Financing Schedule'!$I17,0),0)</f>
        <v>0</v>
      </c>
      <c r="T281" s="417">
        <f t="shared" si="147"/>
        <v>0</v>
      </c>
    </row>
    <row r="282" spans="2:20" ht="18" thickTop="1" thickBot="1" x14ac:dyDescent="0.25">
      <c r="B282" s="308"/>
      <c r="C282" s="41" t="s">
        <v>124</v>
      </c>
      <c r="D282" s="42"/>
      <c r="E282" s="41"/>
      <c r="F282" s="43"/>
      <c r="G282" s="42"/>
      <c r="H282" s="391">
        <f>SUM(H276:H281)</f>
        <v>4166.666666666667</v>
      </c>
      <c r="I282" s="392">
        <f t="shared" ref="I282:S282" si="148">SUM(I276:I281)</f>
        <v>4166.666666666667</v>
      </c>
      <c r="J282" s="392">
        <f t="shared" si="148"/>
        <v>4166.666666666667</v>
      </c>
      <c r="K282" s="392">
        <f t="shared" si="148"/>
        <v>0</v>
      </c>
      <c r="L282" s="392">
        <f t="shared" si="148"/>
        <v>0</v>
      </c>
      <c r="M282" s="392">
        <f t="shared" si="148"/>
        <v>0</v>
      </c>
      <c r="N282" s="392">
        <f t="shared" si="148"/>
        <v>0</v>
      </c>
      <c r="O282" s="392">
        <f t="shared" si="148"/>
        <v>0</v>
      </c>
      <c r="P282" s="392">
        <f t="shared" si="148"/>
        <v>0</v>
      </c>
      <c r="Q282" s="392">
        <f t="shared" si="148"/>
        <v>0</v>
      </c>
      <c r="R282" s="392">
        <f t="shared" si="148"/>
        <v>0</v>
      </c>
      <c r="S282" s="392">
        <f t="shared" si="148"/>
        <v>0</v>
      </c>
      <c r="T282" s="433">
        <f>SUM(H282:S282)</f>
        <v>12500</v>
      </c>
    </row>
    <row r="283" spans="2:20" ht="17" thickTop="1" x14ac:dyDescent="0.2">
      <c r="B283" s="250" t="s">
        <v>145</v>
      </c>
      <c r="C283" s="237"/>
      <c r="D283" s="237"/>
      <c r="E283" s="237"/>
      <c r="F283" s="237"/>
      <c r="G283" s="237"/>
      <c r="H283" s="167">
        <f t="shared" ref="H283:S283" si="149">SUM(H271,H272,H274)-SUM(H273,H$282)</f>
        <v>-4166.666666666667</v>
      </c>
      <c r="I283" s="167">
        <f t="shared" si="149"/>
        <v>-4166.666666666667</v>
      </c>
      <c r="J283" s="167">
        <f t="shared" si="149"/>
        <v>-4166.666666666667</v>
      </c>
      <c r="K283" s="167">
        <f t="shared" si="149"/>
        <v>0</v>
      </c>
      <c r="L283" s="167">
        <f t="shared" si="149"/>
        <v>0</v>
      </c>
      <c r="M283" s="167">
        <f t="shared" si="149"/>
        <v>0</v>
      </c>
      <c r="N283" s="167">
        <f t="shared" si="149"/>
        <v>0</v>
      </c>
      <c r="O283" s="167">
        <f t="shared" si="149"/>
        <v>0</v>
      </c>
      <c r="P283" s="167">
        <f t="shared" si="149"/>
        <v>0</v>
      </c>
      <c r="Q283" s="167">
        <f t="shared" si="149"/>
        <v>0</v>
      </c>
      <c r="R283" s="167">
        <f t="shared" si="149"/>
        <v>0</v>
      </c>
      <c r="S283" s="167">
        <f t="shared" si="149"/>
        <v>0</v>
      </c>
      <c r="T283" s="167">
        <f t="shared" si="146"/>
        <v>-12500</v>
      </c>
    </row>
    <row r="284" spans="2:20" x14ac:dyDescent="0.2">
      <c r="B284" s="428"/>
      <c r="C284" s="5"/>
      <c r="D284" s="5"/>
      <c r="E284" s="7"/>
      <c r="F284" s="7"/>
      <c r="G284" s="5"/>
      <c r="H284" s="393"/>
      <c r="I284" s="394"/>
      <c r="J284" s="394"/>
      <c r="K284" s="394"/>
      <c r="L284" s="394"/>
      <c r="M284" s="394"/>
      <c r="N284" s="394"/>
      <c r="O284" s="394"/>
      <c r="P284" s="394"/>
      <c r="Q284" s="394"/>
      <c r="R284" s="394"/>
      <c r="S284" s="394"/>
      <c r="T284" s="430"/>
    </row>
    <row r="285" spans="2:20" x14ac:dyDescent="0.2">
      <c r="B285" s="308" t="s">
        <v>50</v>
      </c>
      <c r="H285" s="379">
        <f>'Year 2'!$S$287</f>
        <v>-739304.56933333329</v>
      </c>
      <c r="I285" s="380">
        <f t="shared" ref="I285:S285" si="150">H287</f>
        <v>-765721.1950399999</v>
      </c>
      <c r="J285" s="380">
        <f t="shared" si="150"/>
        <v>-784843.46444444428</v>
      </c>
      <c r="K285" s="380">
        <f t="shared" si="150"/>
        <v>-804655.62495999981</v>
      </c>
      <c r="L285" s="380">
        <f t="shared" si="150"/>
        <v>-818489.90325333318</v>
      </c>
      <c r="M285" s="380">
        <f t="shared" si="150"/>
        <v>-831381.12154666649</v>
      </c>
      <c r="N285" s="380">
        <f t="shared" si="150"/>
        <v>-842276.7198399998</v>
      </c>
      <c r="O285" s="380">
        <f t="shared" si="150"/>
        <v>-855096.47813333315</v>
      </c>
      <c r="P285" s="380">
        <f t="shared" si="150"/>
        <v>-863983.56309333316</v>
      </c>
      <c r="Q285" s="380">
        <f t="shared" si="150"/>
        <v>-873009.92138666648</v>
      </c>
      <c r="R285" s="380">
        <f t="shared" si="150"/>
        <v>-880034.73967999977</v>
      </c>
      <c r="S285" s="380">
        <f t="shared" si="150"/>
        <v>-886135.63797333313</v>
      </c>
      <c r="T285" s="417">
        <f>H285</f>
        <v>-739304.56933333329</v>
      </c>
    </row>
    <row r="286" spans="2:20" x14ac:dyDescent="0.2">
      <c r="B286" s="308"/>
      <c r="C286" s="24" t="s">
        <v>49</v>
      </c>
      <c r="H286" s="379">
        <f t="shared" ref="H286:T286" si="151">H263+H268+H283</f>
        <v>-26416.625706666669</v>
      </c>
      <c r="I286" s="380">
        <f t="shared" si="151"/>
        <v>-19122.269404444432</v>
      </c>
      <c r="J286" s="380">
        <f t="shared" si="151"/>
        <v>-19812.160515555566</v>
      </c>
      <c r="K286" s="380">
        <f t="shared" si="151"/>
        <v>-13834.278293333326</v>
      </c>
      <c r="L286" s="380">
        <f t="shared" si="151"/>
        <v>-12891.218293333335</v>
      </c>
      <c r="M286" s="380">
        <f t="shared" si="151"/>
        <v>-10895.598293333333</v>
      </c>
      <c r="N286" s="380">
        <f t="shared" si="151"/>
        <v>-12819.758293333329</v>
      </c>
      <c r="O286" s="380">
        <f t="shared" si="151"/>
        <v>-8887.0849600000111</v>
      </c>
      <c r="P286" s="380">
        <f t="shared" si="151"/>
        <v>-9026.3582933333346</v>
      </c>
      <c r="Q286" s="380">
        <f t="shared" si="151"/>
        <v>-7024.8182933333319</v>
      </c>
      <c r="R286" s="380">
        <f t="shared" si="151"/>
        <v>-6100.8982933333336</v>
      </c>
      <c r="S286" s="380">
        <f t="shared" si="151"/>
        <v>-6424.9549600000119</v>
      </c>
      <c r="T286" s="417">
        <f t="shared" si="151"/>
        <v>-153256.02360000001</v>
      </c>
    </row>
    <row r="287" spans="2:20" ht="17" thickBot="1" x14ac:dyDescent="0.25">
      <c r="B287" s="308" t="s">
        <v>51</v>
      </c>
      <c r="H287" s="379">
        <f>H285+H286</f>
        <v>-765721.1950399999</v>
      </c>
      <c r="I287" s="380">
        <f t="shared" ref="I287:T287" si="152">I285+I286</f>
        <v>-784843.46444444428</v>
      </c>
      <c r="J287" s="380">
        <f t="shared" si="152"/>
        <v>-804655.62495999981</v>
      </c>
      <c r="K287" s="380">
        <f t="shared" si="152"/>
        <v>-818489.90325333318</v>
      </c>
      <c r="L287" s="380">
        <f t="shared" si="152"/>
        <v>-831381.12154666649</v>
      </c>
      <c r="M287" s="380">
        <f t="shared" si="152"/>
        <v>-842276.7198399998</v>
      </c>
      <c r="N287" s="380">
        <f t="shared" si="152"/>
        <v>-855096.47813333315</v>
      </c>
      <c r="O287" s="380">
        <f t="shared" si="152"/>
        <v>-863983.56309333316</v>
      </c>
      <c r="P287" s="380">
        <f t="shared" si="152"/>
        <v>-873009.92138666648</v>
      </c>
      <c r="Q287" s="380">
        <f t="shared" si="152"/>
        <v>-880034.73967999977</v>
      </c>
      <c r="R287" s="380">
        <f t="shared" si="152"/>
        <v>-886135.63797333313</v>
      </c>
      <c r="S287" s="380">
        <f t="shared" si="152"/>
        <v>-892560.59293333313</v>
      </c>
      <c r="T287" s="417">
        <f t="shared" si="152"/>
        <v>-892560.59293333325</v>
      </c>
    </row>
    <row r="288" spans="2:20" ht="17" thickTop="1" x14ac:dyDescent="0.2">
      <c r="B288" s="250" t="s">
        <v>54</v>
      </c>
      <c r="C288" s="237"/>
      <c r="D288" s="237"/>
      <c r="E288" s="237"/>
      <c r="F288" s="237"/>
      <c r="G288" s="237"/>
      <c r="H288" s="167">
        <f>H287</f>
        <v>-765721.1950399999</v>
      </c>
      <c r="I288" s="167">
        <f t="shared" ref="I288:T288" si="153">I287</f>
        <v>-784843.46444444428</v>
      </c>
      <c r="J288" s="167">
        <f t="shared" si="153"/>
        <v>-804655.62495999981</v>
      </c>
      <c r="K288" s="167">
        <f t="shared" si="153"/>
        <v>-818489.90325333318</v>
      </c>
      <c r="L288" s="167">
        <f t="shared" si="153"/>
        <v>-831381.12154666649</v>
      </c>
      <c r="M288" s="167">
        <f t="shared" si="153"/>
        <v>-842276.7198399998</v>
      </c>
      <c r="N288" s="167">
        <f t="shared" si="153"/>
        <v>-855096.47813333315</v>
      </c>
      <c r="O288" s="167">
        <f t="shared" si="153"/>
        <v>-863983.56309333316</v>
      </c>
      <c r="P288" s="167">
        <f t="shared" si="153"/>
        <v>-873009.92138666648</v>
      </c>
      <c r="Q288" s="167">
        <f t="shared" si="153"/>
        <v>-880034.73967999977</v>
      </c>
      <c r="R288" s="167">
        <f t="shared" si="153"/>
        <v>-886135.63797333313</v>
      </c>
      <c r="S288" s="167">
        <f t="shared" si="153"/>
        <v>-892560.59293333313</v>
      </c>
      <c r="T288" s="167">
        <f t="shared" si="153"/>
        <v>-892560.59293333325</v>
      </c>
    </row>
    <row r="289" spans="2:20" ht="17" thickBot="1" x14ac:dyDescent="0.25">
      <c r="B289" s="308"/>
      <c r="H289" s="367"/>
      <c r="I289" s="368"/>
      <c r="J289" s="368"/>
      <c r="K289" s="368"/>
      <c r="L289" s="368"/>
      <c r="M289" s="368"/>
      <c r="N289" s="368"/>
      <c r="O289" s="368"/>
      <c r="P289" s="368"/>
      <c r="Q289" s="368"/>
      <c r="R289" s="368"/>
      <c r="S289" s="368"/>
      <c r="T289" s="407"/>
    </row>
    <row r="290" spans="2:20" ht="17" thickTop="1" x14ac:dyDescent="0.2">
      <c r="B290" s="250" t="s">
        <v>48</v>
      </c>
      <c r="C290" s="237"/>
      <c r="D290" s="237"/>
      <c r="E290" s="237"/>
      <c r="F290" s="237"/>
      <c r="G290" s="237"/>
      <c r="H290" s="239">
        <f>IF(H288&lt;0,ABS(H288),0)</f>
        <v>765721.1950399999</v>
      </c>
      <c r="I290" s="240">
        <f t="shared" ref="I290:T290" si="154">IF(I288&lt;0,ABS(I288),0)</f>
        <v>784843.46444444428</v>
      </c>
      <c r="J290" s="240">
        <f t="shared" si="154"/>
        <v>804655.62495999981</v>
      </c>
      <c r="K290" s="240">
        <f t="shared" si="154"/>
        <v>818489.90325333318</v>
      </c>
      <c r="L290" s="240">
        <f t="shared" si="154"/>
        <v>831381.12154666649</v>
      </c>
      <c r="M290" s="240">
        <f t="shared" si="154"/>
        <v>842276.7198399998</v>
      </c>
      <c r="N290" s="240">
        <f t="shared" si="154"/>
        <v>855096.47813333315</v>
      </c>
      <c r="O290" s="240">
        <f t="shared" si="154"/>
        <v>863983.56309333316</v>
      </c>
      <c r="P290" s="240">
        <f t="shared" si="154"/>
        <v>873009.92138666648</v>
      </c>
      <c r="Q290" s="240">
        <f t="shared" si="154"/>
        <v>880034.73967999977</v>
      </c>
      <c r="R290" s="240">
        <f t="shared" si="154"/>
        <v>886135.63797333313</v>
      </c>
      <c r="S290" s="240">
        <f t="shared" si="154"/>
        <v>892560.59293333313</v>
      </c>
      <c r="T290" s="251">
        <f t="shared" si="154"/>
        <v>892560.59293333325</v>
      </c>
    </row>
  </sheetData>
  <mergeCells count="10">
    <mergeCell ref="C176:C177"/>
    <mergeCell ref="D1:H1"/>
    <mergeCell ref="C172:C173"/>
    <mergeCell ref="C174:C175"/>
    <mergeCell ref="E85:E86"/>
    <mergeCell ref="G85:G86"/>
    <mergeCell ref="E103:E104"/>
    <mergeCell ref="F103:G104"/>
    <mergeCell ref="F168:G169"/>
    <mergeCell ref="C170:C171"/>
  </mergeCells>
  <conditionalFormatting sqref="H257:T257">
    <cfRule type="cellIs" dxfId="15" priority="1" operator="lessThan">
      <formula>0</formula>
    </cfRule>
  </conditionalFormatting>
  <conditionalFormatting sqref="H263:T263">
    <cfRule type="cellIs" dxfId="14" priority="2" operator="lessThan">
      <formula>0</formula>
    </cfRule>
  </conditionalFormatting>
  <conditionalFormatting sqref="H268:T268">
    <cfRule type="cellIs" dxfId="13" priority="3" operator="lessThan">
      <formula>0</formula>
    </cfRule>
  </conditionalFormatting>
  <conditionalFormatting sqref="H283:T283">
    <cfRule type="cellIs" dxfId="12" priority="4" operator="lessThan">
      <formula>0</formula>
    </cfRule>
  </conditionalFormatting>
  <conditionalFormatting sqref="H288:T288">
    <cfRule type="cellIs" dxfId="11" priority="5" operator="lessThan">
      <formula>0</formula>
    </cfRule>
  </conditionalFormatting>
  <dataValidations count="1">
    <dataValidation type="list" showInputMessage="1" showErrorMessage="1" sqref="E170 E178:E179 E174 E176 E172" xr:uid="{00000000-0002-0000-0400-000000000000}">
      <formula1>$A$301:$A$304</formula1>
    </dataValidation>
  </dataValidations>
  <hyperlinks>
    <hyperlink ref="B1" location="Introduction!A1" display="Return to Introduction Page" xr:uid="{00000000-0004-0000-0400-000000000000}"/>
  </hyperlinks>
  <pageMargins left="0.7" right="0.7" top="0.75" bottom="0.75" header="0.3" footer="0.3"/>
  <pageSetup paperSize="9" orientation="portrait" horizontalDpi="0" verticalDpi="0"/>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400-000001000000}">
          <x14:formula1>
            <xm:f>Introduction!$A$301:$A$304</xm:f>
          </x14:formula1>
          <xm:sqref>E181</xm:sqref>
        </x14:dataValidation>
      </x14:dataValidations>
    </ex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290"/>
  <sheetViews>
    <sheetView showGridLines="0" workbookViewId="0">
      <pane xSplit="7" topLeftCell="H1" activePane="topRight" state="frozen"/>
      <selection pane="topRight" activeCell="H31" sqref="H31"/>
    </sheetView>
  </sheetViews>
  <sheetFormatPr baseColWidth="10" defaultColWidth="11.1640625" defaultRowHeight="16" x14ac:dyDescent="0.2"/>
  <cols>
    <col min="1" max="1" width="7" style="25" customWidth="1"/>
    <col min="2" max="2" width="11" style="309" customWidth="1"/>
    <col min="3" max="3" width="18.83203125" customWidth="1"/>
    <col min="4" max="4" width="27.6640625" customWidth="1"/>
    <col min="5" max="5" width="15.33203125" customWidth="1"/>
    <col min="6" max="7" width="13.83203125" customWidth="1"/>
    <col min="8" max="20" width="19.83203125" customWidth="1"/>
    <col min="21" max="26" width="11" customWidth="1"/>
    <col min="27" max="27" width="13.33203125" customWidth="1"/>
  </cols>
  <sheetData>
    <row r="1" spans="1:20" ht="25" x14ac:dyDescent="0.25">
      <c r="A1" s="56"/>
      <c r="B1" s="108" t="s">
        <v>88</v>
      </c>
      <c r="C1" s="108"/>
      <c r="D1" s="495"/>
      <c r="E1" s="495"/>
      <c r="F1" s="495"/>
      <c r="G1" s="495"/>
      <c r="H1" s="495"/>
      <c r="I1" s="309" t="str">
        <f>"tip: input your assumptions and forecast parameters for "&amp; $E$3&amp;" on the left or in the lightly green highlighted cells below."</f>
        <v>tip: input your assumptions and forecast parameters for Year 4 (2023) on the left or in the lightly green highlighted cells below.</v>
      </c>
      <c r="J1" s="47"/>
    </row>
    <row r="2" spans="1:20" x14ac:dyDescent="0.2">
      <c r="B2" s="304"/>
      <c r="C2" s="108"/>
    </row>
    <row r="3" spans="1:20" ht="20" x14ac:dyDescent="0.2">
      <c r="B3" s="116" t="s">
        <v>0</v>
      </c>
      <c r="C3" s="327"/>
      <c r="D3" s="327"/>
      <c r="E3" s="327" t="str">
        <f>"Year 4 ("&amp;'Financing Schedule'!$D$5+3&amp;")"</f>
        <v>Year 4 (2023)</v>
      </c>
      <c r="F3" s="327"/>
      <c r="G3" s="327"/>
      <c r="H3" s="360" t="s">
        <v>127</v>
      </c>
      <c r="I3" s="361" t="s">
        <v>128</v>
      </c>
      <c r="J3" s="361" t="s">
        <v>129</v>
      </c>
      <c r="K3" s="361" t="s">
        <v>130</v>
      </c>
      <c r="L3" s="361" t="s">
        <v>131</v>
      </c>
      <c r="M3" s="361" t="s">
        <v>132</v>
      </c>
      <c r="N3" s="361" t="s">
        <v>133</v>
      </c>
      <c r="O3" s="361" t="s">
        <v>134</v>
      </c>
      <c r="P3" s="361" t="s">
        <v>135</v>
      </c>
      <c r="Q3" s="361" t="s">
        <v>136</v>
      </c>
      <c r="R3" s="361" t="s">
        <v>137</v>
      </c>
      <c r="S3" s="361" t="s">
        <v>138</v>
      </c>
      <c r="T3" s="362" t="s">
        <v>179</v>
      </c>
    </row>
    <row r="4" spans="1:20" x14ac:dyDescent="0.2">
      <c r="B4" s="401"/>
      <c r="C4" s="402"/>
      <c r="D4" s="402"/>
      <c r="E4" s="402"/>
      <c r="F4" s="402"/>
      <c r="G4" s="403" t="s">
        <v>57</v>
      </c>
      <c r="H4" s="363">
        <v>37</v>
      </c>
      <c r="I4" s="364">
        <f t="shared" ref="I4:S4" si="0">H4+1</f>
        <v>38</v>
      </c>
      <c r="J4" s="364">
        <f t="shared" si="0"/>
        <v>39</v>
      </c>
      <c r="K4" s="364">
        <f t="shared" si="0"/>
        <v>40</v>
      </c>
      <c r="L4" s="364">
        <f t="shared" si="0"/>
        <v>41</v>
      </c>
      <c r="M4" s="364">
        <f t="shared" si="0"/>
        <v>42</v>
      </c>
      <c r="N4" s="364">
        <f t="shared" si="0"/>
        <v>43</v>
      </c>
      <c r="O4" s="364">
        <f t="shared" si="0"/>
        <v>44</v>
      </c>
      <c r="P4" s="364">
        <f t="shared" si="0"/>
        <v>45</v>
      </c>
      <c r="Q4" s="364">
        <f t="shared" si="0"/>
        <v>46</v>
      </c>
      <c r="R4" s="364">
        <f t="shared" si="0"/>
        <v>47</v>
      </c>
      <c r="S4" s="364">
        <f t="shared" si="0"/>
        <v>48</v>
      </c>
      <c r="T4" s="405" t="str">
        <f>"Total for " &amp; $E$3</f>
        <v>Total for Year 4 (2023)</v>
      </c>
    </row>
    <row r="5" spans="1:20" x14ac:dyDescent="0.2">
      <c r="B5" s="308"/>
      <c r="H5" s="365"/>
      <c r="I5" s="366"/>
      <c r="J5" s="366"/>
      <c r="K5" s="366"/>
      <c r="L5" s="366"/>
      <c r="M5" s="366"/>
      <c r="N5" s="366"/>
      <c r="O5" s="366"/>
      <c r="P5" s="366"/>
      <c r="Q5" s="366"/>
      <c r="R5" s="366"/>
      <c r="S5" s="366"/>
      <c r="T5" s="406"/>
    </row>
    <row r="6" spans="1:20" x14ac:dyDescent="0.2">
      <c r="B6" s="307" t="str">
        <f>'Year 3'!B6</f>
        <v>Product Revenue</v>
      </c>
      <c r="C6" s="9"/>
      <c r="D6" s="11"/>
      <c r="E6" s="12"/>
      <c r="H6" s="367"/>
      <c r="I6" s="368"/>
      <c r="J6" s="368"/>
      <c r="K6" s="368"/>
      <c r="L6" s="368"/>
      <c r="M6" s="368"/>
      <c r="N6" s="368"/>
      <c r="O6" s="368"/>
      <c r="P6" s="368"/>
      <c r="Q6" s="368"/>
      <c r="R6" s="368"/>
      <c r="S6" s="368"/>
      <c r="T6" s="407"/>
    </row>
    <row r="7" spans="1:20" x14ac:dyDescent="0.2">
      <c r="B7" s="308"/>
      <c r="C7" t="s">
        <v>188</v>
      </c>
      <c r="E7" s="452">
        <f>'Year 3'!E7</f>
        <v>120</v>
      </c>
      <c r="G7" s="13"/>
      <c r="H7" s="367"/>
      <c r="I7" s="369"/>
      <c r="J7" s="369"/>
      <c r="K7" s="369"/>
      <c r="L7" s="369"/>
      <c r="M7" s="369"/>
      <c r="N7" s="369"/>
      <c r="O7" s="369"/>
      <c r="P7" s="369"/>
      <c r="Q7" s="369"/>
      <c r="R7" s="369"/>
      <c r="S7" s="369"/>
      <c r="T7" s="408"/>
    </row>
    <row r="8" spans="1:20" x14ac:dyDescent="0.2">
      <c r="B8" s="308"/>
      <c r="C8" t="s">
        <v>189</v>
      </c>
      <c r="E8" s="453">
        <f>IF('Year 3'!S11="",'Year 3'!S10,'Year 3'!S11)</f>
        <v>225</v>
      </c>
      <c r="H8" s="367"/>
      <c r="I8" s="368"/>
      <c r="J8" s="368"/>
      <c r="K8" s="368"/>
      <c r="L8" s="368"/>
      <c r="M8" s="368"/>
      <c r="N8" s="368"/>
      <c r="O8" s="368"/>
      <c r="P8" s="368"/>
      <c r="Q8" s="368"/>
      <c r="R8" s="368"/>
      <c r="S8" s="368"/>
      <c r="T8" s="409"/>
    </row>
    <row r="9" spans="1:20" x14ac:dyDescent="0.2">
      <c r="B9" s="308"/>
      <c r="C9" t="str">
        <f>$E$3&amp;" Sales Growth"</f>
        <v>Year 4 (2023) Sales Growth</v>
      </c>
      <c r="E9" s="454">
        <v>0.4</v>
      </c>
      <c r="G9" s="13"/>
      <c r="H9" s="370"/>
      <c r="I9" s="371"/>
      <c r="J9" s="371"/>
      <c r="K9" s="371"/>
      <c r="L9" s="371"/>
      <c r="M9" s="371"/>
      <c r="N9" s="371"/>
      <c r="O9" s="371"/>
      <c r="P9" s="371"/>
      <c r="Q9" s="371"/>
      <c r="R9" s="371"/>
      <c r="S9" s="372"/>
      <c r="T9" s="410"/>
    </row>
    <row r="10" spans="1:20" x14ac:dyDescent="0.2">
      <c r="B10" s="307" t="s">
        <v>262</v>
      </c>
      <c r="G10" s="13"/>
      <c r="H10" s="455"/>
      <c r="I10" s="456"/>
      <c r="J10" s="456"/>
      <c r="K10" s="456"/>
      <c r="L10" s="456"/>
      <c r="M10" s="456"/>
      <c r="N10" s="456"/>
      <c r="O10" s="456"/>
      <c r="P10" s="456"/>
      <c r="Q10" s="456"/>
      <c r="R10" s="456"/>
      <c r="S10" s="456"/>
      <c r="T10" s="410" t="str">
        <f>IF(SUM(H10:S10)=0,"",SUM(H10:S10))</f>
        <v/>
      </c>
    </row>
    <row r="11" spans="1:20" ht="17" thickBot="1" x14ac:dyDescent="0.25">
      <c r="B11" s="307" t="s">
        <v>294</v>
      </c>
      <c r="H11" s="370">
        <f>IFERROR(IF(H10="",ROUNDDOWN($E8+((H$4-$H$4+1)/12)*($S11-$E8),0),""),"")</f>
        <v>232</v>
      </c>
      <c r="I11" s="371">
        <f t="shared" ref="I11:R11" si="1">IFERROR(IF(I10="",ROUNDDOWN($E$8+((I$4-$H$4+1)/12)*($S11-$E$8),0),""),"")</f>
        <v>240</v>
      </c>
      <c r="J11" s="371">
        <f t="shared" si="1"/>
        <v>247</v>
      </c>
      <c r="K11" s="371">
        <f t="shared" si="1"/>
        <v>255</v>
      </c>
      <c r="L11" s="371">
        <f t="shared" si="1"/>
        <v>262</v>
      </c>
      <c r="M11" s="371">
        <f t="shared" si="1"/>
        <v>270</v>
      </c>
      <c r="N11" s="371">
        <f t="shared" si="1"/>
        <v>277</v>
      </c>
      <c r="O11" s="371">
        <f t="shared" si="1"/>
        <v>285</v>
      </c>
      <c r="P11" s="371">
        <f t="shared" si="1"/>
        <v>292</v>
      </c>
      <c r="Q11" s="371">
        <f t="shared" si="1"/>
        <v>300</v>
      </c>
      <c r="R11" s="371">
        <f t="shared" si="1"/>
        <v>307</v>
      </c>
      <c r="S11" s="371">
        <f>IFERROR(IF(S10="",ROUNDDOWN($E8*(1+$E9),0),""),"")</f>
        <v>315</v>
      </c>
      <c r="T11" s="410">
        <f>IF(SUM(H11:S11)=0,"",SUM(H11:S11))</f>
        <v>3282</v>
      </c>
    </row>
    <row r="12" spans="1:20" ht="17" thickTop="1" x14ac:dyDescent="0.2">
      <c r="B12" s="418" t="s">
        <v>257</v>
      </c>
      <c r="C12" s="419"/>
      <c r="D12" s="419"/>
      <c r="E12" s="419"/>
      <c r="F12" s="419"/>
      <c r="G12" s="420"/>
      <c r="H12" s="421">
        <f>IF(H11="",H10*$E7,H11*$E7)</f>
        <v>27840</v>
      </c>
      <c r="I12" s="422">
        <f>IF(I11="",I10*$E7,I11*$E7)</f>
        <v>28800</v>
      </c>
      <c r="J12" s="422">
        <f t="shared" ref="J12:S12" si="2">IF(J11="",J10*$E7,J11*$E7)</f>
        <v>29640</v>
      </c>
      <c r="K12" s="422">
        <f t="shared" si="2"/>
        <v>30600</v>
      </c>
      <c r="L12" s="422">
        <f t="shared" si="2"/>
        <v>31440</v>
      </c>
      <c r="M12" s="422">
        <f t="shared" si="2"/>
        <v>32400</v>
      </c>
      <c r="N12" s="422">
        <f t="shared" si="2"/>
        <v>33240</v>
      </c>
      <c r="O12" s="422">
        <f t="shared" si="2"/>
        <v>34200</v>
      </c>
      <c r="P12" s="422">
        <f t="shared" si="2"/>
        <v>35040</v>
      </c>
      <c r="Q12" s="422">
        <f t="shared" si="2"/>
        <v>36000</v>
      </c>
      <c r="R12" s="422">
        <f t="shared" si="2"/>
        <v>36840</v>
      </c>
      <c r="S12" s="422">
        <f t="shared" si="2"/>
        <v>37800</v>
      </c>
      <c r="T12" s="423">
        <f>SUM(H12:S12)</f>
        <v>393840</v>
      </c>
    </row>
    <row r="13" spans="1:20" x14ac:dyDescent="0.2">
      <c r="B13" s="308"/>
      <c r="G13" s="14"/>
      <c r="H13" s="373"/>
      <c r="I13" s="374"/>
      <c r="J13" s="374"/>
      <c r="K13" s="374"/>
      <c r="L13" s="374"/>
      <c r="M13" s="374"/>
      <c r="N13" s="374"/>
      <c r="O13" s="374"/>
      <c r="P13" s="374"/>
      <c r="Q13" s="374"/>
      <c r="R13" s="374"/>
      <c r="S13" s="374"/>
      <c r="T13" s="411"/>
    </row>
    <row r="14" spans="1:20" x14ac:dyDescent="0.2">
      <c r="B14" s="307" t="str">
        <f>'Year 3'!B14</f>
        <v>Service Revenue</v>
      </c>
      <c r="C14" s="9"/>
      <c r="D14" s="11"/>
      <c r="E14" s="58"/>
      <c r="H14" s="367"/>
      <c r="I14" s="368"/>
      <c r="J14" s="368"/>
      <c r="K14" s="368"/>
      <c r="L14" s="368"/>
      <c r="M14" s="368"/>
      <c r="N14" s="368"/>
      <c r="O14" s="368"/>
      <c r="P14" s="368"/>
      <c r="Q14" s="368"/>
      <c r="R14" s="368"/>
      <c r="S14" s="368"/>
      <c r="T14" s="407"/>
    </row>
    <row r="15" spans="1:20" x14ac:dyDescent="0.2">
      <c r="B15" s="308"/>
      <c r="C15" t="s">
        <v>255</v>
      </c>
      <c r="E15" s="452">
        <f>'Year 3'!E15</f>
        <v>10</v>
      </c>
      <c r="G15" s="13"/>
      <c r="H15" s="367"/>
      <c r="I15" s="369"/>
      <c r="J15" s="369"/>
      <c r="K15" s="369"/>
      <c r="L15" s="369"/>
      <c r="M15" s="369"/>
      <c r="N15" s="369"/>
      <c r="O15" s="369"/>
      <c r="P15" s="369"/>
      <c r="Q15" s="369"/>
      <c r="R15" s="369"/>
      <c r="S15" s="369"/>
      <c r="T15" s="408"/>
    </row>
    <row r="16" spans="1:20" x14ac:dyDescent="0.2">
      <c r="B16" s="308"/>
      <c r="C16" t="s">
        <v>256</v>
      </c>
      <c r="E16" s="453">
        <f>IF('Year 3'!S19="",'Year 3'!S18,'Year 3'!S19)</f>
        <v>73</v>
      </c>
      <c r="F16" t="s">
        <v>14</v>
      </c>
      <c r="H16" s="367"/>
      <c r="I16" s="368"/>
      <c r="J16" s="368"/>
      <c r="K16" s="368"/>
      <c r="L16" s="368"/>
      <c r="M16" s="368"/>
      <c r="N16" s="368"/>
      <c r="O16" s="368"/>
      <c r="P16" s="368"/>
      <c r="Q16" s="368"/>
      <c r="R16" s="368"/>
      <c r="S16" s="368"/>
      <c r="T16" s="409"/>
    </row>
    <row r="17" spans="2:20" x14ac:dyDescent="0.2">
      <c r="B17" s="308"/>
      <c r="C17" t="str">
        <f>$E$3&amp;" Sales Growth"</f>
        <v>Year 4 (2023) Sales Growth</v>
      </c>
      <c r="E17" s="454">
        <v>0.6</v>
      </c>
      <c r="G17" s="13"/>
      <c r="H17" s="370"/>
      <c r="I17" s="371"/>
      <c r="J17" s="371"/>
      <c r="K17" s="371"/>
      <c r="L17" s="371"/>
      <c r="M17" s="371"/>
      <c r="N17" s="371"/>
      <c r="O17" s="371"/>
      <c r="P17" s="371"/>
      <c r="Q17" s="371"/>
      <c r="R17" s="371"/>
      <c r="S17" s="372"/>
      <c r="T17" s="410"/>
    </row>
    <row r="18" spans="2:20" x14ac:dyDescent="0.2">
      <c r="B18" s="307" t="s">
        <v>260</v>
      </c>
      <c r="G18" s="13"/>
      <c r="H18" s="455"/>
      <c r="I18" s="456"/>
      <c r="J18" s="456"/>
      <c r="K18" s="456"/>
      <c r="L18" s="456"/>
      <c r="M18" s="456"/>
      <c r="N18" s="456"/>
      <c r="O18" s="456"/>
      <c r="P18" s="456"/>
      <c r="Q18" s="456"/>
      <c r="R18" s="456"/>
      <c r="S18" s="456"/>
      <c r="T18" s="410" t="str">
        <f>IF(SUM(H18:S18)=0,"",SUM(H18:S18))</f>
        <v/>
      </c>
    </row>
    <row r="19" spans="2:20" ht="17" thickBot="1" x14ac:dyDescent="0.25">
      <c r="B19" s="307" t="s">
        <v>263</v>
      </c>
      <c r="H19" s="370">
        <f>IFERROR(IF(H18="",ROUNDDOWN($E16+((H$4-$H$4+1)/12)*($S19-$E16),0),""),"")</f>
        <v>76</v>
      </c>
      <c r="I19" s="371">
        <f t="shared" ref="I19:R19" si="3">IFERROR(IF(I18="",ROUNDDOWN($E16+((I$4-$H$4+1)/12)*($S19-$E16),0),""),"")</f>
        <v>80</v>
      </c>
      <c r="J19" s="371">
        <f t="shared" si="3"/>
        <v>83</v>
      </c>
      <c r="K19" s="371">
        <f t="shared" si="3"/>
        <v>87</v>
      </c>
      <c r="L19" s="371">
        <f t="shared" si="3"/>
        <v>90</v>
      </c>
      <c r="M19" s="371">
        <f t="shared" si="3"/>
        <v>94</v>
      </c>
      <c r="N19" s="371">
        <f t="shared" si="3"/>
        <v>98</v>
      </c>
      <c r="O19" s="371">
        <f t="shared" si="3"/>
        <v>101</v>
      </c>
      <c r="P19" s="371">
        <f t="shared" si="3"/>
        <v>105</v>
      </c>
      <c r="Q19" s="371">
        <f t="shared" si="3"/>
        <v>108</v>
      </c>
      <c r="R19" s="371">
        <f t="shared" si="3"/>
        <v>112</v>
      </c>
      <c r="S19" s="371">
        <f>IFERROR(IF(S18="",ROUNDDOWN($E16*(1+$E17),0),""),"")</f>
        <v>116</v>
      </c>
      <c r="T19" s="410">
        <f>IF(SUM(H19:S19)=0,"",SUM(H19:S19))</f>
        <v>1150</v>
      </c>
    </row>
    <row r="20" spans="2:20" ht="17" thickTop="1" x14ac:dyDescent="0.2">
      <c r="B20" s="418" t="s">
        <v>258</v>
      </c>
      <c r="C20" s="419"/>
      <c r="D20" s="419"/>
      <c r="E20" s="419"/>
      <c r="F20" s="419"/>
      <c r="G20" s="420"/>
      <c r="H20" s="421">
        <f>IF(H19="",H18*$E15,H19*$E15)</f>
        <v>760</v>
      </c>
      <c r="I20" s="422">
        <f>IF(I19="",I18*$E15,I19*$E15)</f>
        <v>800</v>
      </c>
      <c r="J20" s="422">
        <f t="shared" ref="J20:S20" si="4">IF(J19="",J18*$E15,J19*$E15)</f>
        <v>830</v>
      </c>
      <c r="K20" s="422">
        <f t="shared" si="4"/>
        <v>870</v>
      </c>
      <c r="L20" s="422">
        <f t="shared" si="4"/>
        <v>900</v>
      </c>
      <c r="M20" s="422">
        <f t="shared" si="4"/>
        <v>940</v>
      </c>
      <c r="N20" s="422">
        <f t="shared" si="4"/>
        <v>980</v>
      </c>
      <c r="O20" s="422">
        <f t="shared" si="4"/>
        <v>1010</v>
      </c>
      <c r="P20" s="422">
        <f t="shared" si="4"/>
        <v>1050</v>
      </c>
      <c r="Q20" s="422">
        <f t="shared" si="4"/>
        <v>1080</v>
      </c>
      <c r="R20" s="422">
        <f t="shared" si="4"/>
        <v>1120</v>
      </c>
      <c r="S20" s="422">
        <f t="shared" si="4"/>
        <v>1160</v>
      </c>
      <c r="T20" s="423">
        <f>SUM(H20:S20)</f>
        <v>11500</v>
      </c>
    </row>
    <row r="21" spans="2:20" x14ac:dyDescent="0.2">
      <c r="B21" s="307"/>
      <c r="E21" s="15"/>
      <c r="G21" s="13"/>
      <c r="H21" s="367"/>
      <c r="I21" s="368"/>
      <c r="J21" s="368"/>
      <c r="K21" s="368"/>
      <c r="L21" s="368"/>
      <c r="M21" s="368"/>
      <c r="N21" s="368"/>
      <c r="O21" s="368"/>
      <c r="P21" s="368"/>
      <c r="Q21" s="368"/>
      <c r="R21" s="368"/>
      <c r="S21" s="368"/>
      <c r="T21" s="412"/>
    </row>
    <row r="22" spans="2:20" x14ac:dyDescent="0.2">
      <c r="B22" s="307" t="str">
        <f>'Year 3'!B22</f>
        <v>Billable Hours Revenue</v>
      </c>
      <c r="C22" s="9"/>
      <c r="D22" s="11"/>
      <c r="E22" s="58"/>
      <c r="H22" s="367"/>
      <c r="I22" s="368"/>
      <c r="J22" s="368"/>
      <c r="K22" s="368"/>
      <c r="L22" s="368"/>
      <c r="M22" s="368"/>
      <c r="N22" s="368"/>
      <c r="O22" s="368"/>
      <c r="P22" s="368"/>
      <c r="Q22" s="368"/>
      <c r="R22" s="368"/>
      <c r="S22" s="368"/>
      <c r="T22" s="407"/>
    </row>
    <row r="23" spans="2:20" x14ac:dyDescent="0.2">
      <c r="B23" s="308"/>
      <c r="C23" t="s">
        <v>249</v>
      </c>
      <c r="E23" s="452">
        <f>'Year 3'!E23</f>
        <v>150</v>
      </c>
      <c r="G23" s="13"/>
      <c r="H23" s="367"/>
      <c r="I23" s="369"/>
      <c r="J23" s="369"/>
      <c r="K23" s="369"/>
      <c r="L23" s="369"/>
      <c r="M23" s="369"/>
      <c r="N23" s="369"/>
      <c r="O23" s="369"/>
      <c r="P23" s="369"/>
      <c r="Q23" s="369"/>
      <c r="R23" s="369"/>
      <c r="S23" s="369"/>
      <c r="T23" s="408"/>
    </row>
    <row r="24" spans="2:20" x14ac:dyDescent="0.2">
      <c r="B24" s="308"/>
      <c r="C24" t="s">
        <v>250</v>
      </c>
      <c r="E24" s="453">
        <f>IF('Year 3'!S27="",'Year 3'!S26,'Year 3'!S27)</f>
        <v>149.69999999999999</v>
      </c>
      <c r="H24" s="367"/>
      <c r="I24" s="368"/>
      <c r="J24" s="368"/>
      <c r="K24" s="368"/>
      <c r="L24" s="368"/>
      <c r="M24" s="368"/>
      <c r="N24" s="368"/>
      <c r="O24" s="368"/>
      <c r="P24" s="368"/>
      <c r="Q24" s="368"/>
      <c r="R24" s="368"/>
      <c r="S24" s="368"/>
      <c r="T24" s="409"/>
    </row>
    <row r="25" spans="2:20" x14ac:dyDescent="0.2">
      <c r="B25" s="308"/>
      <c r="C25" t="str">
        <f>$E$3&amp;" Billable Hours Growth"</f>
        <v>Year 4 (2023) Billable Hours Growth</v>
      </c>
      <c r="E25" s="454">
        <v>0.6</v>
      </c>
      <c r="G25" s="13"/>
      <c r="H25" s="370"/>
      <c r="I25" s="371"/>
      <c r="J25" s="371"/>
      <c r="K25" s="371"/>
      <c r="L25" s="371"/>
      <c r="M25" s="371"/>
      <c r="N25" s="371"/>
      <c r="O25" s="371"/>
      <c r="P25" s="371"/>
      <c r="Q25" s="371"/>
      <c r="R25" s="371"/>
      <c r="S25" s="372"/>
      <c r="T25" s="410"/>
    </row>
    <row r="26" spans="2:20" x14ac:dyDescent="0.2">
      <c r="B26" s="307" t="s">
        <v>261</v>
      </c>
      <c r="G26" s="13"/>
      <c r="H26" s="455"/>
      <c r="I26" s="456"/>
      <c r="J26" s="456"/>
      <c r="K26" s="456"/>
      <c r="L26" s="456"/>
      <c r="M26" s="456"/>
      <c r="N26" s="456"/>
      <c r="O26" s="456"/>
      <c r="P26" s="456"/>
      <c r="Q26" s="456"/>
      <c r="R26" s="456"/>
      <c r="S26" s="456"/>
      <c r="T26" s="410" t="str">
        <f>IF(SUM(H26:S26)=0,"",SUM(H26:S26))</f>
        <v/>
      </c>
    </row>
    <row r="27" spans="2:20" ht="17" thickBot="1" x14ac:dyDescent="0.25">
      <c r="B27" s="307" t="s">
        <v>251</v>
      </c>
      <c r="H27" s="375">
        <f>IFERROR(IF(H26="",ROUNDDOWN($E24+((H$4-$H$4+1)/12)*($S27-$E24),0),""),"")</f>
        <v>157</v>
      </c>
      <c r="I27" s="376">
        <f t="shared" ref="I27:R27" si="5">IFERROR(IF(I26="",ROUNDDOWN($E24+((I$4-$H$4+1)/12)*($S27-$E24),0),""),"")</f>
        <v>164</v>
      </c>
      <c r="J27" s="376">
        <f t="shared" si="5"/>
        <v>172</v>
      </c>
      <c r="K27" s="376">
        <f t="shared" si="5"/>
        <v>179</v>
      </c>
      <c r="L27" s="376">
        <f t="shared" si="5"/>
        <v>187</v>
      </c>
      <c r="M27" s="376">
        <f t="shared" si="5"/>
        <v>194</v>
      </c>
      <c r="N27" s="376">
        <f t="shared" si="5"/>
        <v>202</v>
      </c>
      <c r="O27" s="376">
        <f t="shared" si="5"/>
        <v>209</v>
      </c>
      <c r="P27" s="376">
        <f t="shared" si="5"/>
        <v>217</v>
      </c>
      <c r="Q27" s="376">
        <f t="shared" si="5"/>
        <v>224</v>
      </c>
      <c r="R27" s="376">
        <f t="shared" si="5"/>
        <v>232</v>
      </c>
      <c r="S27" s="376">
        <f>IFERROR(IF(S26="",ROUNDDOWN($E24*(1+$E25),1),""),"")</f>
        <v>239.5</v>
      </c>
      <c r="T27" s="410">
        <f>IF(SUM(H27:S27)=0,"",SUM(H27:S27))</f>
        <v>2376.5</v>
      </c>
    </row>
    <row r="28" spans="2:20" ht="17" thickTop="1" x14ac:dyDescent="0.2">
      <c r="B28" s="418" t="s">
        <v>252</v>
      </c>
      <c r="C28" s="419"/>
      <c r="D28" s="419"/>
      <c r="E28" s="419"/>
      <c r="F28" s="419"/>
      <c r="G28" s="420"/>
      <c r="H28" s="421">
        <f>IF(H27="",H26*$E23,H27*$E23)</f>
        <v>23550</v>
      </c>
      <c r="I28" s="422">
        <f>IF(I27="",I26*$E23,I27*$E23)</f>
        <v>24600</v>
      </c>
      <c r="J28" s="422">
        <f t="shared" ref="J28:S28" si="6">IF(J27="",J26*$E23,J27*$E23)</f>
        <v>25800</v>
      </c>
      <c r="K28" s="422">
        <f t="shared" si="6"/>
        <v>26850</v>
      </c>
      <c r="L28" s="422">
        <f t="shared" si="6"/>
        <v>28050</v>
      </c>
      <c r="M28" s="422">
        <f t="shared" si="6"/>
        <v>29100</v>
      </c>
      <c r="N28" s="422">
        <f t="shared" si="6"/>
        <v>30300</v>
      </c>
      <c r="O28" s="422">
        <f t="shared" si="6"/>
        <v>31350</v>
      </c>
      <c r="P28" s="422">
        <f t="shared" si="6"/>
        <v>32550</v>
      </c>
      <c r="Q28" s="422">
        <f t="shared" si="6"/>
        <v>33600</v>
      </c>
      <c r="R28" s="422">
        <f t="shared" si="6"/>
        <v>34800</v>
      </c>
      <c r="S28" s="422">
        <f t="shared" si="6"/>
        <v>35925</v>
      </c>
      <c r="T28" s="423">
        <f>SUM(H28:S28)</f>
        <v>356475</v>
      </c>
    </row>
    <row r="29" spans="2:20" x14ac:dyDescent="0.2">
      <c r="B29" s="308"/>
      <c r="E29" s="59"/>
      <c r="G29" s="13"/>
      <c r="H29" s="367"/>
      <c r="I29" s="368"/>
      <c r="J29" s="368"/>
      <c r="K29" s="368"/>
      <c r="L29" s="368"/>
      <c r="M29" s="368"/>
      <c r="N29" s="368"/>
      <c r="O29" s="368"/>
      <c r="P29" s="368"/>
      <c r="Q29" s="368"/>
      <c r="R29" s="368"/>
      <c r="S29" s="368"/>
      <c r="T29" s="412"/>
    </row>
    <row r="30" spans="2:20" x14ac:dyDescent="0.2">
      <c r="B30" s="307" t="str">
        <f>'Year 3'!B30</f>
        <v>Subscription Revenue</v>
      </c>
      <c r="C30" s="9"/>
      <c r="D30" s="11"/>
      <c r="E30" s="58"/>
      <c r="H30" s="367"/>
      <c r="I30" s="368"/>
      <c r="J30" s="368"/>
      <c r="K30" s="368"/>
      <c r="L30" s="368"/>
      <c r="M30" s="368"/>
      <c r="N30" s="368"/>
      <c r="O30" s="368"/>
      <c r="P30" s="368"/>
      <c r="Q30" s="368"/>
      <c r="R30" s="368"/>
      <c r="S30" s="368"/>
      <c r="T30" s="407"/>
    </row>
    <row r="31" spans="2:20" x14ac:dyDescent="0.2">
      <c r="B31" s="308"/>
      <c r="C31" t="s">
        <v>245</v>
      </c>
      <c r="E31" s="452">
        <f>'Year 3'!E31</f>
        <v>20</v>
      </c>
      <c r="G31" s="13"/>
      <c r="H31" s="367"/>
      <c r="I31" s="369"/>
      <c r="J31" s="369"/>
      <c r="K31" s="369"/>
      <c r="L31" s="369"/>
      <c r="M31" s="369"/>
      <c r="N31" s="369"/>
      <c r="O31" s="369"/>
      <c r="P31" s="369"/>
      <c r="Q31" s="369"/>
      <c r="R31" s="369"/>
      <c r="S31" s="369"/>
      <c r="T31" s="408"/>
    </row>
    <row r="32" spans="2:20" x14ac:dyDescent="0.2">
      <c r="B32" s="308"/>
      <c r="C32" t="s">
        <v>244</v>
      </c>
      <c r="E32" s="452">
        <f>'Year 3'!E32</f>
        <v>11</v>
      </c>
      <c r="H32" s="367"/>
      <c r="I32" s="368"/>
      <c r="J32" s="368"/>
      <c r="K32" s="368"/>
      <c r="L32" s="368"/>
      <c r="M32" s="368"/>
      <c r="N32" s="368"/>
      <c r="O32" s="368"/>
      <c r="P32" s="368"/>
      <c r="Q32" s="368"/>
      <c r="R32" s="368"/>
      <c r="S32" s="368"/>
      <c r="T32" s="409"/>
    </row>
    <row r="33" spans="2:20" x14ac:dyDescent="0.2">
      <c r="B33" s="308"/>
      <c r="C33" t="s">
        <v>259</v>
      </c>
      <c r="E33" s="453">
        <f>'Year 3'!S38</f>
        <v>54</v>
      </c>
      <c r="H33" s="367"/>
      <c r="I33" s="368"/>
      <c r="J33" s="368"/>
      <c r="K33" s="368"/>
      <c r="L33" s="368"/>
      <c r="M33" s="368"/>
      <c r="N33" s="368"/>
      <c r="O33" s="368"/>
      <c r="P33" s="368"/>
      <c r="Q33" s="368"/>
      <c r="R33" s="368"/>
      <c r="S33" s="368"/>
      <c r="T33" s="409"/>
    </row>
    <row r="34" spans="2:20" x14ac:dyDescent="0.2">
      <c r="B34" s="308"/>
      <c r="C34" t="str">
        <f>"Number of new customers per month "&amp;$E$3</f>
        <v>Number of new customers per month Year 4 (2023)</v>
      </c>
      <c r="E34" s="453">
        <v>15</v>
      </c>
      <c r="G34" s="13"/>
      <c r="H34" s="370"/>
      <c r="I34" s="371"/>
      <c r="J34" s="371"/>
      <c r="K34" s="371"/>
      <c r="L34" s="371"/>
      <c r="M34" s="371"/>
      <c r="N34" s="371"/>
      <c r="O34" s="371"/>
      <c r="P34" s="371"/>
      <c r="Q34" s="371"/>
      <c r="R34" s="371"/>
      <c r="S34" s="372"/>
      <c r="T34" s="410"/>
    </row>
    <row r="35" spans="2:20" x14ac:dyDescent="0.2">
      <c r="B35" s="308"/>
      <c r="C35" t="str">
        <f>$E$3&amp;" Churn rate"</f>
        <v>Year 4 (2023) Churn rate</v>
      </c>
      <c r="E35" s="454">
        <v>0.26</v>
      </c>
      <c r="G35" s="13"/>
      <c r="H35" s="370"/>
      <c r="I35" s="371"/>
      <c r="J35" s="371"/>
      <c r="K35" s="371"/>
      <c r="L35" s="371"/>
      <c r="M35" s="371"/>
      <c r="N35" s="371"/>
      <c r="O35" s="371"/>
      <c r="P35" s="371"/>
      <c r="Q35" s="371"/>
      <c r="R35" s="371"/>
      <c r="S35" s="372"/>
      <c r="T35" s="410"/>
    </row>
    <row r="36" spans="2:20" x14ac:dyDescent="0.2">
      <c r="B36" s="307" t="s">
        <v>273</v>
      </c>
      <c r="G36" s="13"/>
      <c r="H36" s="455"/>
      <c r="I36" s="456"/>
      <c r="J36" s="456"/>
      <c r="K36" s="456"/>
      <c r="L36" s="456"/>
      <c r="M36" s="456"/>
      <c r="N36" s="456"/>
      <c r="O36" s="456"/>
      <c r="P36" s="456"/>
      <c r="Q36" s="456"/>
      <c r="R36" s="456"/>
      <c r="S36" s="456"/>
      <c r="T36" s="410" t="str">
        <f>IF(SUM(H36:S36)=0,"",SUM(H36:S36))</f>
        <v/>
      </c>
    </row>
    <row r="37" spans="2:20" x14ac:dyDescent="0.2">
      <c r="B37" s="307" t="s">
        <v>272</v>
      </c>
      <c r="H37" s="370">
        <f>IF(H36="",$E$34,"")</f>
        <v>15</v>
      </c>
      <c r="I37" s="371">
        <f t="shared" ref="I37:S37" si="7">IF(I36="",$E$34,"")</f>
        <v>15</v>
      </c>
      <c r="J37" s="371">
        <f t="shared" si="7"/>
        <v>15</v>
      </c>
      <c r="K37" s="371">
        <f t="shared" si="7"/>
        <v>15</v>
      </c>
      <c r="L37" s="371">
        <f t="shared" si="7"/>
        <v>15</v>
      </c>
      <c r="M37" s="371">
        <f t="shared" si="7"/>
        <v>15</v>
      </c>
      <c r="N37" s="371">
        <f t="shared" si="7"/>
        <v>15</v>
      </c>
      <c r="O37" s="371">
        <f t="shared" si="7"/>
        <v>15</v>
      </c>
      <c r="P37" s="371">
        <f t="shared" si="7"/>
        <v>15</v>
      </c>
      <c r="Q37" s="371">
        <f t="shared" si="7"/>
        <v>15</v>
      </c>
      <c r="R37" s="371">
        <f t="shared" si="7"/>
        <v>15</v>
      </c>
      <c r="S37" s="371">
        <f t="shared" si="7"/>
        <v>15</v>
      </c>
      <c r="T37" s="410">
        <f>IF(SUM(H37:S37)=0,"",SUM(H37:S37))</f>
        <v>180</v>
      </c>
    </row>
    <row r="38" spans="2:20" ht="17" thickBot="1" x14ac:dyDescent="0.25">
      <c r="B38" s="307" t="s">
        <v>246</v>
      </c>
      <c r="H38" s="370">
        <f>ROUNDDOWN(IF(H$37="",H$36+$E$33-($E$33*$E$35),H$37+$E$33-($E$33*$E$35)),0)</f>
        <v>54</v>
      </c>
      <c r="I38" s="371">
        <f>ROUNDDOWN(IF(I37="",I$36+H$38-(H$38*$E$35),I$37+H$38-(H$38*$E$35)),0)</f>
        <v>54</v>
      </c>
      <c r="J38" s="371">
        <f t="shared" ref="J38:S38" si="8">ROUNDDOWN(IF(J37="",J$36+I$38-(I$38*$E$35),J$37+I$38-(I$38*$E$35)),0)</f>
        <v>54</v>
      </c>
      <c r="K38" s="371">
        <f t="shared" si="8"/>
        <v>54</v>
      </c>
      <c r="L38" s="371">
        <f t="shared" si="8"/>
        <v>54</v>
      </c>
      <c r="M38" s="371">
        <f t="shared" si="8"/>
        <v>54</v>
      </c>
      <c r="N38" s="371">
        <f t="shared" si="8"/>
        <v>54</v>
      </c>
      <c r="O38" s="371">
        <f t="shared" si="8"/>
        <v>54</v>
      </c>
      <c r="P38" s="371">
        <f t="shared" si="8"/>
        <v>54</v>
      </c>
      <c r="Q38" s="371">
        <f t="shared" si="8"/>
        <v>54</v>
      </c>
      <c r="R38" s="371">
        <f t="shared" si="8"/>
        <v>54</v>
      </c>
      <c r="S38" s="371">
        <f t="shared" si="8"/>
        <v>54</v>
      </c>
      <c r="T38" s="410">
        <f>S38</f>
        <v>54</v>
      </c>
    </row>
    <row r="39" spans="2:20" ht="17" thickTop="1" x14ac:dyDescent="0.2">
      <c r="B39" s="418" t="s">
        <v>247</v>
      </c>
      <c r="C39" s="419"/>
      <c r="D39" s="419"/>
      <c r="E39" s="419"/>
      <c r="F39" s="419"/>
      <c r="G39" s="420"/>
      <c r="H39" s="421">
        <f>IF(H$37="",H$38*$E$32+H$36*$E$31,H$38*$E$32+H$37*$E$31)</f>
        <v>894</v>
      </c>
      <c r="I39" s="422">
        <f t="shared" ref="I39:S39" si="9">IF(I$37="",I$38*$E$32+I$36*$E$31,I$38*$E$32+I$37*$E$31)</f>
        <v>894</v>
      </c>
      <c r="J39" s="422">
        <f t="shared" si="9"/>
        <v>894</v>
      </c>
      <c r="K39" s="422">
        <f t="shared" si="9"/>
        <v>894</v>
      </c>
      <c r="L39" s="422">
        <f t="shared" si="9"/>
        <v>894</v>
      </c>
      <c r="M39" s="422">
        <f t="shared" si="9"/>
        <v>894</v>
      </c>
      <c r="N39" s="422">
        <f t="shared" si="9"/>
        <v>894</v>
      </c>
      <c r="O39" s="422">
        <f t="shared" si="9"/>
        <v>894</v>
      </c>
      <c r="P39" s="422">
        <f t="shared" si="9"/>
        <v>894</v>
      </c>
      <c r="Q39" s="422">
        <f t="shared" si="9"/>
        <v>894</v>
      </c>
      <c r="R39" s="422">
        <f t="shared" si="9"/>
        <v>894</v>
      </c>
      <c r="S39" s="422">
        <f t="shared" si="9"/>
        <v>894</v>
      </c>
      <c r="T39" s="423">
        <f>SUM(H39:S39)</f>
        <v>10728</v>
      </c>
    </row>
    <row r="40" spans="2:20" ht="17" thickBot="1" x14ac:dyDescent="0.25">
      <c r="B40" s="404"/>
      <c r="C40" s="2"/>
      <c r="D40" s="2"/>
      <c r="E40" s="2"/>
      <c r="F40" s="2"/>
      <c r="G40" s="3"/>
      <c r="H40" s="377"/>
      <c r="I40" s="378"/>
      <c r="J40" s="378"/>
      <c r="K40" s="378"/>
      <c r="L40" s="378"/>
      <c r="M40" s="378"/>
      <c r="N40" s="378"/>
      <c r="O40" s="378"/>
      <c r="P40" s="378"/>
      <c r="Q40" s="378"/>
      <c r="R40" s="378"/>
      <c r="S40" s="368"/>
      <c r="T40" s="413"/>
    </row>
    <row r="41" spans="2:20" ht="17" thickTop="1" x14ac:dyDescent="0.2">
      <c r="B41" s="236" t="s">
        <v>208</v>
      </c>
      <c r="C41" s="237"/>
      <c r="D41" s="237"/>
      <c r="E41" s="237"/>
      <c r="F41" s="237"/>
      <c r="G41" s="237"/>
      <c r="H41" s="239">
        <f t="shared" ref="H41:S41" si="10">SUM(H12,H20,H28,H39)</f>
        <v>53044</v>
      </c>
      <c r="I41" s="240">
        <f t="shared" si="10"/>
        <v>55094</v>
      </c>
      <c r="J41" s="240">
        <f t="shared" si="10"/>
        <v>57164</v>
      </c>
      <c r="K41" s="240">
        <f t="shared" si="10"/>
        <v>59214</v>
      </c>
      <c r="L41" s="240">
        <f t="shared" si="10"/>
        <v>61284</v>
      </c>
      <c r="M41" s="240">
        <f t="shared" si="10"/>
        <v>63334</v>
      </c>
      <c r="N41" s="240">
        <f t="shared" si="10"/>
        <v>65414</v>
      </c>
      <c r="O41" s="240">
        <f t="shared" si="10"/>
        <v>67454</v>
      </c>
      <c r="P41" s="240">
        <f t="shared" si="10"/>
        <v>69534</v>
      </c>
      <c r="Q41" s="240">
        <f t="shared" si="10"/>
        <v>71574</v>
      </c>
      <c r="R41" s="240">
        <f t="shared" si="10"/>
        <v>73654</v>
      </c>
      <c r="S41" s="240">
        <f t="shared" si="10"/>
        <v>75779</v>
      </c>
      <c r="T41" s="240">
        <f>SUM(H41:S41)</f>
        <v>772543</v>
      </c>
    </row>
    <row r="42" spans="2:20" x14ac:dyDescent="0.2">
      <c r="B42" s="400"/>
      <c r="C42" s="5"/>
      <c r="D42" s="5"/>
      <c r="E42" s="5"/>
      <c r="F42" s="5"/>
      <c r="G42" s="5"/>
      <c r="H42" s="414"/>
      <c r="I42" s="415"/>
      <c r="J42" s="415"/>
      <c r="K42" s="415"/>
      <c r="L42" s="415"/>
      <c r="M42" s="415"/>
      <c r="N42" s="415"/>
      <c r="O42" s="415"/>
      <c r="P42" s="415"/>
      <c r="Q42" s="415"/>
      <c r="R42" s="415"/>
      <c r="S42" s="415"/>
      <c r="T42" s="416"/>
    </row>
    <row r="43" spans="2:20" ht="20" x14ac:dyDescent="0.2">
      <c r="B43" s="116" t="s">
        <v>365</v>
      </c>
      <c r="C43" s="327"/>
      <c r="D43" s="327"/>
      <c r="E43" s="327" t="str">
        <f>$E$3</f>
        <v>Year 4 (2023)</v>
      </c>
      <c r="F43" s="327"/>
      <c r="G43" s="327"/>
      <c r="H43" s="360" t="s">
        <v>127</v>
      </c>
      <c r="I43" s="361" t="s">
        <v>128</v>
      </c>
      <c r="J43" s="361" t="s">
        <v>129</v>
      </c>
      <c r="K43" s="361" t="s">
        <v>130</v>
      </c>
      <c r="L43" s="361" t="s">
        <v>131</v>
      </c>
      <c r="M43" s="361" t="s">
        <v>132</v>
      </c>
      <c r="N43" s="361" t="s">
        <v>133</v>
      </c>
      <c r="O43" s="361" t="s">
        <v>134</v>
      </c>
      <c r="P43" s="361" t="s">
        <v>135</v>
      </c>
      <c r="Q43" s="361" t="s">
        <v>136</v>
      </c>
      <c r="R43" s="361" t="s">
        <v>137</v>
      </c>
      <c r="S43" s="361" t="s">
        <v>138</v>
      </c>
      <c r="T43" s="362" t="s">
        <v>179</v>
      </c>
    </row>
    <row r="44" spans="2:20" x14ac:dyDescent="0.2">
      <c r="B44" s="401"/>
      <c r="C44" s="402"/>
      <c r="D44" s="402"/>
      <c r="E44" s="402"/>
      <c r="F44" s="402"/>
      <c r="G44" s="403" t="s">
        <v>57</v>
      </c>
      <c r="H44" s="363">
        <f>H$4</f>
        <v>37</v>
      </c>
      <c r="I44" s="364">
        <f t="shared" ref="I44:S44" si="11">I$4</f>
        <v>38</v>
      </c>
      <c r="J44" s="364">
        <f t="shared" si="11"/>
        <v>39</v>
      </c>
      <c r="K44" s="364">
        <f t="shared" si="11"/>
        <v>40</v>
      </c>
      <c r="L44" s="364">
        <f t="shared" si="11"/>
        <v>41</v>
      </c>
      <c r="M44" s="364">
        <f t="shared" si="11"/>
        <v>42</v>
      </c>
      <c r="N44" s="364">
        <f t="shared" si="11"/>
        <v>43</v>
      </c>
      <c r="O44" s="364">
        <f t="shared" si="11"/>
        <v>44</v>
      </c>
      <c r="P44" s="364">
        <f t="shared" si="11"/>
        <v>45</v>
      </c>
      <c r="Q44" s="364">
        <f t="shared" si="11"/>
        <v>46</v>
      </c>
      <c r="R44" s="364">
        <f t="shared" si="11"/>
        <v>47</v>
      </c>
      <c r="S44" s="364">
        <f t="shared" si="11"/>
        <v>48</v>
      </c>
      <c r="T44" s="405" t="str">
        <f>"Total for " &amp; $E$3</f>
        <v>Total for Year 4 (2023)</v>
      </c>
    </row>
    <row r="45" spans="2:20" x14ac:dyDescent="0.2">
      <c r="B45" s="308"/>
      <c r="E45" s="12" t="s">
        <v>312</v>
      </c>
      <c r="H45" s="367"/>
      <c r="I45" s="368"/>
      <c r="J45" s="368"/>
      <c r="K45" s="368"/>
      <c r="L45" s="368"/>
      <c r="M45" s="368"/>
      <c r="N45" s="368"/>
      <c r="O45" s="368"/>
      <c r="P45" s="368"/>
      <c r="Q45" s="368"/>
      <c r="R45" s="368"/>
      <c r="S45" s="368"/>
      <c r="T45" s="407"/>
    </row>
    <row r="46" spans="2:20" x14ac:dyDescent="0.2">
      <c r="B46" s="307" t="s">
        <v>367</v>
      </c>
      <c r="E46" s="454">
        <v>0.03</v>
      </c>
      <c r="H46" s="379">
        <f>H$12*$E46</f>
        <v>835.19999999999993</v>
      </c>
      <c r="I46" s="380">
        <f t="shared" ref="I46:S46" si="12">I$12*$E46</f>
        <v>864</v>
      </c>
      <c r="J46" s="380">
        <f t="shared" si="12"/>
        <v>889.19999999999993</v>
      </c>
      <c r="K46" s="380">
        <f t="shared" si="12"/>
        <v>918</v>
      </c>
      <c r="L46" s="380">
        <f t="shared" si="12"/>
        <v>943.19999999999993</v>
      </c>
      <c r="M46" s="380">
        <f t="shared" si="12"/>
        <v>972</v>
      </c>
      <c r="N46" s="380">
        <f t="shared" si="12"/>
        <v>997.19999999999993</v>
      </c>
      <c r="O46" s="380">
        <f t="shared" si="12"/>
        <v>1026</v>
      </c>
      <c r="P46" s="380">
        <f t="shared" si="12"/>
        <v>1051.2</v>
      </c>
      <c r="Q46" s="380">
        <f t="shared" si="12"/>
        <v>1080</v>
      </c>
      <c r="R46" s="380">
        <f t="shared" si="12"/>
        <v>1105.2</v>
      </c>
      <c r="S46" s="380">
        <f t="shared" si="12"/>
        <v>1134</v>
      </c>
      <c r="T46" s="417">
        <f t="shared" ref="T46:T49" si="13">SUM(H46:S46)</f>
        <v>11815.2</v>
      </c>
    </row>
    <row r="47" spans="2:20" x14ac:dyDescent="0.2">
      <c r="B47" s="307" t="s">
        <v>368</v>
      </c>
      <c r="E47" s="454">
        <v>0.03</v>
      </c>
      <c r="H47" s="379">
        <f>H$20*$E47</f>
        <v>22.8</v>
      </c>
      <c r="I47" s="380">
        <f t="shared" ref="I47:S47" si="14">I$20*$E47</f>
        <v>24</v>
      </c>
      <c r="J47" s="380">
        <f t="shared" si="14"/>
        <v>24.9</v>
      </c>
      <c r="K47" s="380">
        <f t="shared" si="14"/>
        <v>26.099999999999998</v>
      </c>
      <c r="L47" s="380">
        <f t="shared" si="14"/>
        <v>27</v>
      </c>
      <c r="M47" s="380">
        <f t="shared" si="14"/>
        <v>28.2</v>
      </c>
      <c r="N47" s="380">
        <f t="shared" si="14"/>
        <v>29.4</v>
      </c>
      <c r="O47" s="380">
        <f t="shared" si="14"/>
        <v>30.299999999999997</v>
      </c>
      <c r="P47" s="380">
        <f t="shared" si="14"/>
        <v>31.5</v>
      </c>
      <c r="Q47" s="380">
        <f t="shared" si="14"/>
        <v>32.4</v>
      </c>
      <c r="R47" s="380">
        <f t="shared" si="14"/>
        <v>33.6</v>
      </c>
      <c r="S47" s="380">
        <f t="shared" si="14"/>
        <v>34.799999999999997</v>
      </c>
      <c r="T47" s="417">
        <f t="shared" si="13"/>
        <v>345</v>
      </c>
    </row>
    <row r="48" spans="2:20" x14ac:dyDescent="0.2">
      <c r="B48" s="307" t="s">
        <v>369</v>
      </c>
      <c r="E48" s="454">
        <v>0.05</v>
      </c>
      <c r="H48" s="379">
        <f>H$28*$E48</f>
        <v>1177.5</v>
      </c>
      <c r="I48" s="380">
        <f t="shared" ref="I48:S48" si="15">I$28*$E48</f>
        <v>1230</v>
      </c>
      <c r="J48" s="380">
        <f t="shared" si="15"/>
        <v>1290</v>
      </c>
      <c r="K48" s="380">
        <f t="shared" si="15"/>
        <v>1342.5</v>
      </c>
      <c r="L48" s="380">
        <f t="shared" si="15"/>
        <v>1402.5</v>
      </c>
      <c r="M48" s="380">
        <f t="shared" si="15"/>
        <v>1455</v>
      </c>
      <c r="N48" s="380">
        <f t="shared" si="15"/>
        <v>1515</v>
      </c>
      <c r="O48" s="380">
        <f t="shared" si="15"/>
        <v>1567.5</v>
      </c>
      <c r="P48" s="380">
        <f t="shared" si="15"/>
        <v>1627.5</v>
      </c>
      <c r="Q48" s="380">
        <f t="shared" si="15"/>
        <v>1680</v>
      </c>
      <c r="R48" s="380">
        <f t="shared" si="15"/>
        <v>1740</v>
      </c>
      <c r="S48" s="380">
        <f t="shared" si="15"/>
        <v>1796.25</v>
      </c>
      <c r="T48" s="417">
        <f t="shared" si="13"/>
        <v>17823.75</v>
      </c>
    </row>
    <row r="49" spans="2:20" ht="17" thickBot="1" x14ac:dyDescent="0.25">
      <c r="B49" s="307" t="s">
        <v>370</v>
      </c>
      <c r="E49" s="454">
        <v>0.06</v>
      </c>
      <c r="H49" s="379">
        <f>H$39*$E49</f>
        <v>53.64</v>
      </c>
      <c r="I49" s="380">
        <f t="shared" ref="I49:S49" si="16">I$39*$E49</f>
        <v>53.64</v>
      </c>
      <c r="J49" s="380">
        <f t="shared" si="16"/>
        <v>53.64</v>
      </c>
      <c r="K49" s="380">
        <f t="shared" si="16"/>
        <v>53.64</v>
      </c>
      <c r="L49" s="380">
        <f t="shared" si="16"/>
        <v>53.64</v>
      </c>
      <c r="M49" s="380">
        <f t="shared" si="16"/>
        <v>53.64</v>
      </c>
      <c r="N49" s="380">
        <f t="shared" si="16"/>
        <v>53.64</v>
      </c>
      <c r="O49" s="380">
        <f t="shared" si="16"/>
        <v>53.64</v>
      </c>
      <c r="P49" s="380">
        <f t="shared" si="16"/>
        <v>53.64</v>
      </c>
      <c r="Q49" s="380">
        <f t="shared" si="16"/>
        <v>53.64</v>
      </c>
      <c r="R49" s="380">
        <f t="shared" si="16"/>
        <v>53.64</v>
      </c>
      <c r="S49" s="380">
        <f t="shared" si="16"/>
        <v>53.64</v>
      </c>
      <c r="T49" s="417">
        <f t="shared" si="13"/>
        <v>643.67999999999995</v>
      </c>
    </row>
    <row r="50" spans="2:20" ht="17" thickTop="1" x14ac:dyDescent="0.2">
      <c r="B50" s="250" t="s">
        <v>366</v>
      </c>
      <c r="C50" s="237"/>
      <c r="D50" s="237"/>
      <c r="E50" s="237"/>
      <c r="F50" s="237"/>
      <c r="G50" s="237"/>
      <c r="H50" s="239">
        <f>SUM(H46:H49)</f>
        <v>2089.14</v>
      </c>
      <c r="I50" s="240">
        <f t="shared" ref="I50:S50" si="17">SUM(I46:I49)</f>
        <v>2171.64</v>
      </c>
      <c r="J50" s="240">
        <f t="shared" si="17"/>
        <v>2257.7399999999998</v>
      </c>
      <c r="K50" s="240">
        <f t="shared" si="17"/>
        <v>2340.2399999999998</v>
      </c>
      <c r="L50" s="240">
        <f t="shared" si="17"/>
        <v>2426.3399999999997</v>
      </c>
      <c r="M50" s="240">
        <f t="shared" si="17"/>
        <v>2508.8399999999997</v>
      </c>
      <c r="N50" s="240">
        <f t="shared" si="17"/>
        <v>2595.2399999999998</v>
      </c>
      <c r="O50" s="240">
        <f t="shared" si="17"/>
        <v>2677.44</v>
      </c>
      <c r="P50" s="240">
        <f t="shared" si="17"/>
        <v>2763.8399999999997</v>
      </c>
      <c r="Q50" s="240">
        <f t="shared" si="17"/>
        <v>2846.04</v>
      </c>
      <c r="R50" s="240">
        <f t="shared" si="17"/>
        <v>2932.44</v>
      </c>
      <c r="S50" s="240">
        <f t="shared" si="17"/>
        <v>3018.69</v>
      </c>
      <c r="T50" s="251">
        <f>SUM(H50:S50)</f>
        <v>30627.629999999997</v>
      </c>
    </row>
    <row r="51" spans="2:20" x14ac:dyDescent="0.2">
      <c r="H51" s="367"/>
      <c r="I51" s="368"/>
      <c r="J51" s="368"/>
      <c r="K51" s="368"/>
      <c r="L51" s="368"/>
      <c r="M51" s="368"/>
      <c r="N51" s="368"/>
      <c r="O51" s="368"/>
      <c r="P51" s="368"/>
      <c r="Q51" s="368"/>
      <c r="R51" s="368"/>
      <c r="S51" s="368"/>
      <c r="T51" s="381"/>
    </row>
    <row r="52" spans="2:20" ht="20" x14ac:dyDescent="0.2">
      <c r="B52" s="116" t="s">
        <v>11</v>
      </c>
      <c r="C52" s="327"/>
      <c r="D52" s="327"/>
      <c r="E52" s="327" t="str">
        <f>$E$3</f>
        <v>Year 4 (2023)</v>
      </c>
      <c r="F52" s="327"/>
      <c r="G52" s="327"/>
      <c r="H52" s="360" t="s">
        <v>127</v>
      </c>
      <c r="I52" s="361" t="s">
        <v>128</v>
      </c>
      <c r="J52" s="361" t="s">
        <v>129</v>
      </c>
      <c r="K52" s="361" t="s">
        <v>130</v>
      </c>
      <c r="L52" s="361" t="s">
        <v>131</v>
      </c>
      <c r="M52" s="361" t="s">
        <v>132</v>
      </c>
      <c r="N52" s="361" t="s">
        <v>133</v>
      </c>
      <c r="O52" s="361" t="s">
        <v>134</v>
      </c>
      <c r="P52" s="361" t="s">
        <v>135</v>
      </c>
      <c r="Q52" s="361" t="s">
        <v>136</v>
      </c>
      <c r="R52" s="361" t="s">
        <v>137</v>
      </c>
      <c r="S52" s="361" t="s">
        <v>138</v>
      </c>
      <c r="T52" s="362" t="s">
        <v>179</v>
      </c>
    </row>
    <row r="53" spans="2:20" x14ac:dyDescent="0.2">
      <c r="B53" s="401"/>
      <c r="C53" s="402"/>
      <c r="D53" s="402"/>
      <c r="E53" s="402"/>
      <c r="F53" s="402"/>
      <c r="G53" s="403" t="s">
        <v>57</v>
      </c>
      <c r="H53" s="363">
        <f>H$4</f>
        <v>37</v>
      </c>
      <c r="I53" s="364">
        <f t="shared" ref="I53:S53" si="18">I$4</f>
        <v>38</v>
      </c>
      <c r="J53" s="364">
        <f t="shared" si="18"/>
        <v>39</v>
      </c>
      <c r="K53" s="364">
        <f t="shared" si="18"/>
        <v>40</v>
      </c>
      <c r="L53" s="364">
        <f t="shared" si="18"/>
        <v>41</v>
      </c>
      <c r="M53" s="364">
        <f t="shared" si="18"/>
        <v>42</v>
      </c>
      <c r="N53" s="364">
        <f t="shared" si="18"/>
        <v>43</v>
      </c>
      <c r="O53" s="364">
        <f t="shared" si="18"/>
        <v>44</v>
      </c>
      <c r="P53" s="364">
        <f t="shared" si="18"/>
        <v>45</v>
      </c>
      <c r="Q53" s="364">
        <f t="shared" si="18"/>
        <v>46</v>
      </c>
      <c r="R53" s="364">
        <f t="shared" si="18"/>
        <v>47</v>
      </c>
      <c r="S53" s="364">
        <f t="shared" si="18"/>
        <v>48</v>
      </c>
      <c r="T53" s="405" t="str">
        <f>"Total for " &amp; $E$3</f>
        <v>Total for Year 4 (2023)</v>
      </c>
    </row>
    <row r="54" spans="2:20" x14ac:dyDescent="0.2">
      <c r="B54" s="308"/>
      <c r="H54" s="367"/>
      <c r="I54" s="368"/>
      <c r="J54" s="368"/>
      <c r="K54" s="368"/>
      <c r="L54" s="368"/>
      <c r="M54" s="368"/>
      <c r="N54" s="368"/>
      <c r="O54" s="368"/>
      <c r="P54" s="368"/>
      <c r="Q54" s="368"/>
      <c r="R54" s="368"/>
      <c r="S54" s="368"/>
      <c r="T54" s="407"/>
    </row>
    <row r="55" spans="2:20" x14ac:dyDescent="0.2">
      <c r="B55" s="307" t="s">
        <v>267</v>
      </c>
      <c r="C55" s="10"/>
      <c r="D55" s="11"/>
      <c r="E55" s="12" t="s">
        <v>312</v>
      </c>
      <c r="H55" s="367"/>
      <c r="I55" s="368"/>
      <c r="J55" s="368"/>
      <c r="K55" s="368"/>
      <c r="L55" s="368"/>
      <c r="M55" s="368"/>
      <c r="N55" s="368"/>
      <c r="O55" s="368"/>
      <c r="P55" s="368"/>
      <c r="Q55" s="368"/>
      <c r="R55" s="368"/>
      <c r="S55" s="368"/>
      <c r="T55" s="407"/>
    </row>
    <row r="56" spans="2:20" x14ac:dyDescent="0.2">
      <c r="B56" s="307"/>
      <c r="C56" t="s">
        <v>264</v>
      </c>
      <c r="D56" s="11"/>
      <c r="E56" s="454">
        <f>'Year 3'!E56</f>
        <v>0.03</v>
      </c>
      <c r="H56" s="379">
        <f>H$12*$E56</f>
        <v>835.19999999999993</v>
      </c>
      <c r="I56" s="380">
        <f t="shared" ref="I56:S56" si="19">I$12*$E56</f>
        <v>864</v>
      </c>
      <c r="J56" s="380">
        <f t="shared" si="19"/>
        <v>889.19999999999993</v>
      </c>
      <c r="K56" s="380">
        <f t="shared" si="19"/>
        <v>918</v>
      </c>
      <c r="L56" s="380">
        <f t="shared" si="19"/>
        <v>943.19999999999993</v>
      </c>
      <c r="M56" s="380">
        <f t="shared" si="19"/>
        <v>972</v>
      </c>
      <c r="N56" s="380">
        <f t="shared" si="19"/>
        <v>997.19999999999993</v>
      </c>
      <c r="O56" s="380">
        <f t="shared" si="19"/>
        <v>1026</v>
      </c>
      <c r="P56" s="380">
        <f t="shared" si="19"/>
        <v>1051.2</v>
      </c>
      <c r="Q56" s="380">
        <f t="shared" si="19"/>
        <v>1080</v>
      </c>
      <c r="R56" s="380">
        <f t="shared" si="19"/>
        <v>1105.2</v>
      </c>
      <c r="S56" s="380">
        <f t="shared" si="19"/>
        <v>1134</v>
      </c>
      <c r="T56" s="417">
        <f t="shared" ref="T56" si="20">SUM(H56:S56)</f>
        <v>11815.2</v>
      </c>
    </row>
    <row r="57" spans="2:20" x14ac:dyDescent="0.2">
      <c r="B57" s="307"/>
      <c r="C57" t="s">
        <v>265</v>
      </c>
      <c r="D57" s="11"/>
      <c r="E57" s="454">
        <f>'Year 3'!E57</f>
        <v>0.02</v>
      </c>
      <c r="H57" s="379">
        <f>H$20*$E57</f>
        <v>15.200000000000001</v>
      </c>
      <c r="I57" s="380">
        <f t="shared" ref="I57:S57" si="21">I$20*$E57</f>
        <v>16</v>
      </c>
      <c r="J57" s="380">
        <f t="shared" si="21"/>
        <v>16.600000000000001</v>
      </c>
      <c r="K57" s="380">
        <f t="shared" si="21"/>
        <v>17.400000000000002</v>
      </c>
      <c r="L57" s="380">
        <f t="shared" si="21"/>
        <v>18</v>
      </c>
      <c r="M57" s="380">
        <f t="shared" si="21"/>
        <v>18.8</v>
      </c>
      <c r="N57" s="380">
        <f t="shared" si="21"/>
        <v>19.600000000000001</v>
      </c>
      <c r="O57" s="380">
        <f t="shared" si="21"/>
        <v>20.2</v>
      </c>
      <c r="P57" s="380">
        <f t="shared" si="21"/>
        <v>21</v>
      </c>
      <c r="Q57" s="380">
        <f t="shared" si="21"/>
        <v>21.6</v>
      </c>
      <c r="R57" s="380">
        <f t="shared" si="21"/>
        <v>22.400000000000002</v>
      </c>
      <c r="S57" s="380">
        <f t="shared" si="21"/>
        <v>23.2</v>
      </c>
      <c r="T57" s="417">
        <f t="shared" ref="T57:T60" si="22">SUM(H57:S57)</f>
        <v>229.99999999999997</v>
      </c>
    </row>
    <row r="58" spans="2:20" x14ac:dyDescent="0.2">
      <c r="B58" s="307"/>
      <c r="C58" t="s">
        <v>285</v>
      </c>
      <c r="D58" s="11"/>
      <c r="E58" s="454">
        <f>'Year 3'!E58</f>
        <v>0.01</v>
      </c>
      <c r="H58" s="379">
        <f>H$28*$E58</f>
        <v>235.5</v>
      </c>
      <c r="I58" s="380">
        <f t="shared" ref="I58:S58" si="23">I$28*$E58</f>
        <v>246</v>
      </c>
      <c r="J58" s="380">
        <f t="shared" si="23"/>
        <v>258</v>
      </c>
      <c r="K58" s="380">
        <f t="shared" si="23"/>
        <v>268.5</v>
      </c>
      <c r="L58" s="380">
        <f t="shared" si="23"/>
        <v>280.5</v>
      </c>
      <c r="M58" s="380">
        <f t="shared" si="23"/>
        <v>291</v>
      </c>
      <c r="N58" s="380">
        <f t="shared" si="23"/>
        <v>303</v>
      </c>
      <c r="O58" s="380">
        <f t="shared" si="23"/>
        <v>313.5</v>
      </c>
      <c r="P58" s="380">
        <f t="shared" si="23"/>
        <v>325.5</v>
      </c>
      <c r="Q58" s="380">
        <f t="shared" si="23"/>
        <v>336</v>
      </c>
      <c r="R58" s="380">
        <f t="shared" si="23"/>
        <v>348</v>
      </c>
      <c r="S58" s="380">
        <f t="shared" si="23"/>
        <v>359.25</v>
      </c>
      <c r="T58" s="417">
        <f t="shared" si="22"/>
        <v>3564.75</v>
      </c>
    </row>
    <row r="59" spans="2:20" ht="17" thickBot="1" x14ac:dyDescent="0.25">
      <c r="B59" s="308"/>
      <c r="C59" t="s">
        <v>266</v>
      </c>
      <c r="D59" s="11"/>
      <c r="E59" s="454">
        <f>'Year 3'!E59</f>
        <v>0.04</v>
      </c>
      <c r="H59" s="379">
        <f>H$39*$E59</f>
        <v>35.76</v>
      </c>
      <c r="I59" s="380">
        <f t="shared" ref="I59:S59" si="24">I$39*$E59</f>
        <v>35.76</v>
      </c>
      <c r="J59" s="380">
        <f t="shared" si="24"/>
        <v>35.76</v>
      </c>
      <c r="K59" s="380">
        <f t="shared" si="24"/>
        <v>35.76</v>
      </c>
      <c r="L59" s="380">
        <f t="shared" si="24"/>
        <v>35.76</v>
      </c>
      <c r="M59" s="380">
        <f t="shared" si="24"/>
        <v>35.76</v>
      </c>
      <c r="N59" s="380">
        <f t="shared" si="24"/>
        <v>35.76</v>
      </c>
      <c r="O59" s="380">
        <f t="shared" si="24"/>
        <v>35.76</v>
      </c>
      <c r="P59" s="380">
        <f t="shared" si="24"/>
        <v>35.76</v>
      </c>
      <c r="Q59" s="380">
        <f t="shared" si="24"/>
        <v>35.76</v>
      </c>
      <c r="R59" s="380">
        <f t="shared" si="24"/>
        <v>35.76</v>
      </c>
      <c r="S59" s="380">
        <f t="shared" si="24"/>
        <v>35.76</v>
      </c>
      <c r="T59" s="417">
        <f t="shared" si="22"/>
        <v>429.11999999999995</v>
      </c>
    </row>
    <row r="60" spans="2:20" ht="17" thickTop="1" x14ac:dyDescent="0.2">
      <c r="B60" s="418" t="s">
        <v>274</v>
      </c>
      <c r="C60" s="419"/>
      <c r="D60" s="419"/>
      <c r="E60" s="419"/>
      <c r="F60" s="419"/>
      <c r="G60" s="420"/>
      <c r="H60" s="421">
        <f>SUM(H56:H59)</f>
        <v>1121.6600000000001</v>
      </c>
      <c r="I60" s="422">
        <f t="shared" ref="I60:S60" si="25">SUM(I56:I59)</f>
        <v>1161.76</v>
      </c>
      <c r="J60" s="422">
        <f t="shared" si="25"/>
        <v>1199.56</v>
      </c>
      <c r="K60" s="422">
        <f t="shared" si="25"/>
        <v>1239.6600000000001</v>
      </c>
      <c r="L60" s="422">
        <f t="shared" si="25"/>
        <v>1277.4599999999998</v>
      </c>
      <c r="M60" s="422">
        <f t="shared" si="25"/>
        <v>1317.56</v>
      </c>
      <c r="N60" s="422">
        <f t="shared" si="25"/>
        <v>1355.56</v>
      </c>
      <c r="O60" s="422">
        <f t="shared" si="25"/>
        <v>1395.46</v>
      </c>
      <c r="P60" s="422">
        <f t="shared" si="25"/>
        <v>1433.46</v>
      </c>
      <c r="Q60" s="422">
        <f t="shared" si="25"/>
        <v>1473.36</v>
      </c>
      <c r="R60" s="422">
        <f t="shared" si="25"/>
        <v>1511.3600000000001</v>
      </c>
      <c r="S60" s="422">
        <f t="shared" si="25"/>
        <v>1552.21</v>
      </c>
      <c r="T60" s="423">
        <f t="shared" si="22"/>
        <v>16039.07</v>
      </c>
    </row>
    <row r="61" spans="2:20" x14ac:dyDescent="0.2">
      <c r="B61" s="424"/>
      <c r="C61" s="10"/>
      <c r="D61" s="11"/>
      <c r="E61" s="16"/>
      <c r="F61" s="57"/>
      <c r="G61" s="57"/>
      <c r="H61" s="382"/>
      <c r="I61" s="383"/>
      <c r="J61" s="383"/>
      <c r="K61" s="383"/>
      <c r="L61" s="383"/>
      <c r="M61" s="383"/>
      <c r="N61" s="383"/>
      <c r="O61" s="383"/>
      <c r="P61" s="383"/>
      <c r="Q61" s="383"/>
      <c r="R61" s="383"/>
      <c r="S61" s="383"/>
      <c r="T61" s="407"/>
    </row>
    <row r="62" spans="2:20" x14ac:dyDescent="0.2">
      <c r="B62" s="307" t="s">
        <v>209</v>
      </c>
      <c r="C62" s="10"/>
      <c r="D62" s="11"/>
      <c r="E62" s="12" t="s">
        <v>312</v>
      </c>
      <c r="F62" s="57"/>
      <c r="G62" s="57"/>
      <c r="H62" s="367"/>
      <c r="I62" s="368"/>
      <c r="J62" s="368"/>
      <c r="K62" s="368"/>
      <c r="L62" s="368" t="s">
        <v>14</v>
      </c>
      <c r="M62" s="368"/>
      <c r="N62" s="368"/>
      <c r="O62" s="368"/>
      <c r="P62" s="368"/>
      <c r="Q62" s="368"/>
      <c r="R62" s="368"/>
      <c r="S62" s="368"/>
      <c r="T62" s="407"/>
    </row>
    <row r="63" spans="2:20" x14ac:dyDescent="0.2">
      <c r="B63" s="307"/>
      <c r="C63" t="s">
        <v>268</v>
      </c>
      <c r="D63" s="11"/>
      <c r="E63" s="454">
        <f>'Year 3'!E63</f>
        <v>0.02</v>
      </c>
      <c r="F63" s="37"/>
      <c r="H63" s="382">
        <f>$E63*H$12</f>
        <v>556.80000000000007</v>
      </c>
      <c r="I63" s="383">
        <f t="shared" ref="I63:S63" si="26">$E63*I$12</f>
        <v>576</v>
      </c>
      <c r="J63" s="383">
        <f t="shared" si="26"/>
        <v>592.80000000000007</v>
      </c>
      <c r="K63" s="383">
        <f t="shared" si="26"/>
        <v>612</v>
      </c>
      <c r="L63" s="383">
        <f t="shared" si="26"/>
        <v>628.80000000000007</v>
      </c>
      <c r="M63" s="383">
        <f t="shared" si="26"/>
        <v>648</v>
      </c>
      <c r="N63" s="383">
        <f t="shared" si="26"/>
        <v>664.80000000000007</v>
      </c>
      <c r="O63" s="383">
        <f t="shared" si="26"/>
        <v>684</v>
      </c>
      <c r="P63" s="383">
        <f t="shared" si="26"/>
        <v>700.80000000000007</v>
      </c>
      <c r="Q63" s="383">
        <f t="shared" si="26"/>
        <v>720</v>
      </c>
      <c r="R63" s="383">
        <f t="shared" si="26"/>
        <v>736.80000000000007</v>
      </c>
      <c r="S63" s="383">
        <f t="shared" si="26"/>
        <v>756</v>
      </c>
      <c r="T63" s="417">
        <f t="shared" ref="T63:T67" si="27">SUM(H63:S63)</f>
        <v>7876.8000000000011</v>
      </c>
    </row>
    <row r="64" spans="2:20" x14ac:dyDescent="0.2">
      <c r="B64" s="307"/>
      <c r="C64" t="s">
        <v>269</v>
      </c>
      <c r="D64" s="11"/>
      <c r="E64" s="454">
        <f>'Year 3'!E64</f>
        <v>0</v>
      </c>
      <c r="F64" s="37"/>
      <c r="H64" s="382">
        <f>$E64*H$20</f>
        <v>0</v>
      </c>
      <c r="I64" s="383">
        <f t="shared" ref="I64:S64" si="28">$E64*I$20</f>
        <v>0</v>
      </c>
      <c r="J64" s="383">
        <f t="shared" si="28"/>
        <v>0</v>
      </c>
      <c r="K64" s="383">
        <f t="shared" si="28"/>
        <v>0</v>
      </c>
      <c r="L64" s="383">
        <f t="shared" si="28"/>
        <v>0</v>
      </c>
      <c r="M64" s="383">
        <f t="shared" si="28"/>
        <v>0</v>
      </c>
      <c r="N64" s="383">
        <f t="shared" si="28"/>
        <v>0</v>
      </c>
      <c r="O64" s="383">
        <f t="shared" si="28"/>
        <v>0</v>
      </c>
      <c r="P64" s="383">
        <f t="shared" si="28"/>
        <v>0</v>
      </c>
      <c r="Q64" s="383">
        <f t="shared" si="28"/>
        <v>0</v>
      </c>
      <c r="R64" s="383">
        <f t="shared" si="28"/>
        <v>0</v>
      </c>
      <c r="S64" s="383">
        <f t="shared" si="28"/>
        <v>0</v>
      </c>
      <c r="T64" s="417">
        <f t="shared" si="27"/>
        <v>0</v>
      </c>
    </row>
    <row r="65" spans="2:20" x14ac:dyDescent="0.2">
      <c r="B65" s="307"/>
      <c r="C65" t="s">
        <v>270</v>
      </c>
      <c r="D65" s="11"/>
      <c r="E65" s="454">
        <f>'Year 3'!E65</f>
        <v>0.3</v>
      </c>
      <c r="F65" s="37"/>
      <c r="H65" s="382">
        <f>$E65*H$28</f>
        <v>7065</v>
      </c>
      <c r="I65" s="383">
        <f t="shared" ref="I65:S65" si="29">$E65*I$28</f>
        <v>7380</v>
      </c>
      <c r="J65" s="383">
        <f t="shared" si="29"/>
        <v>7740</v>
      </c>
      <c r="K65" s="383">
        <f t="shared" si="29"/>
        <v>8055</v>
      </c>
      <c r="L65" s="383">
        <f t="shared" si="29"/>
        <v>8415</v>
      </c>
      <c r="M65" s="383">
        <f t="shared" si="29"/>
        <v>8730</v>
      </c>
      <c r="N65" s="383">
        <f t="shared" si="29"/>
        <v>9090</v>
      </c>
      <c r="O65" s="383">
        <f t="shared" si="29"/>
        <v>9405</v>
      </c>
      <c r="P65" s="383">
        <f t="shared" si="29"/>
        <v>9765</v>
      </c>
      <c r="Q65" s="383">
        <f t="shared" si="29"/>
        <v>10080</v>
      </c>
      <c r="R65" s="383">
        <f t="shared" si="29"/>
        <v>10440</v>
      </c>
      <c r="S65" s="383">
        <f t="shared" si="29"/>
        <v>10777.5</v>
      </c>
      <c r="T65" s="417">
        <f t="shared" si="27"/>
        <v>106942.5</v>
      </c>
    </row>
    <row r="66" spans="2:20" ht="17" thickBot="1" x14ac:dyDescent="0.25">
      <c r="B66" s="307"/>
      <c r="C66" t="s">
        <v>271</v>
      </c>
      <c r="D66" s="11"/>
      <c r="E66" s="454">
        <f>'Year 3'!E66</f>
        <v>0.12</v>
      </c>
      <c r="F66" s="37"/>
      <c r="H66" s="382">
        <f>IF(H$37="",$E66*H$36*($E$31+$E$32),$E66*$E$34*($E$31+$E$32))</f>
        <v>55.8</v>
      </c>
      <c r="I66" s="383">
        <f t="shared" ref="I66:S66" si="30">IF(I$37="",$E66*I$36*($E$31+$E$32),$E66*$E$34*($E$31+$E$32))</f>
        <v>55.8</v>
      </c>
      <c r="J66" s="383">
        <f t="shared" si="30"/>
        <v>55.8</v>
      </c>
      <c r="K66" s="383">
        <f t="shared" si="30"/>
        <v>55.8</v>
      </c>
      <c r="L66" s="383">
        <f t="shared" si="30"/>
        <v>55.8</v>
      </c>
      <c r="M66" s="383">
        <f t="shared" si="30"/>
        <v>55.8</v>
      </c>
      <c r="N66" s="383">
        <f t="shared" si="30"/>
        <v>55.8</v>
      </c>
      <c r="O66" s="383">
        <f t="shared" si="30"/>
        <v>55.8</v>
      </c>
      <c r="P66" s="383">
        <f t="shared" si="30"/>
        <v>55.8</v>
      </c>
      <c r="Q66" s="383">
        <f t="shared" si="30"/>
        <v>55.8</v>
      </c>
      <c r="R66" s="383">
        <f t="shared" si="30"/>
        <v>55.8</v>
      </c>
      <c r="S66" s="383">
        <f t="shared" si="30"/>
        <v>55.8</v>
      </c>
      <c r="T66" s="417">
        <f t="shared" si="27"/>
        <v>669.59999999999991</v>
      </c>
    </row>
    <row r="67" spans="2:20" ht="17" thickTop="1" x14ac:dyDescent="0.2">
      <c r="B67" s="418" t="s">
        <v>275</v>
      </c>
      <c r="C67" s="419"/>
      <c r="D67" s="419"/>
      <c r="E67" s="419"/>
      <c r="F67" s="419"/>
      <c r="G67" s="420"/>
      <c r="H67" s="421">
        <f t="shared" ref="H67:S67" si="31">SUM(H63:H66)</f>
        <v>7677.6</v>
      </c>
      <c r="I67" s="422">
        <f t="shared" si="31"/>
        <v>8011.8</v>
      </c>
      <c r="J67" s="422">
        <f t="shared" si="31"/>
        <v>8388.5999999999985</v>
      </c>
      <c r="K67" s="422">
        <f t="shared" si="31"/>
        <v>8722.7999999999993</v>
      </c>
      <c r="L67" s="422">
        <f t="shared" si="31"/>
        <v>9099.5999999999985</v>
      </c>
      <c r="M67" s="422">
        <f t="shared" si="31"/>
        <v>9433.7999999999993</v>
      </c>
      <c r="N67" s="422">
        <f t="shared" si="31"/>
        <v>9810.5999999999985</v>
      </c>
      <c r="O67" s="422">
        <f t="shared" si="31"/>
        <v>10144.799999999999</v>
      </c>
      <c r="P67" s="422">
        <f t="shared" si="31"/>
        <v>10521.599999999999</v>
      </c>
      <c r="Q67" s="422">
        <f t="shared" si="31"/>
        <v>10855.8</v>
      </c>
      <c r="R67" s="422">
        <f t="shared" si="31"/>
        <v>11232.599999999999</v>
      </c>
      <c r="S67" s="422">
        <f t="shared" si="31"/>
        <v>11589.3</v>
      </c>
      <c r="T67" s="423">
        <f t="shared" si="27"/>
        <v>115488.89999999998</v>
      </c>
    </row>
    <row r="68" spans="2:20" x14ac:dyDescent="0.2">
      <c r="B68" s="307"/>
      <c r="C68" s="10"/>
      <c r="D68" s="11"/>
      <c r="E68" s="16"/>
      <c r="H68" s="382"/>
      <c r="I68" s="384"/>
      <c r="J68" s="384"/>
      <c r="K68" s="384"/>
      <c r="L68" s="384"/>
      <c r="M68" s="384"/>
      <c r="N68" s="384"/>
      <c r="O68" s="384"/>
      <c r="P68" s="384"/>
      <c r="Q68" s="384"/>
      <c r="R68" s="384"/>
      <c r="S68" s="383"/>
      <c r="T68" s="407"/>
    </row>
    <row r="69" spans="2:20" x14ac:dyDescent="0.2">
      <c r="B69" s="307" t="s">
        <v>277</v>
      </c>
      <c r="C69" s="10"/>
      <c r="D69" s="11"/>
      <c r="E69" s="16" t="s">
        <v>180</v>
      </c>
      <c r="F69" s="16" t="s">
        <v>283</v>
      </c>
      <c r="G69" s="17" t="s">
        <v>16</v>
      </c>
      <c r="H69" s="367"/>
      <c r="I69" s="368"/>
      <c r="J69" s="368"/>
      <c r="K69" s="368"/>
      <c r="L69" s="368"/>
      <c r="M69" s="368"/>
      <c r="N69" s="368"/>
      <c r="O69" s="368"/>
      <c r="P69" s="368"/>
      <c r="Q69" s="368"/>
      <c r="R69" s="368"/>
      <c r="S69" s="368"/>
      <c r="T69" s="407"/>
    </row>
    <row r="70" spans="2:20" x14ac:dyDescent="0.2">
      <c r="B70" s="308"/>
      <c r="C70" t="s">
        <v>278</v>
      </c>
      <c r="E70" s="453" t="str">
        <f>IF(AND('Year 3'!$F70&lt;&gt;"",'Year 3'!$F70&gt;'Year 3'!$S$53),'Year 4'!$H$53,"")</f>
        <v/>
      </c>
      <c r="F70" s="453" t="str">
        <f>IF(AND('Year 3'!$F70&lt;&gt;"",'Year 3'!$F70&gt;'Year 3'!$S$53),'Year 3'!$F70,"")</f>
        <v/>
      </c>
      <c r="G70" s="452" t="str">
        <f>IF(AND('Year 3'!$F70&lt;&gt;"",'Year 3'!$F70&gt;'Year 3'!$S$53),'Year 3'!$G70,"")</f>
        <v/>
      </c>
      <c r="H70" s="382">
        <f>IF(AND($E70&lt;=H$53,$F70&gt;=H$53),$G70,0)</f>
        <v>0</v>
      </c>
      <c r="I70" s="383">
        <f t="shared" ref="I70:S70" si="32">IF(AND($E70&lt;=I$53,$F70&gt;=I$53),$G70,0)</f>
        <v>0</v>
      </c>
      <c r="J70" s="383">
        <f t="shared" si="32"/>
        <v>0</v>
      </c>
      <c r="K70" s="383">
        <f t="shared" si="32"/>
        <v>0</v>
      </c>
      <c r="L70" s="383">
        <f t="shared" si="32"/>
        <v>0</v>
      </c>
      <c r="M70" s="383">
        <f t="shared" si="32"/>
        <v>0</v>
      </c>
      <c r="N70" s="383">
        <f t="shared" si="32"/>
        <v>0</v>
      </c>
      <c r="O70" s="383">
        <f t="shared" si="32"/>
        <v>0</v>
      </c>
      <c r="P70" s="383">
        <f t="shared" si="32"/>
        <v>0</v>
      </c>
      <c r="Q70" s="383">
        <f t="shared" si="32"/>
        <v>0</v>
      </c>
      <c r="R70" s="383">
        <f t="shared" si="32"/>
        <v>0</v>
      </c>
      <c r="S70" s="383">
        <f t="shared" si="32"/>
        <v>0</v>
      </c>
      <c r="T70" s="417">
        <f t="shared" ref="T70:T73" si="33">SUM(H70:S70)</f>
        <v>0</v>
      </c>
    </row>
    <row r="71" spans="2:20" x14ac:dyDescent="0.2">
      <c r="B71" s="308"/>
      <c r="C71" t="s">
        <v>279</v>
      </c>
      <c r="E71" s="453" t="str">
        <f>IF(AND('Year 3'!$F71&lt;&gt;"",'Year 3'!$F71&gt;'Year 3'!$S$53),'Year 4'!$H$53,"")</f>
        <v/>
      </c>
      <c r="F71" s="453" t="str">
        <f>IF(AND('Year 3'!$F71&lt;&gt;"",'Year 3'!$F71&gt;'Year 3'!$S$53),'Year 3'!$F71,"")</f>
        <v/>
      </c>
      <c r="G71" s="452" t="str">
        <f>IF(AND('Year 3'!$F71&lt;&gt;"",'Year 3'!$F71&gt;'Year 3'!$S$53),'Year 3'!$G71,"")</f>
        <v/>
      </c>
      <c r="H71" s="382">
        <f t="shared" ref="H71:S73" si="34">IF(AND($E71&lt;=H$53,$F71&gt;=H$53),$G71,0)</f>
        <v>0</v>
      </c>
      <c r="I71" s="383">
        <f t="shared" si="34"/>
        <v>0</v>
      </c>
      <c r="J71" s="383">
        <f t="shared" si="34"/>
        <v>0</v>
      </c>
      <c r="K71" s="383">
        <f t="shared" si="34"/>
        <v>0</v>
      </c>
      <c r="L71" s="383">
        <f t="shared" si="34"/>
        <v>0</v>
      </c>
      <c r="M71" s="383">
        <f t="shared" si="34"/>
        <v>0</v>
      </c>
      <c r="N71" s="383">
        <f t="shared" si="34"/>
        <v>0</v>
      </c>
      <c r="O71" s="383">
        <f t="shared" si="34"/>
        <v>0</v>
      </c>
      <c r="P71" s="383">
        <f t="shared" si="34"/>
        <v>0</v>
      </c>
      <c r="Q71" s="383">
        <f t="shared" si="34"/>
        <v>0</v>
      </c>
      <c r="R71" s="383">
        <f t="shared" si="34"/>
        <v>0</v>
      </c>
      <c r="S71" s="383">
        <f t="shared" si="34"/>
        <v>0</v>
      </c>
      <c r="T71" s="417">
        <f t="shared" si="33"/>
        <v>0</v>
      </c>
    </row>
    <row r="72" spans="2:20" x14ac:dyDescent="0.2">
      <c r="B72" s="308"/>
      <c r="C72" t="s">
        <v>280</v>
      </c>
      <c r="E72" s="453">
        <f>IF(AND('Year 3'!$F72&lt;&gt;"",'Year 3'!$F72&gt;'Year 3'!$S$53),'Year 4'!$H$53,"")</f>
        <v>37</v>
      </c>
      <c r="F72" s="453">
        <f>IF(AND('Year 3'!$F72&lt;&gt;"",'Year 3'!$F72&gt;'Year 3'!$S$53),'Year 3'!$F72,"")</f>
        <v>45</v>
      </c>
      <c r="G72" s="452">
        <f>IF(AND('Year 3'!$F72&lt;&gt;"",'Year 3'!$F72&gt;'Year 3'!$S$53),'Year 3'!$G72,"")</f>
        <v>20</v>
      </c>
      <c r="H72" s="382">
        <f t="shared" si="34"/>
        <v>20</v>
      </c>
      <c r="I72" s="383">
        <f t="shared" si="34"/>
        <v>20</v>
      </c>
      <c r="J72" s="383">
        <f t="shared" si="34"/>
        <v>20</v>
      </c>
      <c r="K72" s="383">
        <f t="shared" si="34"/>
        <v>20</v>
      </c>
      <c r="L72" s="383">
        <f t="shared" si="34"/>
        <v>20</v>
      </c>
      <c r="M72" s="383">
        <f t="shared" si="34"/>
        <v>20</v>
      </c>
      <c r="N72" s="383">
        <f t="shared" si="34"/>
        <v>20</v>
      </c>
      <c r="O72" s="383">
        <f t="shared" si="34"/>
        <v>20</v>
      </c>
      <c r="P72" s="383">
        <f t="shared" si="34"/>
        <v>20</v>
      </c>
      <c r="Q72" s="383">
        <f t="shared" si="34"/>
        <v>0</v>
      </c>
      <c r="R72" s="383">
        <f t="shared" si="34"/>
        <v>0</v>
      </c>
      <c r="S72" s="383">
        <f t="shared" si="34"/>
        <v>0</v>
      </c>
      <c r="T72" s="417">
        <f t="shared" si="33"/>
        <v>180</v>
      </c>
    </row>
    <row r="73" spans="2:20" ht="17" thickBot="1" x14ac:dyDescent="0.25">
      <c r="B73" s="308"/>
      <c r="C73" t="s">
        <v>281</v>
      </c>
      <c r="E73" s="453" t="str">
        <f>IF(AND('Year 3'!$F73&lt;&gt;"",'Year 3'!$F73&gt;'Year 3'!$S$53),'Year 4'!$H$53,"")</f>
        <v/>
      </c>
      <c r="F73" s="453" t="str">
        <f>IF(AND('Year 3'!$F73&lt;&gt;"",'Year 3'!$F73&gt;'Year 3'!$S$53),'Year 3'!$F73,"")</f>
        <v/>
      </c>
      <c r="G73" s="452" t="str">
        <f>IF(AND('Year 3'!$F73&lt;&gt;"",'Year 3'!$F73&gt;'Year 3'!$S$53),'Year 3'!$G73,"")</f>
        <v/>
      </c>
      <c r="H73" s="382">
        <f t="shared" si="34"/>
        <v>0</v>
      </c>
      <c r="I73" s="383">
        <f t="shared" si="34"/>
        <v>0</v>
      </c>
      <c r="J73" s="383">
        <f t="shared" si="34"/>
        <v>0</v>
      </c>
      <c r="K73" s="383">
        <f t="shared" si="34"/>
        <v>0</v>
      </c>
      <c r="L73" s="383">
        <f t="shared" si="34"/>
        <v>0</v>
      </c>
      <c r="M73" s="383">
        <f t="shared" si="34"/>
        <v>0</v>
      </c>
      <c r="N73" s="383">
        <f t="shared" si="34"/>
        <v>0</v>
      </c>
      <c r="O73" s="383">
        <f t="shared" si="34"/>
        <v>0</v>
      </c>
      <c r="P73" s="383">
        <f t="shared" si="34"/>
        <v>0</v>
      </c>
      <c r="Q73" s="383">
        <f t="shared" si="34"/>
        <v>0</v>
      </c>
      <c r="R73" s="383">
        <f t="shared" si="34"/>
        <v>0</v>
      </c>
      <c r="S73" s="383">
        <f t="shared" si="34"/>
        <v>0</v>
      </c>
      <c r="T73" s="417">
        <f t="shared" si="33"/>
        <v>0</v>
      </c>
    </row>
    <row r="74" spans="2:20" ht="17" thickTop="1" x14ac:dyDescent="0.2">
      <c r="B74" s="418" t="s">
        <v>282</v>
      </c>
      <c r="C74" s="419"/>
      <c r="D74" s="419"/>
      <c r="E74" s="419"/>
      <c r="F74" s="419"/>
      <c r="G74" s="420"/>
      <c r="H74" s="421">
        <f>SUM(H70:H73)</f>
        <v>20</v>
      </c>
      <c r="I74" s="422">
        <f t="shared" ref="I74:S74" si="35">SUM(I70:I73)</f>
        <v>20</v>
      </c>
      <c r="J74" s="422">
        <f t="shared" si="35"/>
        <v>20</v>
      </c>
      <c r="K74" s="422">
        <f t="shared" si="35"/>
        <v>20</v>
      </c>
      <c r="L74" s="422">
        <f t="shared" si="35"/>
        <v>20</v>
      </c>
      <c r="M74" s="422">
        <f t="shared" si="35"/>
        <v>20</v>
      </c>
      <c r="N74" s="422">
        <f t="shared" si="35"/>
        <v>20</v>
      </c>
      <c r="O74" s="422">
        <f t="shared" si="35"/>
        <v>20</v>
      </c>
      <c r="P74" s="422">
        <f t="shared" si="35"/>
        <v>20</v>
      </c>
      <c r="Q74" s="422">
        <f t="shared" si="35"/>
        <v>0</v>
      </c>
      <c r="R74" s="422">
        <f t="shared" si="35"/>
        <v>0</v>
      </c>
      <c r="S74" s="422">
        <f t="shared" si="35"/>
        <v>0</v>
      </c>
      <c r="T74" s="423">
        <f>SUM(H74:S74)</f>
        <v>180</v>
      </c>
    </row>
    <row r="75" spans="2:20" x14ac:dyDescent="0.2">
      <c r="B75" s="308"/>
      <c r="H75" s="367"/>
      <c r="I75" s="383"/>
      <c r="J75" s="383"/>
      <c r="K75" s="383"/>
      <c r="L75" s="383"/>
      <c r="M75" s="383"/>
      <c r="N75" s="383"/>
      <c r="O75" s="383"/>
      <c r="P75" s="383"/>
      <c r="Q75" s="383"/>
      <c r="R75" s="383"/>
      <c r="S75" s="383"/>
      <c r="T75" s="407"/>
    </row>
    <row r="76" spans="2:20" x14ac:dyDescent="0.2">
      <c r="B76" s="307" t="s">
        <v>25</v>
      </c>
      <c r="C76" s="10"/>
      <c r="D76" s="11"/>
      <c r="E76" s="17" t="s">
        <v>12</v>
      </c>
      <c r="G76" s="32"/>
      <c r="H76" s="367"/>
      <c r="I76" s="368"/>
      <c r="J76" s="368"/>
      <c r="K76" s="368"/>
      <c r="L76" s="368"/>
      <c r="M76" s="368"/>
      <c r="N76" s="368"/>
      <c r="O76" s="368"/>
      <c r="P76" s="368"/>
      <c r="Q76" s="368"/>
      <c r="R76" s="368"/>
      <c r="S76" s="368"/>
      <c r="T76" s="407"/>
    </row>
    <row r="77" spans="2:20" x14ac:dyDescent="0.2">
      <c r="B77" s="308"/>
      <c r="C77" t="s">
        <v>26</v>
      </c>
      <c r="D77" s="11"/>
      <c r="E77" s="454">
        <v>3.4000000000000002E-2</v>
      </c>
      <c r="H77" s="379">
        <f t="shared" ref="H77:S78" si="36">H$41*$E77</f>
        <v>1803.4960000000001</v>
      </c>
      <c r="I77" s="380">
        <f t="shared" si="36"/>
        <v>1873.1960000000001</v>
      </c>
      <c r="J77" s="380">
        <f t="shared" si="36"/>
        <v>1943.5760000000002</v>
      </c>
      <c r="K77" s="380">
        <f t="shared" si="36"/>
        <v>2013.2760000000001</v>
      </c>
      <c r="L77" s="380">
        <f t="shared" si="36"/>
        <v>2083.6559999999999</v>
      </c>
      <c r="M77" s="380">
        <f t="shared" si="36"/>
        <v>2153.3560000000002</v>
      </c>
      <c r="N77" s="380">
        <f t="shared" si="36"/>
        <v>2224.076</v>
      </c>
      <c r="O77" s="380">
        <f t="shared" si="36"/>
        <v>2293.4360000000001</v>
      </c>
      <c r="P77" s="380">
        <f t="shared" si="36"/>
        <v>2364.1559999999999</v>
      </c>
      <c r="Q77" s="380">
        <f t="shared" si="36"/>
        <v>2433.5160000000001</v>
      </c>
      <c r="R77" s="380">
        <f t="shared" si="36"/>
        <v>2504.2360000000003</v>
      </c>
      <c r="S77" s="380">
        <f t="shared" si="36"/>
        <v>2576.4860000000003</v>
      </c>
      <c r="T77" s="417"/>
    </row>
    <row r="78" spans="2:20" ht="17" thickBot="1" x14ac:dyDescent="0.25">
      <c r="B78" s="404"/>
      <c r="C78" s="2" t="s">
        <v>27</v>
      </c>
      <c r="D78" s="4"/>
      <c r="E78" s="454">
        <v>0.05</v>
      </c>
      <c r="F78" s="2"/>
      <c r="G78" s="2"/>
      <c r="H78" s="379">
        <f t="shared" si="36"/>
        <v>2652.2000000000003</v>
      </c>
      <c r="I78" s="380">
        <f t="shared" si="36"/>
        <v>2754.7000000000003</v>
      </c>
      <c r="J78" s="380">
        <f t="shared" si="36"/>
        <v>2858.2000000000003</v>
      </c>
      <c r="K78" s="380">
        <f t="shared" si="36"/>
        <v>2960.7000000000003</v>
      </c>
      <c r="L78" s="380">
        <f t="shared" si="36"/>
        <v>3064.2000000000003</v>
      </c>
      <c r="M78" s="380">
        <f t="shared" si="36"/>
        <v>3166.7000000000003</v>
      </c>
      <c r="N78" s="380">
        <f t="shared" si="36"/>
        <v>3270.7000000000003</v>
      </c>
      <c r="O78" s="380">
        <f t="shared" si="36"/>
        <v>3372.7000000000003</v>
      </c>
      <c r="P78" s="380">
        <f t="shared" si="36"/>
        <v>3476.7000000000003</v>
      </c>
      <c r="Q78" s="380">
        <f t="shared" si="36"/>
        <v>3578.7000000000003</v>
      </c>
      <c r="R78" s="380">
        <f t="shared" si="36"/>
        <v>3682.7000000000003</v>
      </c>
      <c r="S78" s="380">
        <f t="shared" si="36"/>
        <v>3788.9500000000003</v>
      </c>
      <c r="T78" s="417"/>
    </row>
    <row r="79" spans="2:20" ht="17" thickTop="1" x14ac:dyDescent="0.2">
      <c r="B79" s="418" t="s">
        <v>13</v>
      </c>
      <c r="C79" s="419"/>
      <c r="D79" s="419"/>
      <c r="E79" s="419"/>
      <c r="F79" s="419"/>
      <c r="G79" s="420"/>
      <c r="H79" s="421">
        <f t="shared" ref="H79:S79" si="37">SUM(H77:H78)</f>
        <v>4455.6959999999999</v>
      </c>
      <c r="I79" s="422">
        <f t="shared" si="37"/>
        <v>4627.8960000000006</v>
      </c>
      <c r="J79" s="422">
        <f t="shared" si="37"/>
        <v>4801.7760000000007</v>
      </c>
      <c r="K79" s="422">
        <f t="shared" si="37"/>
        <v>4973.9760000000006</v>
      </c>
      <c r="L79" s="422">
        <f t="shared" si="37"/>
        <v>5147.8559999999998</v>
      </c>
      <c r="M79" s="422">
        <f t="shared" si="37"/>
        <v>5320.0560000000005</v>
      </c>
      <c r="N79" s="422">
        <f t="shared" si="37"/>
        <v>5494.7759999999998</v>
      </c>
      <c r="O79" s="422">
        <f t="shared" si="37"/>
        <v>5666.1360000000004</v>
      </c>
      <c r="P79" s="422">
        <f t="shared" si="37"/>
        <v>5840.8559999999998</v>
      </c>
      <c r="Q79" s="422">
        <f t="shared" si="37"/>
        <v>6012.2160000000003</v>
      </c>
      <c r="R79" s="422">
        <f t="shared" si="37"/>
        <v>6186.9360000000006</v>
      </c>
      <c r="S79" s="422">
        <f t="shared" si="37"/>
        <v>6365.4360000000006</v>
      </c>
      <c r="T79" s="423">
        <f>SUM(H79:S79)</f>
        <v>64893.612000000008</v>
      </c>
    </row>
    <row r="80" spans="2:20" ht="17" thickBot="1" x14ac:dyDescent="0.25">
      <c r="B80" s="308"/>
      <c r="C80" s="10"/>
      <c r="D80" s="11"/>
      <c r="E80" s="16"/>
      <c r="H80" s="385"/>
      <c r="I80" s="386"/>
      <c r="J80" s="386"/>
      <c r="K80" s="386"/>
      <c r="L80" s="386"/>
      <c r="M80" s="386"/>
      <c r="N80" s="386"/>
      <c r="O80" s="386"/>
      <c r="P80" s="386"/>
      <c r="Q80" s="386"/>
      <c r="R80" s="386"/>
      <c r="S80" s="386"/>
      <c r="T80" s="425"/>
    </row>
    <row r="81" spans="2:20" ht="17" thickTop="1" x14ac:dyDescent="0.2">
      <c r="B81" s="250" t="s">
        <v>28</v>
      </c>
      <c r="C81" s="237"/>
      <c r="D81" s="237"/>
      <c r="E81" s="237"/>
      <c r="F81" s="237"/>
      <c r="G81" s="237"/>
      <c r="H81" s="239">
        <f>SUM(H60,H67,H74,H79)</f>
        <v>13274.956</v>
      </c>
      <c r="I81" s="240">
        <f t="shared" ref="I81:S81" si="38">SUM(I60,I67,I74,I79)</f>
        <v>13821.456</v>
      </c>
      <c r="J81" s="240">
        <f t="shared" si="38"/>
        <v>14409.935999999998</v>
      </c>
      <c r="K81" s="240">
        <f t="shared" si="38"/>
        <v>14956.436</v>
      </c>
      <c r="L81" s="240">
        <f t="shared" si="38"/>
        <v>15544.915999999997</v>
      </c>
      <c r="M81" s="240">
        <f t="shared" si="38"/>
        <v>16091.415999999999</v>
      </c>
      <c r="N81" s="240">
        <f t="shared" si="38"/>
        <v>16680.935999999998</v>
      </c>
      <c r="O81" s="240">
        <f t="shared" si="38"/>
        <v>17226.396000000001</v>
      </c>
      <c r="P81" s="240">
        <f t="shared" si="38"/>
        <v>17815.915999999997</v>
      </c>
      <c r="Q81" s="240">
        <f t="shared" si="38"/>
        <v>18341.376</v>
      </c>
      <c r="R81" s="240">
        <f t="shared" si="38"/>
        <v>18930.896000000001</v>
      </c>
      <c r="S81" s="240">
        <f t="shared" si="38"/>
        <v>19506.946</v>
      </c>
      <c r="T81" s="251">
        <f>SUM(H81:S81)</f>
        <v>196601.58199999999</v>
      </c>
    </row>
    <row r="82" spans="2:20" x14ac:dyDescent="0.2">
      <c r="H82" s="367"/>
      <c r="I82" s="368"/>
      <c r="J82" s="368"/>
      <c r="K82" s="368"/>
      <c r="L82" s="368"/>
      <c r="M82" s="368"/>
      <c r="N82" s="368"/>
      <c r="O82" s="368"/>
      <c r="P82" s="368"/>
      <c r="Q82" s="368"/>
      <c r="R82" s="368"/>
      <c r="S82" s="368"/>
      <c r="T82" s="381"/>
    </row>
    <row r="83" spans="2:20" ht="20" x14ac:dyDescent="0.2">
      <c r="B83" s="116" t="s">
        <v>237</v>
      </c>
      <c r="C83" s="327"/>
      <c r="D83" s="327"/>
      <c r="E83" s="327" t="str">
        <f>$E$3</f>
        <v>Year 4 (2023)</v>
      </c>
      <c r="F83" s="327"/>
      <c r="G83" s="327"/>
      <c r="H83" s="360" t="s">
        <v>127</v>
      </c>
      <c r="I83" s="361" t="s">
        <v>128</v>
      </c>
      <c r="J83" s="361" t="s">
        <v>129</v>
      </c>
      <c r="K83" s="361" t="s">
        <v>130</v>
      </c>
      <c r="L83" s="361" t="s">
        <v>131</v>
      </c>
      <c r="M83" s="361" t="s">
        <v>132</v>
      </c>
      <c r="N83" s="361" t="s">
        <v>133</v>
      </c>
      <c r="O83" s="361" t="s">
        <v>134</v>
      </c>
      <c r="P83" s="361" t="s">
        <v>135</v>
      </c>
      <c r="Q83" s="361" t="s">
        <v>136</v>
      </c>
      <c r="R83" s="361" t="s">
        <v>137</v>
      </c>
      <c r="S83" s="361" t="s">
        <v>138</v>
      </c>
      <c r="T83" s="362" t="s">
        <v>179</v>
      </c>
    </row>
    <row r="84" spans="2:20" x14ac:dyDescent="0.2">
      <c r="B84" s="401"/>
      <c r="C84" s="402"/>
      <c r="D84" s="402"/>
      <c r="E84" s="402"/>
      <c r="F84" s="402"/>
      <c r="G84" s="403" t="s">
        <v>57</v>
      </c>
      <c r="H84" s="363">
        <f>H$4</f>
        <v>37</v>
      </c>
      <c r="I84" s="364">
        <f t="shared" ref="I84:S84" si="39">I$4</f>
        <v>38</v>
      </c>
      <c r="J84" s="364">
        <f t="shared" si="39"/>
        <v>39</v>
      </c>
      <c r="K84" s="364">
        <f t="shared" si="39"/>
        <v>40</v>
      </c>
      <c r="L84" s="364">
        <f t="shared" si="39"/>
        <v>41</v>
      </c>
      <c r="M84" s="364">
        <f t="shared" si="39"/>
        <v>42</v>
      </c>
      <c r="N84" s="364">
        <f t="shared" si="39"/>
        <v>43</v>
      </c>
      <c r="O84" s="364">
        <f t="shared" si="39"/>
        <v>44</v>
      </c>
      <c r="P84" s="364">
        <f t="shared" si="39"/>
        <v>45</v>
      </c>
      <c r="Q84" s="364">
        <f t="shared" si="39"/>
        <v>46</v>
      </c>
      <c r="R84" s="364">
        <f t="shared" si="39"/>
        <v>47</v>
      </c>
      <c r="S84" s="364">
        <f t="shared" si="39"/>
        <v>48</v>
      </c>
      <c r="T84" s="405" t="str">
        <f>"Total for " &amp; $E$3</f>
        <v>Total for Year 4 (2023)</v>
      </c>
    </row>
    <row r="85" spans="2:20" x14ac:dyDescent="0.2">
      <c r="B85" s="308"/>
      <c r="E85" s="499" t="s">
        <v>291</v>
      </c>
      <c r="G85" s="496" t="s">
        <v>292</v>
      </c>
      <c r="H85" s="367"/>
      <c r="I85" s="368"/>
      <c r="J85" s="368"/>
      <c r="K85" s="368"/>
      <c r="L85" s="368"/>
      <c r="M85" s="368"/>
      <c r="N85" s="368"/>
      <c r="O85" s="368"/>
      <c r="P85" s="368"/>
      <c r="Q85" s="368"/>
      <c r="R85" s="368"/>
      <c r="S85" s="368"/>
      <c r="T85" s="407"/>
    </row>
    <row r="86" spans="2:20" x14ac:dyDescent="0.2">
      <c r="B86" s="307" t="s">
        <v>224</v>
      </c>
      <c r="C86" s="10"/>
      <c r="D86" s="11"/>
      <c r="E86" s="499"/>
      <c r="F86" s="18" t="s">
        <v>276</v>
      </c>
      <c r="G86" s="496"/>
      <c r="H86" s="367"/>
      <c r="I86" s="368"/>
      <c r="J86" s="368"/>
      <c r="K86" s="368"/>
      <c r="L86" s="368"/>
      <c r="M86" s="368"/>
      <c r="N86" s="368"/>
      <c r="O86" s="368"/>
      <c r="P86" s="368"/>
      <c r="Q86" s="368"/>
      <c r="R86" s="368"/>
      <c r="S86" s="368"/>
      <c r="T86" s="407"/>
    </row>
    <row r="87" spans="2:20" x14ac:dyDescent="0.2">
      <c r="B87" s="308"/>
      <c r="C87" t="s">
        <v>210</v>
      </c>
      <c r="D87" s="11"/>
      <c r="E87" s="452">
        <f>(1+'Year 3'!$G87)*'Year 3'!$E87</f>
        <v>7408.8</v>
      </c>
      <c r="F87" s="453">
        <f>'Year 3'!$F87</f>
        <v>2</v>
      </c>
      <c r="G87" s="454">
        <f>'Year 3'!$G87</f>
        <v>0.05</v>
      </c>
      <c r="H87" s="379">
        <f t="shared" ref="H87:S95" si="40">$E87*$F87</f>
        <v>14817.6</v>
      </c>
      <c r="I87" s="380">
        <f t="shared" si="40"/>
        <v>14817.6</v>
      </c>
      <c r="J87" s="380">
        <f t="shared" si="40"/>
        <v>14817.6</v>
      </c>
      <c r="K87" s="380">
        <f t="shared" si="40"/>
        <v>14817.6</v>
      </c>
      <c r="L87" s="380">
        <f t="shared" si="40"/>
        <v>14817.6</v>
      </c>
      <c r="M87" s="380">
        <f t="shared" si="40"/>
        <v>14817.6</v>
      </c>
      <c r="N87" s="380">
        <f t="shared" si="40"/>
        <v>14817.6</v>
      </c>
      <c r="O87" s="380">
        <f t="shared" si="40"/>
        <v>14817.6</v>
      </c>
      <c r="P87" s="380">
        <f t="shared" si="40"/>
        <v>14817.6</v>
      </c>
      <c r="Q87" s="380">
        <f t="shared" si="40"/>
        <v>14817.6</v>
      </c>
      <c r="R87" s="380">
        <f t="shared" si="40"/>
        <v>14817.6</v>
      </c>
      <c r="S87" s="380">
        <f t="shared" si="40"/>
        <v>14817.6</v>
      </c>
      <c r="T87" s="417">
        <f t="shared" ref="T87:T100" si="41">SUM(H87:S87)</f>
        <v>177811.20000000004</v>
      </c>
    </row>
    <row r="88" spans="2:20" x14ac:dyDescent="0.2">
      <c r="B88" s="308"/>
      <c r="C88" t="s">
        <v>211</v>
      </c>
      <c r="D88" s="11"/>
      <c r="E88" s="452">
        <f>(1+'Year 3'!$G88)*'Year 3'!$E88</f>
        <v>0</v>
      </c>
      <c r="F88" s="453">
        <f>'Year 3'!$F88</f>
        <v>0</v>
      </c>
      <c r="G88" s="454">
        <f>'Year 3'!$G88</f>
        <v>0.02</v>
      </c>
      <c r="H88" s="379">
        <f t="shared" si="40"/>
        <v>0</v>
      </c>
      <c r="I88" s="380">
        <f t="shared" si="40"/>
        <v>0</v>
      </c>
      <c r="J88" s="380">
        <f t="shared" si="40"/>
        <v>0</v>
      </c>
      <c r="K88" s="380">
        <f t="shared" si="40"/>
        <v>0</v>
      </c>
      <c r="L88" s="380">
        <f t="shared" si="40"/>
        <v>0</v>
      </c>
      <c r="M88" s="380">
        <f t="shared" si="40"/>
        <v>0</v>
      </c>
      <c r="N88" s="380">
        <f t="shared" si="40"/>
        <v>0</v>
      </c>
      <c r="O88" s="380">
        <f t="shared" si="40"/>
        <v>0</v>
      </c>
      <c r="P88" s="380">
        <f t="shared" si="40"/>
        <v>0</v>
      </c>
      <c r="Q88" s="380">
        <f t="shared" si="40"/>
        <v>0</v>
      </c>
      <c r="R88" s="380">
        <f t="shared" si="40"/>
        <v>0</v>
      </c>
      <c r="S88" s="380">
        <f t="shared" si="40"/>
        <v>0</v>
      </c>
      <c r="T88" s="417">
        <f t="shared" si="41"/>
        <v>0</v>
      </c>
    </row>
    <row r="89" spans="2:20" x14ac:dyDescent="0.2">
      <c r="B89" s="308"/>
      <c r="C89" t="s">
        <v>212</v>
      </c>
      <c r="D89" s="11"/>
      <c r="E89" s="452">
        <f>(1+'Year 3'!$G89)*'Year 3'!$E89</f>
        <v>0</v>
      </c>
      <c r="F89" s="453">
        <f>'Year 3'!$F89</f>
        <v>0</v>
      </c>
      <c r="G89" s="454">
        <f>'Year 3'!$G89</f>
        <v>0.02</v>
      </c>
      <c r="H89" s="379">
        <f t="shared" si="40"/>
        <v>0</v>
      </c>
      <c r="I89" s="380">
        <f t="shared" si="40"/>
        <v>0</v>
      </c>
      <c r="J89" s="380">
        <f t="shared" si="40"/>
        <v>0</v>
      </c>
      <c r="K89" s="380">
        <f t="shared" si="40"/>
        <v>0</v>
      </c>
      <c r="L89" s="380">
        <f t="shared" si="40"/>
        <v>0</v>
      </c>
      <c r="M89" s="380">
        <f t="shared" si="40"/>
        <v>0</v>
      </c>
      <c r="N89" s="380">
        <f t="shared" si="40"/>
        <v>0</v>
      </c>
      <c r="O89" s="380">
        <f t="shared" si="40"/>
        <v>0</v>
      </c>
      <c r="P89" s="380">
        <f t="shared" si="40"/>
        <v>0</v>
      </c>
      <c r="Q89" s="380">
        <f t="shared" si="40"/>
        <v>0</v>
      </c>
      <c r="R89" s="380">
        <f t="shared" si="40"/>
        <v>0</v>
      </c>
      <c r="S89" s="380">
        <f t="shared" si="40"/>
        <v>0</v>
      </c>
      <c r="T89" s="417">
        <f t="shared" si="41"/>
        <v>0</v>
      </c>
    </row>
    <row r="90" spans="2:20" x14ac:dyDescent="0.2">
      <c r="B90" s="308"/>
      <c r="C90" t="s">
        <v>213</v>
      </c>
      <c r="D90" s="11"/>
      <c r="E90" s="452">
        <f>(1+'Year 3'!$G90)*'Year 3'!$E90</f>
        <v>3395.8656000000001</v>
      </c>
      <c r="F90" s="453">
        <f>'Year 3'!$F90</f>
        <v>1</v>
      </c>
      <c r="G90" s="454">
        <f>'Year 3'!$G90</f>
        <v>0.02</v>
      </c>
      <c r="H90" s="379">
        <f t="shared" si="40"/>
        <v>3395.8656000000001</v>
      </c>
      <c r="I90" s="380">
        <f t="shared" si="40"/>
        <v>3395.8656000000001</v>
      </c>
      <c r="J90" s="380">
        <f t="shared" si="40"/>
        <v>3395.8656000000001</v>
      </c>
      <c r="K90" s="380">
        <f t="shared" si="40"/>
        <v>3395.8656000000001</v>
      </c>
      <c r="L90" s="380">
        <f t="shared" si="40"/>
        <v>3395.8656000000001</v>
      </c>
      <c r="M90" s="380">
        <f t="shared" si="40"/>
        <v>3395.8656000000001</v>
      </c>
      <c r="N90" s="380">
        <f t="shared" si="40"/>
        <v>3395.8656000000001</v>
      </c>
      <c r="O90" s="380">
        <f t="shared" si="40"/>
        <v>3395.8656000000001</v>
      </c>
      <c r="P90" s="380">
        <f t="shared" si="40"/>
        <v>3395.8656000000001</v>
      </c>
      <c r="Q90" s="380">
        <f t="shared" si="40"/>
        <v>3395.8656000000001</v>
      </c>
      <c r="R90" s="380">
        <f t="shared" si="40"/>
        <v>3395.8656000000001</v>
      </c>
      <c r="S90" s="380">
        <f t="shared" si="40"/>
        <v>3395.8656000000001</v>
      </c>
      <c r="T90" s="417">
        <f t="shared" si="41"/>
        <v>40750.387199999997</v>
      </c>
    </row>
    <row r="91" spans="2:20" x14ac:dyDescent="0.2">
      <c r="B91" s="308"/>
      <c r="C91" t="s">
        <v>236</v>
      </c>
      <c r="D91" s="11"/>
      <c r="E91" s="452">
        <f>(1+'Year 3'!$G91)*'Year 3'!$E91</f>
        <v>0</v>
      </c>
      <c r="F91" s="453">
        <f>'Year 3'!$F91</f>
        <v>0</v>
      </c>
      <c r="G91" s="454">
        <f>'Year 3'!$G91</f>
        <v>0.02</v>
      </c>
      <c r="H91" s="379">
        <f t="shared" si="40"/>
        <v>0</v>
      </c>
      <c r="I91" s="380">
        <f t="shared" si="40"/>
        <v>0</v>
      </c>
      <c r="J91" s="380">
        <f t="shared" si="40"/>
        <v>0</v>
      </c>
      <c r="K91" s="380">
        <f t="shared" si="40"/>
        <v>0</v>
      </c>
      <c r="L91" s="380">
        <f t="shared" si="40"/>
        <v>0</v>
      </c>
      <c r="M91" s="380">
        <f t="shared" si="40"/>
        <v>0</v>
      </c>
      <c r="N91" s="380">
        <f t="shared" si="40"/>
        <v>0</v>
      </c>
      <c r="O91" s="380">
        <f t="shared" si="40"/>
        <v>0</v>
      </c>
      <c r="P91" s="380">
        <f t="shared" si="40"/>
        <v>0</v>
      </c>
      <c r="Q91" s="380">
        <f t="shared" si="40"/>
        <v>0</v>
      </c>
      <c r="R91" s="380">
        <f t="shared" si="40"/>
        <v>0</v>
      </c>
      <c r="S91" s="380">
        <f t="shared" si="40"/>
        <v>0</v>
      </c>
      <c r="T91" s="417">
        <f t="shared" si="41"/>
        <v>0</v>
      </c>
    </row>
    <row r="92" spans="2:20" x14ac:dyDescent="0.2">
      <c r="B92" s="308"/>
      <c r="C92" t="s">
        <v>217</v>
      </c>
      <c r="D92" s="11"/>
      <c r="E92" s="452">
        <f>(1+'Year 3'!$G92)*'Year 3'!$E92</f>
        <v>1800</v>
      </c>
      <c r="F92" s="453">
        <f>'Year 3'!$F92</f>
        <v>1</v>
      </c>
      <c r="G92" s="454">
        <f>'Year 3'!$G92</f>
        <v>0</v>
      </c>
      <c r="H92" s="379">
        <f t="shared" si="40"/>
        <v>1800</v>
      </c>
      <c r="I92" s="380">
        <f t="shared" si="40"/>
        <v>1800</v>
      </c>
      <c r="J92" s="380">
        <f t="shared" si="40"/>
        <v>1800</v>
      </c>
      <c r="K92" s="380">
        <f t="shared" si="40"/>
        <v>1800</v>
      </c>
      <c r="L92" s="380">
        <f t="shared" si="40"/>
        <v>1800</v>
      </c>
      <c r="M92" s="380">
        <f t="shared" si="40"/>
        <v>1800</v>
      </c>
      <c r="N92" s="380">
        <f t="shared" si="40"/>
        <v>1800</v>
      </c>
      <c r="O92" s="380">
        <f t="shared" si="40"/>
        <v>1800</v>
      </c>
      <c r="P92" s="380">
        <f t="shared" si="40"/>
        <v>1800</v>
      </c>
      <c r="Q92" s="380">
        <f t="shared" si="40"/>
        <v>1800</v>
      </c>
      <c r="R92" s="380">
        <f t="shared" si="40"/>
        <v>1800</v>
      </c>
      <c r="S92" s="380">
        <f t="shared" si="40"/>
        <v>1800</v>
      </c>
      <c r="T92" s="417">
        <f t="shared" si="41"/>
        <v>21600</v>
      </c>
    </row>
    <row r="93" spans="2:20" x14ac:dyDescent="0.2">
      <c r="B93" s="308"/>
      <c r="C93" t="s">
        <v>218</v>
      </c>
      <c r="D93" s="11"/>
      <c r="E93" s="452">
        <f>(1+'Year 3'!$G93)*'Year 3'!$E93</f>
        <v>0</v>
      </c>
      <c r="F93" s="453">
        <f>'Year 3'!$F93</f>
        <v>0</v>
      </c>
      <c r="G93" s="454">
        <f>'Year 3'!$G93</f>
        <v>0</v>
      </c>
      <c r="H93" s="379">
        <f t="shared" si="40"/>
        <v>0</v>
      </c>
      <c r="I93" s="380">
        <f t="shared" si="40"/>
        <v>0</v>
      </c>
      <c r="J93" s="380">
        <f t="shared" si="40"/>
        <v>0</v>
      </c>
      <c r="K93" s="380">
        <f t="shared" si="40"/>
        <v>0</v>
      </c>
      <c r="L93" s="380">
        <f t="shared" si="40"/>
        <v>0</v>
      </c>
      <c r="M93" s="380">
        <f t="shared" si="40"/>
        <v>0</v>
      </c>
      <c r="N93" s="380">
        <f t="shared" si="40"/>
        <v>0</v>
      </c>
      <c r="O93" s="380">
        <f t="shared" si="40"/>
        <v>0</v>
      </c>
      <c r="P93" s="380">
        <f t="shared" si="40"/>
        <v>0</v>
      </c>
      <c r="Q93" s="380">
        <f t="shared" si="40"/>
        <v>0</v>
      </c>
      <c r="R93" s="380">
        <f t="shared" si="40"/>
        <v>0</v>
      </c>
      <c r="S93" s="380">
        <f t="shared" si="40"/>
        <v>0</v>
      </c>
      <c r="T93" s="417">
        <f t="shared" si="41"/>
        <v>0</v>
      </c>
    </row>
    <row r="94" spans="2:20" x14ac:dyDescent="0.2">
      <c r="B94" s="308"/>
      <c r="C94" t="s">
        <v>219</v>
      </c>
      <c r="D94" s="11"/>
      <c r="E94" s="452">
        <f>(1+'Year 3'!$G94)*'Year 3'!$E94</f>
        <v>0</v>
      </c>
      <c r="F94" s="453">
        <f>'Year 3'!$F94</f>
        <v>0</v>
      </c>
      <c r="G94" s="454">
        <f>'Year 3'!$G94</f>
        <v>0</v>
      </c>
      <c r="H94" s="379">
        <f t="shared" si="40"/>
        <v>0</v>
      </c>
      <c r="I94" s="380">
        <f t="shared" si="40"/>
        <v>0</v>
      </c>
      <c r="J94" s="380">
        <f t="shared" si="40"/>
        <v>0</v>
      </c>
      <c r="K94" s="380">
        <f t="shared" si="40"/>
        <v>0</v>
      </c>
      <c r="L94" s="380">
        <f t="shared" si="40"/>
        <v>0</v>
      </c>
      <c r="M94" s="380">
        <f t="shared" si="40"/>
        <v>0</v>
      </c>
      <c r="N94" s="380">
        <f t="shared" si="40"/>
        <v>0</v>
      </c>
      <c r="O94" s="380">
        <f t="shared" si="40"/>
        <v>0</v>
      </c>
      <c r="P94" s="380">
        <f t="shared" si="40"/>
        <v>0</v>
      </c>
      <c r="Q94" s="380">
        <f t="shared" si="40"/>
        <v>0</v>
      </c>
      <c r="R94" s="380">
        <f t="shared" si="40"/>
        <v>0</v>
      </c>
      <c r="S94" s="380">
        <f t="shared" si="40"/>
        <v>0</v>
      </c>
      <c r="T94" s="417">
        <f t="shared" si="41"/>
        <v>0</v>
      </c>
    </row>
    <row r="95" spans="2:20" x14ac:dyDescent="0.2">
      <c r="B95" s="308"/>
      <c r="C95" t="s">
        <v>220</v>
      </c>
      <c r="D95" s="11"/>
      <c r="E95" s="452">
        <f>(1+'Year 3'!$G95)*'Year 3'!$E95</f>
        <v>0</v>
      </c>
      <c r="F95" s="453">
        <f>'Year 3'!$F95</f>
        <v>0</v>
      </c>
      <c r="G95" s="454">
        <f>'Year 3'!$G95</f>
        <v>0</v>
      </c>
      <c r="H95" s="379">
        <f t="shared" si="40"/>
        <v>0</v>
      </c>
      <c r="I95" s="380">
        <f t="shared" si="40"/>
        <v>0</v>
      </c>
      <c r="J95" s="380">
        <f t="shared" si="40"/>
        <v>0</v>
      </c>
      <c r="K95" s="380">
        <f t="shared" si="40"/>
        <v>0</v>
      </c>
      <c r="L95" s="380">
        <f t="shared" si="40"/>
        <v>0</v>
      </c>
      <c r="M95" s="380">
        <f t="shared" si="40"/>
        <v>0</v>
      </c>
      <c r="N95" s="380">
        <f t="shared" si="40"/>
        <v>0</v>
      </c>
      <c r="O95" s="380">
        <f t="shared" si="40"/>
        <v>0</v>
      </c>
      <c r="P95" s="380">
        <f t="shared" si="40"/>
        <v>0</v>
      </c>
      <c r="Q95" s="380">
        <f t="shared" si="40"/>
        <v>0</v>
      </c>
      <c r="R95" s="380">
        <f t="shared" si="40"/>
        <v>0</v>
      </c>
      <c r="S95" s="380">
        <f t="shared" si="40"/>
        <v>0</v>
      </c>
      <c r="T95" s="417">
        <f t="shared" si="41"/>
        <v>0</v>
      </c>
    </row>
    <row r="96" spans="2:20" x14ac:dyDescent="0.2">
      <c r="B96" s="308"/>
      <c r="D96" s="11"/>
      <c r="E96" s="37"/>
      <c r="F96" s="21">
        <f>SUM(F87:F95)</f>
        <v>4</v>
      </c>
      <c r="G96" s="19"/>
      <c r="H96" s="379"/>
      <c r="I96" s="380"/>
      <c r="J96" s="380"/>
      <c r="K96" s="380"/>
      <c r="L96" s="380"/>
      <c r="M96" s="380"/>
      <c r="N96" s="380"/>
      <c r="O96" s="380"/>
      <c r="P96" s="380"/>
      <c r="Q96" s="380"/>
      <c r="R96" s="380"/>
      <c r="S96" s="380"/>
      <c r="T96" s="417"/>
    </row>
    <row r="97" spans="2:20" x14ac:dyDescent="0.2">
      <c r="B97" s="308"/>
      <c r="D97" s="11" t="s">
        <v>222</v>
      </c>
      <c r="E97" s="18" t="s">
        <v>221</v>
      </c>
      <c r="F97" s="50" t="s">
        <v>216</v>
      </c>
      <c r="G97" s="19"/>
      <c r="H97" s="379"/>
      <c r="I97" s="380"/>
      <c r="J97" s="380"/>
      <c r="K97" s="380"/>
      <c r="L97" s="380"/>
      <c r="M97" s="380"/>
      <c r="N97" s="380"/>
      <c r="O97" s="380"/>
      <c r="P97" s="380"/>
      <c r="Q97" s="380"/>
      <c r="R97" s="380"/>
      <c r="S97" s="380"/>
      <c r="T97" s="417"/>
    </row>
    <row r="98" spans="2:20" x14ac:dyDescent="0.2">
      <c r="B98" s="308"/>
      <c r="C98" t="s">
        <v>214</v>
      </c>
      <c r="D98" s="453">
        <f>'Year 3'!D98</f>
        <v>3</v>
      </c>
      <c r="E98" s="452">
        <f>'Year 3'!E98</f>
        <v>10</v>
      </c>
      <c r="F98" s="453">
        <f>'Year 3'!F98</f>
        <v>40</v>
      </c>
      <c r="G98" s="19"/>
      <c r="H98" s="379">
        <f>(($E98*$F98*52)/12)*$D98</f>
        <v>5200</v>
      </c>
      <c r="I98" s="380">
        <f t="shared" ref="I98:S98" si="42">(($E98*$F98*52)/12)*$D98</f>
        <v>5200</v>
      </c>
      <c r="J98" s="380">
        <f t="shared" si="42"/>
        <v>5200</v>
      </c>
      <c r="K98" s="380">
        <f t="shared" si="42"/>
        <v>5200</v>
      </c>
      <c r="L98" s="380">
        <f t="shared" si="42"/>
        <v>5200</v>
      </c>
      <c r="M98" s="380">
        <f t="shared" si="42"/>
        <v>5200</v>
      </c>
      <c r="N98" s="380">
        <f t="shared" si="42"/>
        <v>5200</v>
      </c>
      <c r="O98" s="380">
        <f t="shared" si="42"/>
        <v>5200</v>
      </c>
      <c r="P98" s="380">
        <f t="shared" si="42"/>
        <v>5200</v>
      </c>
      <c r="Q98" s="380">
        <f t="shared" si="42"/>
        <v>5200</v>
      </c>
      <c r="R98" s="380">
        <f t="shared" si="42"/>
        <v>5200</v>
      </c>
      <c r="S98" s="380">
        <f t="shared" si="42"/>
        <v>5200</v>
      </c>
      <c r="T98" s="417">
        <f t="shared" si="41"/>
        <v>62400</v>
      </c>
    </row>
    <row r="99" spans="2:20" x14ac:dyDescent="0.2">
      <c r="B99" s="308"/>
      <c r="C99" t="s">
        <v>215</v>
      </c>
      <c r="D99" s="453">
        <f>'Year 3'!D99</f>
        <v>2</v>
      </c>
      <c r="E99" s="452">
        <f>'Year 3'!E99</f>
        <v>9</v>
      </c>
      <c r="F99" s="453">
        <f>'Year 3'!F99</f>
        <v>20</v>
      </c>
      <c r="G99" s="19"/>
      <c r="H99" s="379">
        <f t="shared" ref="H99:S100" si="43">(($E99*$F99*52)/12)*$D99</f>
        <v>1560</v>
      </c>
      <c r="I99" s="380">
        <f t="shared" si="43"/>
        <v>1560</v>
      </c>
      <c r="J99" s="380">
        <f t="shared" si="43"/>
        <v>1560</v>
      </c>
      <c r="K99" s="380">
        <f t="shared" si="43"/>
        <v>1560</v>
      </c>
      <c r="L99" s="380">
        <f t="shared" si="43"/>
        <v>1560</v>
      </c>
      <c r="M99" s="380">
        <f t="shared" si="43"/>
        <v>1560</v>
      </c>
      <c r="N99" s="380">
        <f t="shared" si="43"/>
        <v>1560</v>
      </c>
      <c r="O99" s="380">
        <f t="shared" si="43"/>
        <v>1560</v>
      </c>
      <c r="P99" s="380">
        <f t="shared" si="43"/>
        <v>1560</v>
      </c>
      <c r="Q99" s="380">
        <f t="shared" si="43"/>
        <v>1560</v>
      </c>
      <c r="R99" s="380">
        <f t="shared" si="43"/>
        <v>1560</v>
      </c>
      <c r="S99" s="380">
        <f t="shared" si="43"/>
        <v>1560</v>
      </c>
      <c r="T99" s="417">
        <f t="shared" si="41"/>
        <v>18720</v>
      </c>
    </row>
    <row r="100" spans="2:20" x14ac:dyDescent="0.2">
      <c r="B100" s="308"/>
      <c r="C100" t="s">
        <v>24</v>
      </c>
      <c r="D100" s="453">
        <f>'Year 3'!D100</f>
        <v>0</v>
      </c>
      <c r="E100" s="452">
        <f>'Year 3'!E100</f>
        <v>0</v>
      </c>
      <c r="F100" s="453">
        <f>'Year 3'!F100</f>
        <v>0</v>
      </c>
      <c r="G100" s="19"/>
      <c r="H100" s="379">
        <f t="shared" si="43"/>
        <v>0</v>
      </c>
      <c r="I100" s="380">
        <f t="shared" si="43"/>
        <v>0</v>
      </c>
      <c r="J100" s="380">
        <f t="shared" si="43"/>
        <v>0</v>
      </c>
      <c r="K100" s="380">
        <f t="shared" si="43"/>
        <v>0</v>
      </c>
      <c r="L100" s="380">
        <f t="shared" si="43"/>
        <v>0</v>
      </c>
      <c r="M100" s="380">
        <f t="shared" si="43"/>
        <v>0</v>
      </c>
      <c r="N100" s="380">
        <f t="shared" si="43"/>
        <v>0</v>
      </c>
      <c r="O100" s="380">
        <f t="shared" si="43"/>
        <v>0</v>
      </c>
      <c r="P100" s="380">
        <f t="shared" si="43"/>
        <v>0</v>
      </c>
      <c r="Q100" s="380">
        <f t="shared" si="43"/>
        <v>0</v>
      </c>
      <c r="R100" s="380">
        <f t="shared" si="43"/>
        <v>0</v>
      </c>
      <c r="S100" s="380">
        <f t="shared" si="43"/>
        <v>0</v>
      </c>
      <c r="T100" s="417">
        <f t="shared" si="41"/>
        <v>0</v>
      </c>
    </row>
    <row r="101" spans="2:20" ht="17" thickBot="1" x14ac:dyDescent="0.25">
      <c r="B101" s="308"/>
      <c r="D101" s="21">
        <f>SUM(D98:D100)</f>
        <v>5</v>
      </c>
      <c r="E101" s="37"/>
      <c r="F101" s="51"/>
      <c r="G101" s="19"/>
      <c r="H101" s="379"/>
      <c r="I101" s="380"/>
      <c r="J101" s="380"/>
      <c r="K101" s="380"/>
      <c r="L101" s="380"/>
      <c r="M101" s="380"/>
      <c r="N101" s="380"/>
      <c r="O101" s="380"/>
      <c r="P101" s="380"/>
      <c r="Q101" s="380"/>
      <c r="R101" s="380"/>
      <c r="S101" s="380"/>
      <c r="T101" s="417"/>
    </row>
    <row r="102" spans="2:20" ht="17" thickTop="1" x14ac:dyDescent="0.2">
      <c r="B102" s="418" t="s">
        <v>223</v>
      </c>
      <c r="C102" s="419"/>
      <c r="D102" s="419"/>
      <c r="E102" s="419"/>
      <c r="F102" s="419"/>
      <c r="G102" s="420"/>
      <c r="H102" s="421">
        <f>SUM(H87:H100)</f>
        <v>26773.4656</v>
      </c>
      <c r="I102" s="422">
        <f t="shared" ref="I102:S102" si="44">SUM(I87:I100)</f>
        <v>26773.4656</v>
      </c>
      <c r="J102" s="422">
        <f t="shared" si="44"/>
        <v>26773.4656</v>
      </c>
      <c r="K102" s="422">
        <f t="shared" si="44"/>
        <v>26773.4656</v>
      </c>
      <c r="L102" s="422">
        <f t="shared" si="44"/>
        <v>26773.4656</v>
      </c>
      <c r="M102" s="422">
        <f t="shared" si="44"/>
        <v>26773.4656</v>
      </c>
      <c r="N102" s="422">
        <f t="shared" si="44"/>
        <v>26773.4656</v>
      </c>
      <c r="O102" s="422">
        <f t="shared" si="44"/>
        <v>26773.4656</v>
      </c>
      <c r="P102" s="422">
        <f t="shared" si="44"/>
        <v>26773.4656</v>
      </c>
      <c r="Q102" s="422">
        <f t="shared" si="44"/>
        <v>26773.4656</v>
      </c>
      <c r="R102" s="422">
        <f t="shared" si="44"/>
        <v>26773.4656</v>
      </c>
      <c r="S102" s="422">
        <f t="shared" si="44"/>
        <v>26773.4656</v>
      </c>
      <c r="T102" s="423">
        <f>SUM(H102:S102)</f>
        <v>321281.58720000001</v>
      </c>
    </row>
    <row r="103" spans="2:20" ht="16" customHeight="1" x14ac:dyDescent="0.2">
      <c r="B103" s="308"/>
      <c r="D103" s="51"/>
      <c r="E103" s="498" t="s">
        <v>317</v>
      </c>
      <c r="F103" s="498" t="s">
        <v>316</v>
      </c>
      <c r="G103" s="498"/>
      <c r="H103" s="379"/>
      <c r="I103" s="380"/>
      <c r="J103" s="380"/>
      <c r="K103" s="380"/>
      <c r="L103" s="380"/>
      <c r="M103" s="380"/>
      <c r="N103" s="380"/>
      <c r="O103" s="380"/>
      <c r="P103" s="380"/>
      <c r="Q103" s="380"/>
      <c r="R103" s="380"/>
      <c r="S103" s="380"/>
      <c r="T103" s="417"/>
    </row>
    <row r="104" spans="2:20" x14ac:dyDescent="0.2">
      <c r="B104" s="307" t="s">
        <v>225</v>
      </c>
      <c r="C104" s="49"/>
      <c r="D104" s="49"/>
      <c r="E104" s="498"/>
      <c r="F104" s="498"/>
      <c r="G104" s="498"/>
      <c r="H104" s="379"/>
      <c r="I104" s="380"/>
      <c r="J104" s="380"/>
      <c r="K104" s="380"/>
      <c r="L104" s="380"/>
      <c r="M104" s="380"/>
      <c r="N104" s="380"/>
      <c r="O104" s="380"/>
      <c r="P104" s="380"/>
      <c r="Q104" s="380"/>
      <c r="R104" s="380"/>
      <c r="S104" s="380"/>
      <c r="T104" s="417"/>
    </row>
    <row r="105" spans="2:20" x14ac:dyDescent="0.2">
      <c r="B105" s="426"/>
      <c r="C105" t="s">
        <v>226</v>
      </c>
      <c r="D105" s="49"/>
      <c r="E105" s="454">
        <f>'Year 3'!E105</f>
        <v>6.2E-2</v>
      </c>
      <c r="F105" s="452">
        <f>IF('Year 3'!F105="","",'Year 3'!F105)</f>
        <v>102000</v>
      </c>
      <c r="H105" s="379">
        <f>IF($F105="",$E105*H$102,$E105*$F105)</f>
        <v>6324</v>
      </c>
      <c r="I105" s="380">
        <f t="shared" ref="I105:S105" si="45">IF($F105="",$E105*I$102,$E105*$F105)</f>
        <v>6324</v>
      </c>
      <c r="J105" s="380">
        <f t="shared" si="45"/>
        <v>6324</v>
      </c>
      <c r="K105" s="380">
        <f t="shared" si="45"/>
        <v>6324</v>
      </c>
      <c r="L105" s="380">
        <f t="shared" si="45"/>
        <v>6324</v>
      </c>
      <c r="M105" s="380">
        <f t="shared" si="45"/>
        <v>6324</v>
      </c>
      <c r="N105" s="380">
        <f t="shared" si="45"/>
        <v>6324</v>
      </c>
      <c r="O105" s="380">
        <f t="shared" si="45"/>
        <v>6324</v>
      </c>
      <c r="P105" s="380">
        <f t="shared" si="45"/>
        <v>6324</v>
      </c>
      <c r="Q105" s="380">
        <f t="shared" si="45"/>
        <v>6324</v>
      </c>
      <c r="R105" s="380">
        <f t="shared" si="45"/>
        <v>6324</v>
      </c>
      <c r="S105" s="380">
        <f t="shared" si="45"/>
        <v>6324</v>
      </c>
      <c r="T105" s="417">
        <f t="shared" ref="T105:T112" si="46">SUM(H105:S105)</f>
        <v>75888</v>
      </c>
    </row>
    <row r="106" spans="2:20" x14ac:dyDescent="0.2">
      <c r="B106" s="426"/>
      <c r="C106" t="s">
        <v>227</v>
      </c>
      <c r="D106" s="49"/>
      <c r="E106" s="454">
        <f>'Year 3'!E106</f>
        <v>1.4500000000000001E-2</v>
      </c>
      <c r="F106" s="452" t="str">
        <f>IF('Year 3'!F106="","",'Year 3'!F106)</f>
        <v/>
      </c>
      <c r="H106" s="379">
        <f t="shared" ref="H106:S112" si="47">IF($F106="",$E106*H$102,$E106*$F106)</f>
        <v>388.21525120000001</v>
      </c>
      <c r="I106" s="380">
        <f t="shared" si="47"/>
        <v>388.21525120000001</v>
      </c>
      <c r="J106" s="380">
        <f t="shared" si="47"/>
        <v>388.21525120000001</v>
      </c>
      <c r="K106" s="380">
        <f t="shared" si="47"/>
        <v>388.21525120000001</v>
      </c>
      <c r="L106" s="380">
        <f t="shared" si="47"/>
        <v>388.21525120000001</v>
      </c>
      <c r="M106" s="380">
        <f t="shared" si="47"/>
        <v>388.21525120000001</v>
      </c>
      <c r="N106" s="380">
        <f t="shared" si="47"/>
        <v>388.21525120000001</v>
      </c>
      <c r="O106" s="380">
        <f t="shared" si="47"/>
        <v>388.21525120000001</v>
      </c>
      <c r="P106" s="380">
        <f t="shared" si="47"/>
        <v>388.21525120000001</v>
      </c>
      <c r="Q106" s="380">
        <f t="shared" si="47"/>
        <v>388.21525120000001</v>
      </c>
      <c r="R106" s="380">
        <f t="shared" si="47"/>
        <v>388.21525120000001</v>
      </c>
      <c r="S106" s="380">
        <f t="shared" si="47"/>
        <v>388.21525120000001</v>
      </c>
      <c r="T106" s="417">
        <f t="shared" si="46"/>
        <v>4658.583014400001</v>
      </c>
    </row>
    <row r="107" spans="2:20" x14ac:dyDescent="0.2">
      <c r="B107" s="426"/>
      <c r="C107" t="s">
        <v>233</v>
      </c>
      <c r="D107" s="49"/>
      <c r="E107" s="454">
        <f>'Year 3'!E107</f>
        <v>8.0000000000000002E-3</v>
      </c>
      <c r="F107" s="452">
        <f>IF('Year 3'!F107="","",'Year 3'!F107)</f>
        <v>7000</v>
      </c>
      <c r="H107" s="379">
        <f t="shared" si="47"/>
        <v>56</v>
      </c>
      <c r="I107" s="380">
        <f t="shared" si="47"/>
        <v>56</v>
      </c>
      <c r="J107" s="380">
        <f t="shared" si="47"/>
        <v>56</v>
      </c>
      <c r="K107" s="380">
        <f t="shared" si="47"/>
        <v>56</v>
      </c>
      <c r="L107" s="380">
        <f t="shared" si="47"/>
        <v>56</v>
      </c>
      <c r="M107" s="380">
        <f t="shared" si="47"/>
        <v>56</v>
      </c>
      <c r="N107" s="380">
        <f t="shared" si="47"/>
        <v>56</v>
      </c>
      <c r="O107" s="380">
        <f t="shared" si="47"/>
        <v>56</v>
      </c>
      <c r="P107" s="380">
        <f t="shared" si="47"/>
        <v>56</v>
      </c>
      <c r="Q107" s="380">
        <f t="shared" si="47"/>
        <v>56</v>
      </c>
      <c r="R107" s="380">
        <f t="shared" si="47"/>
        <v>56</v>
      </c>
      <c r="S107" s="380">
        <f t="shared" si="47"/>
        <v>56</v>
      </c>
      <c r="T107" s="417">
        <f t="shared" si="46"/>
        <v>672</v>
      </c>
    </row>
    <row r="108" spans="2:20" x14ac:dyDescent="0.2">
      <c r="B108" s="426"/>
      <c r="C108" t="s">
        <v>234</v>
      </c>
      <c r="D108" s="49"/>
      <c r="E108" s="454">
        <f>'Year 3'!E108</f>
        <v>2.7E-2</v>
      </c>
      <c r="F108" s="452">
        <f>IF('Year 3'!F108="","",'Year 3'!F108)</f>
        <v>7000</v>
      </c>
      <c r="H108" s="379">
        <f t="shared" si="47"/>
        <v>189</v>
      </c>
      <c r="I108" s="380">
        <f t="shared" si="47"/>
        <v>189</v>
      </c>
      <c r="J108" s="380">
        <f t="shared" si="47"/>
        <v>189</v>
      </c>
      <c r="K108" s="380">
        <f t="shared" si="47"/>
        <v>189</v>
      </c>
      <c r="L108" s="380">
        <f t="shared" si="47"/>
        <v>189</v>
      </c>
      <c r="M108" s="380">
        <f t="shared" si="47"/>
        <v>189</v>
      </c>
      <c r="N108" s="380">
        <f t="shared" si="47"/>
        <v>189</v>
      </c>
      <c r="O108" s="380">
        <f t="shared" si="47"/>
        <v>189</v>
      </c>
      <c r="P108" s="380">
        <f t="shared" si="47"/>
        <v>189</v>
      </c>
      <c r="Q108" s="380">
        <f t="shared" si="47"/>
        <v>189</v>
      </c>
      <c r="R108" s="380">
        <f t="shared" si="47"/>
        <v>189</v>
      </c>
      <c r="S108" s="380">
        <f t="shared" si="47"/>
        <v>189</v>
      </c>
      <c r="T108" s="417">
        <f t="shared" si="46"/>
        <v>2268</v>
      </c>
    </row>
    <row r="109" spans="2:20" x14ac:dyDescent="0.2">
      <c r="B109" s="426"/>
      <c r="C109" t="s">
        <v>228</v>
      </c>
      <c r="D109" s="49"/>
      <c r="E109" s="454">
        <f>'Year 3'!E109</f>
        <v>1.4999999999999999E-2</v>
      </c>
      <c r="F109" s="452" t="str">
        <f>IF('Year 3'!F109="","",'Year 3'!F109)</f>
        <v/>
      </c>
      <c r="H109" s="379">
        <f t="shared" si="47"/>
        <v>401.60198399999996</v>
      </c>
      <c r="I109" s="380">
        <f t="shared" si="47"/>
        <v>401.60198399999996</v>
      </c>
      <c r="J109" s="380">
        <f t="shared" si="47"/>
        <v>401.60198399999996</v>
      </c>
      <c r="K109" s="380">
        <f t="shared" si="47"/>
        <v>401.60198399999996</v>
      </c>
      <c r="L109" s="380">
        <f t="shared" si="47"/>
        <v>401.60198399999996</v>
      </c>
      <c r="M109" s="380">
        <f t="shared" si="47"/>
        <v>401.60198399999996</v>
      </c>
      <c r="N109" s="380">
        <f t="shared" si="47"/>
        <v>401.60198399999996</v>
      </c>
      <c r="O109" s="380">
        <f t="shared" si="47"/>
        <v>401.60198399999996</v>
      </c>
      <c r="P109" s="380">
        <f t="shared" si="47"/>
        <v>401.60198399999996</v>
      </c>
      <c r="Q109" s="380">
        <f t="shared" si="47"/>
        <v>401.60198399999996</v>
      </c>
      <c r="R109" s="380">
        <f t="shared" si="47"/>
        <v>401.60198399999996</v>
      </c>
      <c r="S109" s="380">
        <f t="shared" si="47"/>
        <v>401.60198399999996</v>
      </c>
      <c r="T109" s="417">
        <f t="shared" si="46"/>
        <v>4819.2238079999997</v>
      </c>
    </row>
    <row r="110" spans="2:20" x14ac:dyDescent="0.2">
      <c r="B110" s="426"/>
      <c r="C110" t="s">
        <v>229</v>
      </c>
      <c r="D110" s="49"/>
      <c r="E110" s="454">
        <f>'Year 3'!E110</f>
        <v>0</v>
      </c>
      <c r="F110" s="452" t="str">
        <f>IF('Year 3'!F110="","",'Year 3'!F110)</f>
        <v/>
      </c>
      <c r="H110" s="379">
        <f t="shared" si="47"/>
        <v>0</v>
      </c>
      <c r="I110" s="380">
        <f t="shared" si="47"/>
        <v>0</v>
      </c>
      <c r="J110" s="380">
        <f t="shared" si="47"/>
        <v>0</v>
      </c>
      <c r="K110" s="380">
        <f t="shared" si="47"/>
        <v>0</v>
      </c>
      <c r="L110" s="380">
        <f t="shared" si="47"/>
        <v>0</v>
      </c>
      <c r="M110" s="380">
        <f t="shared" si="47"/>
        <v>0</v>
      </c>
      <c r="N110" s="380">
        <f t="shared" si="47"/>
        <v>0</v>
      </c>
      <c r="O110" s="380">
        <f t="shared" si="47"/>
        <v>0</v>
      </c>
      <c r="P110" s="380">
        <f t="shared" si="47"/>
        <v>0</v>
      </c>
      <c r="Q110" s="380">
        <f t="shared" si="47"/>
        <v>0</v>
      </c>
      <c r="R110" s="380">
        <f t="shared" si="47"/>
        <v>0</v>
      </c>
      <c r="S110" s="380">
        <f t="shared" si="47"/>
        <v>0</v>
      </c>
      <c r="T110" s="417">
        <f t="shared" si="46"/>
        <v>0</v>
      </c>
    </row>
    <row r="111" spans="2:20" x14ac:dyDescent="0.2">
      <c r="B111" s="426"/>
      <c r="C111" t="s">
        <v>230</v>
      </c>
      <c r="D111" s="49"/>
      <c r="E111" s="454">
        <f>'Year 3'!E111</f>
        <v>0</v>
      </c>
      <c r="F111" s="452" t="str">
        <f>IF('Year 3'!F111="","",'Year 3'!F111)</f>
        <v/>
      </c>
      <c r="H111" s="379">
        <f t="shared" si="47"/>
        <v>0</v>
      </c>
      <c r="I111" s="380">
        <f t="shared" si="47"/>
        <v>0</v>
      </c>
      <c r="J111" s="380">
        <f t="shared" si="47"/>
        <v>0</v>
      </c>
      <c r="K111" s="380">
        <f t="shared" si="47"/>
        <v>0</v>
      </c>
      <c r="L111" s="380">
        <f t="shared" si="47"/>
        <v>0</v>
      </c>
      <c r="M111" s="380">
        <f t="shared" si="47"/>
        <v>0</v>
      </c>
      <c r="N111" s="380">
        <f t="shared" si="47"/>
        <v>0</v>
      </c>
      <c r="O111" s="380">
        <f t="shared" si="47"/>
        <v>0</v>
      </c>
      <c r="P111" s="380">
        <f t="shared" si="47"/>
        <v>0</v>
      </c>
      <c r="Q111" s="380">
        <f t="shared" si="47"/>
        <v>0</v>
      </c>
      <c r="R111" s="380">
        <f t="shared" si="47"/>
        <v>0</v>
      </c>
      <c r="S111" s="380">
        <f t="shared" si="47"/>
        <v>0</v>
      </c>
      <c r="T111" s="417">
        <f t="shared" si="46"/>
        <v>0</v>
      </c>
    </row>
    <row r="112" spans="2:20" ht="17" thickBot="1" x14ac:dyDescent="0.25">
      <c r="B112" s="426"/>
      <c r="C112" t="s">
        <v>231</v>
      </c>
      <c r="D112" s="49"/>
      <c r="E112" s="454">
        <f>'Year 3'!E112</f>
        <v>0.04</v>
      </c>
      <c r="F112" s="452" t="str">
        <f>IF('Year 3'!F112="","",'Year 3'!F112)</f>
        <v/>
      </c>
      <c r="H112" s="379">
        <f t="shared" si="47"/>
        <v>1070.9386239999999</v>
      </c>
      <c r="I112" s="380">
        <f t="shared" si="47"/>
        <v>1070.9386239999999</v>
      </c>
      <c r="J112" s="380">
        <f t="shared" si="47"/>
        <v>1070.9386239999999</v>
      </c>
      <c r="K112" s="380">
        <f t="shared" si="47"/>
        <v>1070.9386239999999</v>
      </c>
      <c r="L112" s="380">
        <f t="shared" si="47"/>
        <v>1070.9386239999999</v>
      </c>
      <c r="M112" s="380">
        <f t="shared" si="47"/>
        <v>1070.9386239999999</v>
      </c>
      <c r="N112" s="380">
        <f t="shared" si="47"/>
        <v>1070.9386239999999</v>
      </c>
      <c r="O112" s="380">
        <f t="shared" si="47"/>
        <v>1070.9386239999999</v>
      </c>
      <c r="P112" s="380">
        <f t="shared" si="47"/>
        <v>1070.9386239999999</v>
      </c>
      <c r="Q112" s="380">
        <f t="shared" si="47"/>
        <v>1070.9386239999999</v>
      </c>
      <c r="R112" s="380">
        <f t="shared" si="47"/>
        <v>1070.9386239999999</v>
      </c>
      <c r="S112" s="380">
        <f t="shared" si="47"/>
        <v>1070.9386239999999</v>
      </c>
      <c r="T112" s="417">
        <f t="shared" si="46"/>
        <v>12851.263488000002</v>
      </c>
    </row>
    <row r="113" spans="2:20" ht="17" thickTop="1" x14ac:dyDescent="0.2">
      <c r="B113" s="418" t="s">
        <v>232</v>
      </c>
      <c r="C113" s="419"/>
      <c r="D113" s="419"/>
      <c r="E113" s="419"/>
      <c r="F113" s="419"/>
      <c r="G113" s="420"/>
      <c r="H113" s="421">
        <f>SUM(H105:H112)</f>
        <v>8429.7558592000005</v>
      </c>
      <c r="I113" s="422">
        <f t="shared" ref="I113:S113" si="48">SUM(I105:I112)</f>
        <v>8429.7558592000005</v>
      </c>
      <c r="J113" s="422">
        <f t="shared" si="48"/>
        <v>8429.7558592000005</v>
      </c>
      <c r="K113" s="422">
        <f t="shared" si="48"/>
        <v>8429.7558592000005</v>
      </c>
      <c r="L113" s="422">
        <f t="shared" si="48"/>
        <v>8429.7558592000005</v>
      </c>
      <c r="M113" s="422">
        <f t="shared" si="48"/>
        <v>8429.7558592000005</v>
      </c>
      <c r="N113" s="422">
        <f t="shared" si="48"/>
        <v>8429.7558592000005</v>
      </c>
      <c r="O113" s="422">
        <f t="shared" si="48"/>
        <v>8429.7558592000005</v>
      </c>
      <c r="P113" s="422">
        <f t="shared" si="48"/>
        <v>8429.7558592000005</v>
      </c>
      <c r="Q113" s="422">
        <f t="shared" si="48"/>
        <v>8429.7558592000005</v>
      </c>
      <c r="R113" s="422">
        <f t="shared" si="48"/>
        <v>8429.7558592000005</v>
      </c>
      <c r="S113" s="422">
        <f t="shared" si="48"/>
        <v>8429.7558592000005</v>
      </c>
      <c r="T113" s="423">
        <f>SUM(H113:S113)</f>
        <v>101157.0703104</v>
      </c>
    </row>
    <row r="114" spans="2:20" ht="17" thickBot="1" x14ac:dyDescent="0.25">
      <c r="B114" s="308"/>
      <c r="C114" s="10"/>
      <c r="E114" s="20"/>
      <c r="G114" s="19"/>
      <c r="H114" s="382"/>
      <c r="I114" s="383"/>
      <c r="J114" s="383"/>
      <c r="K114" s="383"/>
      <c r="L114" s="383"/>
      <c r="M114" s="383"/>
      <c r="N114" s="383"/>
      <c r="O114" s="383"/>
      <c r="P114" s="383"/>
      <c r="Q114" s="383"/>
      <c r="R114" s="383"/>
      <c r="S114" s="383"/>
      <c r="T114" s="425"/>
    </row>
    <row r="115" spans="2:20" ht="17" thickTop="1" x14ac:dyDescent="0.2">
      <c r="B115" s="250" t="s">
        <v>235</v>
      </c>
      <c r="C115" s="237"/>
      <c r="D115" s="237"/>
      <c r="E115" s="237"/>
      <c r="F115" s="237"/>
      <c r="G115" s="237"/>
      <c r="H115" s="239">
        <f t="shared" ref="H115:S115" si="49">H102+H113</f>
        <v>35203.221459200002</v>
      </c>
      <c r="I115" s="240">
        <f t="shared" si="49"/>
        <v>35203.221459200002</v>
      </c>
      <c r="J115" s="240">
        <f t="shared" si="49"/>
        <v>35203.221459200002</v>
      </c>
      <c r="K115" s="240">
        <f t="shared" si="49"/>
        <v>35203.221459200002</v>
      </c>
      <c r="L115" s="240">
        <f t="shared" si="49"/>
        <v>35203.221459200002</v>
      </c>
      <c r="M115" s="240">
        <f t="shared" si="49"/>
        <v>35203.221459200002</v>
      </c>
      <c r="N115" s="240">
        <f t="shared" si="49"/>
        <v>35203.221459200002</v>
      </c>
      <c r="O115" s="240">
        <f t="shared" si="49"/>
        <v>35203.221459200002</v>
      </c>
      <c r="P115" s="240">
        <f t="shared" si="49"/>
        <v>35203.221459200002</v>
      </c>
      <c r="Q115" s="240">
        <f t="shared" si="49"/>
        <v>35203.221459200002</v>
      </c>
      <c r="R115" s="240">
        <f t="shared" si="49"/>
        <v>35203.221459200002</v>
      </c>
      <c r="S115" s="240">
        <f t="shared" si="49"/>
        <v>35203.221459200002</v>
      </c>
      <c r="T115" s="251">
        <f>SUM(H115:S115)</f>
        <v>422438.65751040011</v>
      </c>
    </row>
    <row r="116" spans="2:20" x14ac:dyDescent="0.2">
      <c r="C116" s="10"/>
      <c r="D116" s="11"/>
      <c r="E116" s="20"/>
      <c r="F116" s="8"/>
      <c r="H116" s="387"/>
      <c r="I116" s="388"/>
      <c r="J116" s="388"/>
      <c r="K116" s="388"/>
      <c r="L116" s="388"/>
      <c r="M116" s="388"/>
      <c r="N116" s="388"/>
      <c r="O116" s="388"/>
      <c r="P116" s="388"/>
      <c r="Q116" s="388"/>
      <c r="R116" s="388"/>
      <c r="S116" s="388"/>
      <c r="T116" s="381"/>
    </row>
    <row r="117" spans="2:20" ht="20" x14ac:dyDescent="0.2">
      <c r="B117" s="116" t="s">
        <v>17</v>
      </c>
      <c r="C117" s="327"/>
      <c r="D117" s="327"/>
      <c r="E117" s="327" t="str">
        <f>$E$3</f>
        <v>Year 4 (2023)</v>
      </c>
      <c r="F117" s="327"/>
      <c r="G117" s="327"/>
      <c r="H117" s="360" t="s">
        <v>127</v>
      </c>
      <c r="I117" s="361" t="s">
        <v>128</v>
      </c>
      <c r="J117" s="361" t="s">
        <v>129</v>
      </c>
      <c r="K117" s="361" t="s">
        <v>130</v>
      </c>
      <c r="L117" s="361" t="s">
        <v>131</v>
      </c>
      <c r="M117" s="361" t="s">
        <v>132</v>
      </c>
      <c r="N117" s="361" t="s">
        <v>133</v>
      </c>
      <c r="O117" s="361" t="s">
        <v>134</v>
      </c>
      <c r="P117" s="361" t="s">
        <v>135</v>
      </c>
      <c r="Q117" s="361" t="s">
        <v>136</v>
      </c>
      <c r="R117" s="361" t="s">
        <v>137</v>
      </c>
      <c r="S117" s="361" t="s">
        <v>138</v>
      </c>
      <c r="T117" s="362" t="s">
        <v>179</v>
      </c>
    </row>
    <row r="118" spans="2:20" x14ac:dyDescent="0.2">
      <c r="B118" s="401"/>
      <c r="C118" s="402"/>
      <c r="D118" s="402"/>
      <c r="E118" s="402"/>
      <c r="F118" s="402"/>
      <c r="G118" s="403" t="s">
        <v>57</v>
      </c>
      <c r="H118" s="363">
        <f>H$4</f>
        <v>37</v>
      </c>
      <c r="I118" s="364">
        <f t="shared" ref="I118:S118" si="50">I$4</f>
        <v>38</v>
      </c>
      <c r="J118" s="364">
        <f t="shared" si="50"/>
        <v>39</v>
      </c>
      <c r="K118" s="364">
        <f t="shared" si="50"/>
        <v>40</v>
      </c>
      <c r="L118" s="364">
        <f t="shared" si="50"/>
        <v>41</v>
      </c>
      <c r="M118" s="364">
        <f t="shared" si="50"/>
        <v>42</v>
      </c>
      <c r="N118" s="364">
        <f t="shared" si="50"/>
        <v>43</v>
      </c>
      <c r="O118" s="364">
        <f t="shared" si="50"/>
        <v>44</v>
      </c>
      <c r="P118" s="364">
        <f t="shared" si="50"/>
        <v>45</v>
      </c>
      <c r="Q118" s="364">
        <f t="shared" si="50"/>
        <v>46</v>
      </c>
      <c r="R118" s="364">
        <f t="shared" si="50"/>
        <v>47</v>
      </c>
      <c r="S118" s="364">
        <f t="shared" si="50"/>
        <v>48</v>
      </c>
      <c r="T118" s="405" t="str">
        <f>"Total for " &amp; $E$3</f>
        <v>Total for Year 4 (2023)</v>
      </c>
    </row>
    <row r="119" spans="2:20" x14ac:dyDescent="0.2">
      <c r="B119" s="308"/>
      <c r="C119" s="10"/>
      <c r="D119" s="11"/>
      <c r="E119" s="20"/>
      <c r="F119" s="8"/>
      <c r="H119" s="367"/>
      <c r="I119" s="368"/>
      <c r="J119" s="368"/>
      <c r="K119" s="368"/>
      <c r="L119" s="368"/>
      <c r="M119" s="368"/>
      <c r="N119" s="368"/>
      <c r="O119" s="368"/>
      <c r="P119" s="368"/>
      <c r="Q119" s="368"/>
      <c r="R119" s="368"/>
      <c r="S119" s="368"/>
      <c r="T119" s="407"/>
    </row>
    <row r="120" spans="2:20" x14ac:dyDescent="0.2">
      <c r="B120" s="307" t="s">
        <v>31</v>
      </c>
      <c r="C120" s="10"/>
      <c r="D120" s="11"/>
      <c r="E120" s="22" t="s">
        <v>29</v>
      </c>
      <c r="F120" s="8" t="s">
        <v>30</v>
      </c>
      <c r="H120" s="367"/>
      <c r="I120" s="368"/>
      <c r="J120" s="368"/>
      <c r="K120" s="368"/>
      <c r="L120" s="368"/>
      <c r="M120" s="368"/>
      <c r="N120" s="368"/>
      <c r="O120" s="368"/>
      <c r="P120" s="368"/>
      <c r="Q120" s="368"/>
      <c r="R120" s="368"/>
      <c r="S120" s="368"/>
      <c r="T120" s="407"/>
    </row>
    <row r="121" spans="2:20" x14ac:dyDescent="0.2">
      <c r="B121" s="308"/>
      <c r="C121" t="s">
        <v>207</v>
      </c>
      <c r="D121" s="49"/>
      <c r="E121" s="452">
        <f>'Year 3'!E121</f>
        <v>500</v>
      </c>
      <c r="F121" s="453">
        <f>'Year 3'!F121</f>
        <v>1</v>
      </c>
      <c r="H121" s="379">
        <f>$E121*$F121</f>
        <v>500</v>
      </c>
      <c r="I121" s="380">
        <f t="shared" ref="I121:S136" si="51">$E121*$F121</f>
        <v>500</v>
      </c>
      <c r="J121" s="380">
        <f t="shared" si="51"/>
        <v>500</v>
      </c>
      <c r="K121" s="380">
        <f t="shared" si="51"/>
        <v>500</v>
      </c>
      <c r="L121" s="380">
        <f t="shared" si="51"/>
        <v>500</v>
      </c>
      <c r="M121" s="380">
        <f t="shared" si="51"/>
        <v>500</v>
      </c>
      <c r="N121" s="380">
        <f t="shared" si="51"/>
        <v>500</v>
      </c>
      <c r="O121" s="380">
        <f t="shared" si="51"/>
        <v>500</v>
      </c>
      <c r="P121" s="380">
        <f t="shared" si="51"/>
        <v>500</v>
      </c>
      <c r="Q121" s="380">
        <f t="shared" si="51"/>
        <v>500</v>
      </c>
      <c r="R121" s="380">
        <f t="shared" si="51"/>
        <v>500</v>
      </c>
      <c r="S121" s="380">
        <f t="shared" si="51"/>
        <v>500</v>
      </c>
      <c r="T121" s="417">
        <f>SUM(H121:S121)</f>
        <v>6000</v>
      </c>
    </row>
    <row r="122" spans="2:20" x14ac:dyDescent="0.2">
      <c r="B122" s="308"/>
      <c r="C122" t="s">
        <v>190</v>
      </c>
      <c r="D122" s="49"/>
      <c r="E122" s="452">
        <f>'Year 3'!E122</f>
        <v>300</v>
      </c>
      <c r="F122" s="453">
        <f>'Year 3'!F122</f>
        <v>2</v>
      </c>
      <c r="H122" s="379">
        <f t="shared" ref="H122:S139" si="52">$E122*$F122</f>
        <v>600</v>
      </c>
      <c r="I122" s="380">
        <f t="shared" si="51"/>
        <v>600</v>
      </c>
      <c r="J122" s="380">
        <f t="shared" si="51"/>
        <v>600</v>
      </c>
      <c r="K122" s="380">
        <f t="shared" si="51"/>
        <v>600</v>
      </c>
      <c r="L122" s="380">
        <f t="shared" si="51"/>
        <v>600</v>
      </c>
      <c r="M122" s="380">
        <f t="shared" si="51"/>
        <v>600</v>
      </c>
      <c r="N122" s="380">
        <f t="shared" si="51"/>
        <v>600</v>
      </c>
      <c r="O122" s="380">
        <f t="shared" si="51"/>
        <v>600</v>
      </c>
      <c r="P122" s="380">
        <f t="shared" si="51"/>
        <v>600</v>
      </c>
      <c r="Q122" s="380">
        <f t="shared" si="51"/>
        <v>600</v>
      </c>
      <c r="R122" s="380">
        <f t="shared" si="51"/>
        <v>600</v>
      </c>
      <c r="S122" s="380">
        <f t="shared" si="51"/>
        <v>600</v>
      </c>
      <c r="T122" s="417">
        <f t="shared" ref="T122:T139" si="53">SUM(H122:S122)</f>
        <v>7200</v>
      </c>
    </row>
    <row r="123" spans="2:20" x14ac:dyDescent="0.2">
      <c r="B123" s="308"/>
      <c r="C123" t="s">
        <v>191</v>
      </c>
      <c r="D123" s="49"/>
      <c r="E123" s="452">
        <f>'Year 3'!E123</f>
        <v>0</v>
      </c>
      <c r="F123" s="453">
        <f>'Year 3'!F123</f>
        <v>3</v>
      </c>
      <c r="H123" s="379">
        <f t="shared" si="52"/>
        <v>0</v>
      </c>
      <c r="I123" s="380">
        <f t="shared" si="51"/>
        <v>0</v>
      </c>
      <c r="J123" s="380">
        <f t="shared" si="51"/>
        <v>0</v>
      </c>
      <c r="K123" s="380">
        <f t="shared" si="51"/>
        <v>0</v>
      </c>
      <c r="L123" s="380">
        <f t="shared" si="51"/>
        <v>0</v>
      </c>
      <c r="M123" s="380">
        <f t="shared" si="51"/>
        <v>0</v>
      </c>
      <c r="N123" s="380">
        <f t="shared" si="51"/>
        <v>0</v>
      </c>
      <c r="O123" s="380">
        <f t="shared" si="51"/>
        <v>0</v>
      </c>
      <c r="P123" s="380">
        <f t="shared" si="51"/>
        <v>0</v>
      </c>
      <c r="Q123" s="380">
        <f t="shared" si="51"/>
        <v>0</v>
      </c>
      <c r="R123" s="380">
        <f t="shared" si="51"/>
        <v>0</v>
      </c>
      <c r="S123" s="380">
        <f t="shared" si="51"/>
        <v>0</v>
      </c>
      <c r="T123" s="417">
        <f t="shared" si="53"/>
        <v>0</v>
      </c>
    </row>
    <row r="124" spans="2:20" x14ac:dyDescent="0.2">
      <c r="B124" s="308"/>
      <c r="C124" t="s">
        <v>192</v>
      </c>
      <c r="D124" s="49"/>
      <c r="E124" s="452">
        <f>'Year 3'!E124</f>
        <v>0</v>
      </c>
      <c r="F124" s="453">
        <f>'Year 3'!F124</f>
        <v>1</v>
      </c>
      <c r="H124" s="379">
        <f t="shared" si="52"/>
        <v>0</v>
      </c>
      <c r="I124" s="380">
        <f t="shared" si="51"/>
        <v>0</v>
      </c>
      <c r="J124" s="380">
        <f t="shared" si="51"/>
        <v>0</v>
      </c>
      <c r="K124" s="380">
        <f t="shared" si="51"/>
        <v>0</v>
      </c>
      <c r="L124" s="380">
        <f t="shared" si="51"/>
        <v>0</v>
      </c>
      <c r="M124" s="380">
        <f t="shared" si="51"/>
        <v>0</v>
      </c>
      <c r="N124" s="380">
        <f t="shared" si="51"/>
        <v>0</v>
      </c>
      <c r="O124" s="380">
        <f t="shared" si="51"/>
        <v>0</v>
      </c>
      <c r="P124" s="380">
        <f t="shared" si="51"/>
        <v>0</v>
      </c>
      <c r="Q124" s="380">
        <f t="shared" si="51"/>
        <v>0</v>
      </c>
      <c r="R124" s="380">
        <f t="shared" si="51"/>
        <v>0</v>
      </c>
      <c r="S124" s="380">
        <f t="shared" si="51"/>
        <v>0</v>
      </c>
      <c r="T124" s="417">
        <f t="shared" si="53"/>
        <v>0</v>
      </c>
    </row>
    <row r="125" spans="2:20" x14ac:dyDescent="0.2">
      <c r="B125" s="308"/>
      <c r="C125" t="s">
        <v>193</v>
      </c>
      <c r="D125" s="49"/>
      <c r="E125" s="452">
        <f>'Year 3'!E125</f>
        <v>200</v>
      </c>
      <c r="F125" s="453">
        <f>'Year 3'!F125</f>
        <v>1</v>
      </c>
      <c r="H125" s="379">
        <f t="shared" si="52"/>
        <v>200</v>
      </c>
      <c r="I125" s="380">
        <f t="shared" si="51"/>
        <v>200</v>
      </c>
      <c r="J125" s="380">
        <f t="shared" si="51"/>
        <v>200</v>
      </c>
      <c r="K125" s="380">
        <f t="shared" si="51"/>
        <v>200</v>
      </c>
      <c r="L125" s="380">
        <f t="shared" si="51"/>
        <v>200</v>
      </c>
      <c r="M125" s="380">
        <f t="shared" si="51"/>
        <v>200</v>
      </c>
      <c r="N125" s="380">
        <f t="shared" si="51"/>
        <v>200</v>
      </c>
      <c r="O125" s="380">
        <f t="shared" si="51"/>
        <v>200</v>
      </c>
      <c r="P125" s="380">
        <f t="shared" si="51"/>
        <v>200</v>
      </c>
      <c r="Q125" s="380">
        <f t="shared" si="51"/>
        <v>200</v>
      </c>
      <c r="R125" s="380">
        <f t="shared" si="51"/>
        <v>200</v>
      </c>
      <c r="S125" s="380">
        <f t="shared" si="51"/>
        <v>200</v>
      </c>
      <c r="T125" s="417">
        <f t="shared" si="53"/>
        <v>2400</v>
      </c>
    </row>
    <row r="126" spans="2:20" x14ac:dyDescent="0.2">
      <c r="B126" s="308"/>
      <c r="C126" t="s">
        <v>194</v>
      </c>
      <c r="D126" s="49"/>
      <c r="E126" s="452">
        <f>'Year 3'!E126</f>
        <v>0</v>
      </c>
      <c r="F126" s="453">
        <f>'Year 3'!F126</f>
        <v>2</v>
      </c>
      <c r="H126" s="379">
        <f t="shared" si="52"/>
        <v>0</v>
      </c>
      <c r="I126" s="380">
        <f t="shared" si="51"/>
        <v>0</v>
      </c>
      <c r="J126" s="380">
        <f t="shared" si="51"/>
        <v>0</v>
      </c>
      <c r="K126" s="380">
        <f t="shared" si="51"/>
        <v>0</v>
      </c>
      <c r="L126" s="380">
        <f t="shared" si="51"/>
        <v>0</v>
      </c>
      <c r="M126" s="380">
        <f t="shared" si="51"/>
        <v>0</v>
      </c>
      <c r="N126" s="380">
        <f t="shared" si="51"/>
        <v>0</v>
      </c>
      <c r="O126" s="380">
        <f t="shared" si="51"/>
        <v>0</v>
      </c>
      <c r="P126" s="380">
        <f t="shared" si="51"/>
        <v>0</v>
      </c>
      <c r="Q126" s="380">
        <f t="shared" si="51"/>
        <v>0</v>
      </c>
      <c r="R126" s="380">
        <f t="shared" si="51"/>
        <v>0</v>
      </c>
      <c r="S126" s="380">
        <f t="shared" si="51"/>
        <v>0</v>
      </c>
      <c r="T126" s="417">
        <f t="shared" si="53"/>
        <v>0</v>
      </c>
    </row>
    <row r="127" spans="2:20" x14ac:dyDescent="0.2">
      <c r="B127" s="308"/>
      <c r="C127" t="s">
        <v>195</v>
      </c>
      <c r="D127" s="49"/>
      <c r="E127" s="452">
        <f>'Year 3'!E127</f>
        <v>0</v>
      </c>
      <c r="F127" s="453">
        <f>'Year 3'!F127</f>
        <v>1</v>
      </c>
      <c r="H127" s="379">
        <f t="shared" si="52"/>
        <v>0</v>
      </c>
      <c r="I127" s="380">
        <f t="shared" si="51"/>
        <v>0</v>
      </c>
      <c r="J127" s="380">
        <f t="shared" si="51"/>
        <v>0</v>
      </c>
      <c r="K127" s="380">
        <f t="shared" si="51"/>
        <v>0</v>
      </c>
      <c r="L127" s="380">
        <f t="shared" si="51"/>
        <v>0</v>
      </c>
      <c r="M127" s="380">
        <f t="shared" si="51"/>
        <v>0</v>
      </c>
      <c r="N127" s="380">
        <f t="shared" si="51"/>
        <v>0</v>
      </c>
      <c r="O127" s="380">
        <f t="shared" si="51"/>
        <v>0</v>
      </c>
      <c r="P127" s="380">
        <f t="shared" si="51"/>
        <v>0</v>
      </c>
      <c r="Q127" s="380">
        <f t="shared" si="51"/>
        <v>0</v>
      </c>
      <c r="R127" s="380">
        <f t="shared" si="51"/>
        <v>0</v>
      </c>
      <c r="S127" s="380">
        <f t="shared" si="51"/>
        <v>0</v>
      </c>
      <c r="T127" s="417">
        <f t="shared" si="53"/>
        <v>0</v>
      </c>
    </row>
    <row r="128" spans="2:20" x14ac:dyDescent="0.2">
      <c r="B128" s="308"/>
      <c r="C128" t="s">
        <v>196</v>
      </c>
      <c r="D128" s="49"/>
      <c r="E128" s="452">
        <f>'Year 3'!E128</f>
        <v>0</v>
      </c>
      <c r="F128" s="453">
        <f>'Year 3'!F128</f>
        <v>1</v>
      </c>
      <c r="H128" s="379">
        <f t="shared" si="52"/>
        <v>0</v>
      </c>
      <c r="I128" s="380">
        <f t="shared" si="51"/>
        <v>0</v>
      </c>
      <c r="J128" s="380">
        <f t="shared" si="51"/>
        <v>0</v>
      </c>
      <c r="K128" s="380">
        <f t="shared" si="51"/>
        <v>0</v>
      </c>
      <c r="L128" s="380">
        <f t="shared" si="51"/>
        <v>0</v>
      </c>
      <c r="M128" s="380">
        <f t="shared" si="51"/>
        <v>0</v>
      </c>
      <c r="N128" s="380">
        <f t="shared" si="51"/>
        <v>0</v>
      </c>
      <c r="O128" s="380">
        <f t="shared" si="51"/>
        <v>0</v>
      </c>
      <c r="P128" s="380">
        <f t="shared" si="51"/>
        <v>0</v>
      </c>
      <c r="Q128" s="380">
        <f t="shared" si="51"/>
        <v>0</v>
      </c>
      <c r="R128" s="380">
        <f t="shared" si="51"/>
        <v>0</v>
      </c>
      <c r="S128" s="380">
        <f t="shared" si="51"/>
        <v>0</v>
      </c>
      <c r="T128" s="417">
        <f t="shared" si="53"/>
        <v>0</v>
      </c>
    </row>
    <row r="129" spans="2:20" x14ac:dyDescent="0.2">
      <c r="B129" s="308"/>
      <c r="C129" t="s">
        <v>197</v>
      </c>
      <c r="D129" s="49"/>
      <c r="E129" s="452">
        <f>'Year 3'!E129</f>
        <v>0</v>
      </c>
      <c r="F129" s="453">
        <f>'Year 3'!F129</f>
        <v>1</v>
      </c>
      <c r="H129" s="379">
        <f t="shared" si="52"/>
        <v>0</v>
      </c>
      <c r="I129" s="380">
        <f t="shared" si="51"/>
        <v>0</v>
      </c>
      <c r="J129" s="380">
        <f t="shared" si="51"/>
        <v>0</v>
      </c>
      <c r="K129" s="380">
        <f t="shared" si="51"/>
        <v>0</v>
      </c>
      <c r="L129" s="380">
        <f t="shared" si="51"/>
        <v>0</v>
      </c>
      <c r="M129" s="380">
        <f t="shared" si="51"/>
        <v>0</v>
      </c>
      <c r="N129" s="380">
        <f t="shared" si="51"/>
        <v>0</v>
      </c>
      <c r="O129" s="380">
        <f t="shared" si="51"/>
        <v>0</v>
      </c>
      <c r="P129" s="380">
        <f t="shared" si="51"/>
        <v>0</v>
      </c>
      <c r="Q129" s="380">
        <f t="shared" si="51"/>
        <v>0</v>
      </c>
      <c r="R129" s="380">
        <f t="shared" si="51"/>
        <v>0</v>
      </c>
      <c r="S129" s="380">
        <f t="shared" si="51"/>
        <v>0</v>
      </c>
      <c r="T129" s="417">
        <f t="shared" si="53"/>
        <v>0</v>
      </c>
    </row>
    <row r="130" spans="2:20" x14ac:dyDescent="0.2">
      <c r="B130" s="308"/>
      <c r="C130" t="s">
        <v>198</v>
      </c>
      <c r="D130" s="49"/>
      <c r="E130" s="452">
        <f>'Year 3'!E130</f>
        <v>0</v>
      </c>
      <c r="F130" s="453">
        <f>'Year 3'!F130</f>
        <v>1</v>
      </c>
      <c r="H130" s="379">
        <f t="shared" si="52"/>
        <v>0</v>
      </c>
      <c r="I130" s="380">
        <f t="shared" si="51"/>
        <v>0</v>
      </c>
      <c r="J130" s="380">
        <f t="shared" si="51"/>
        <v>0</v>
      </c>
      <c r="K130" s="380">
        <f t="shared" si="51"/>
        <v>0</v>
      </c>
      <c r="L130" s="380">
        <f t="shared" si="51"/>
        <v>0</v>
      </c>
      <c r="M130" s="380">
        <f t="shared" si="51"/>
        <v>0</v>
      </c>
      <c r="N130" s="380">
        <f t="shared" si="51"/>
        <v>0</v>
      </c>
      <c r="O130" s="380">
        <f t="shared" si="51"/>
        <v>0</v>
      </c>
      <c r="P130" s="380">
        <f t="shared" si="51"/>
        <v>0</v>
      </c>
      <c r="Q130" s="380">
        <f t="shared" si="51"/>
        <v>0</v>
      </c>
      <c r="R130" s="380">
        <f t="shared" si="51"/>
        <v>0</v>
      </c>
      <c r="S130" s="380">
        <f t="shared" si="51"/>
        <v>0</v>
      </c>
      <c r="T130" s="417">
        <f t="shared" si="53"/>
        <v>0</v>
      </c>
    </row>
    <row r="131" spans="2:20" x14ac:dyDescent="0.2">
      <c r="B131" s="308"/>
      <c r="C131" t="s">
        <v>32</v>
      </c>
      <c r="D131" s="49"/>
      <c r="E131" s="452">
        <f>'Year 3'!E131</f>
        <v>200</v>
      </c>
      <c r="F131" s="453">
        <f>'Year 3'!F131</f>
        <v>1</v>
      </c>
      <c r="H131" s="379">
        <f t="shared" si="52"/>
        <v>200</v>
      </c>
      <c r="I131" s="380">
        <f t="shared" si="51"/>
        <v>200</v>
      </c>
      <c r="J131" s="380">
        <f t="shared" si="51"/>
        <v>200</v>
      </c>
      <c r="K131" s="380">
        <f t="shared" si="51"/>
        <v>200</v>
      </c>
      <c r="L131" s="380">
        <f t="shared" si="51"/>
        <v>200</v>
      </c>
      <c r="M131" s="380">
        <f t="shared" si="51"/>
        <v>200</v>
      </c>
      <c r="N131" s="380">
        <f t="shared" si="51"/>
        <v>200</v>
      </c>
      <c r="O131" s="380">
        <f t="shared" si="51"/>
        <v>200</v>
      </c>
      <c r="P131" s="380">
        <f t="shared" si="51"/>
        <v>200</v>
      </c>
      <c r="Q131" s="380">
        <f t="shared" si="51"/>
        <v>200</v>
      </c>
      <c r="R131" s="380">
        <f t="shared" si="51"/>
        <v>200</v>
      </c>
      <c r="S131" s="380">
        <f t="shared" si="51"/>
        <v>200</v>
      </c>
      <c r="T131" s="417">
        <f t="shared" si="53"/>
        <v>2400</v>
      </c>
    </row>
    <row r="132" spans="2:20" x14ac:dyDescent="0.2">
      <c r="B132" s="308"/>
      <c r="C132" t="s">
        <v>199</v>
      </c>
      <c r="D132" s="49"/>
      <c r="E132" s="452">
        <f>'Year 3'!E132</f>
        <v>3000</v>
      </c>
      <c r="F132" s="453">
        <f>'Year 3'!F132</f>
        <v>1</v>
      </c>
      <c r="H132" s="379">
        <f t="shared" si="52"/>
        <v>3000</v>
      </c>
      <c r="I132" s="380">
        <f t="shared" si="51"/>
        <v>3000</v>
      </c>
      <c r="J132" s="380">
        <f t="shared" si="51"/>
        <v>3000</v>
      </c>
      <c r="K132" s="380">
        <f t="shared" si="51"/>
        <v>3000</v>
      </c>
      <c r="L132" s="380">
        <f t="shared" si="51"/>
        <v>3000</v>
      </c>
      <c r="M132" s="380">
        <f t="shared" si="51"/>
        <v>3000</v>
      </c>
      <c r="N132" s="380">
        <f t="shared" si="51"/>
        <v>3000</v>
      </c>
      <c r="O132" s="380">
        <f t="shared" si="51"/>
        <v>3000</v>
      </c>
      <c r="P132" s="380">
        <f t="shared" si="51"/>
        <v>3000</v>
      </c>
      <c r="Q132" s="380">
        <f t="shared" si="51"/>
        <v>3000</v>
      </c>
      <c r="R132" s="380">
        <f t="shared" si="51"/>
        <v>3000</v>
      </c>
      <c r="S132" s="380">
        <f t="shared" si="51"/>
        <v>3000</v>
      </c>
      <c r="T132" s="417">
        <f t="shared" si="53"/>
        <v>36000</v>
      </c>
    </row>
    <row r="133" spans="2:20" x14ac:dyDescent="0.2">
      <c r="B133" s="308"/>
      <c r="C133" t="s">
        <v>200</v>
      </c>
      <c r="D133" s="49"/>
      <c r="E133" s="452">
        <f>'Year 3'!E133</f>
        <v>740</v>
      </c>
      <c r="F133" s="453">
        <f>'Year 3'!F133</f>
        <v>1</v>
      </c>
      <c r="H133" s="379">
        <f t="shared" si="52"/>
        <v>740</v>
      </c>
      <c r="I133" s="380">
        <f t="shared" si="51"/>
        <v>740</v>
      </c>
      <c r="J133" s="380">
        <f t="shared" si="51"/>
        <v>740</v>
      </c>
      <c r="K133" s="380">
        <f t="shared" si="51"/>
        <v>740</v>
      </c>
      <c r="L133" s="380">
        <f t="shared" si="51"/>
        <v>740</v>
      </c>
      <c r="M133" s="380">
        <f t="shared" si="51"/>
        <v>740</v>
      </c>
      <c r="N133" s="380">
        <f t="shared" si="51"/>
        <v>740</v>
      </c>
      <c r="O133" s="380">
        <f t="shared" si="51"/>
        <v>740</v>
      </c>
      <c r="P133" s="380">
        <f t="shared" si="51"/>
        <v>740</v>
      </c>
      <c r="Q133" s="380">
        <f t="shared" si="51"/>
        <v>740</v>
      </c>
      <c r="R133" s="380">
        <f t="shared" si="51"/>
        <v>740</v>
      </c>
      <c r="S133" s="380">
        <f t="shared" si="51"/>
        <v>740</v>
      </c>
      <c r="T133" s="417">
        <f t="shared" si="53"/>
        <v>8880</v>
      </c>
    </row>
    <row r="134" spans="2:20" x14ac:dyDescent="0.2">
      <c r="B134" s="308"/>
      <c r="C134" t="s">
        <v>201</v>
      </c>
      <c r="D134" s="49"/>
      <c r="E134" s="452">
        <f>'Year 3'!E134</f>
        <v>0</v>
      </c>
      <c r="F134" s="453">
        <f>'Year 3'!F134</f>
        <v>1</v>
      </c>
      <c r="H134" s="379">
        <f t="shared" si="52"/>
        <v>0</v>
      </c>
      <c r="I134" s="380">
        <f t="shared" si="51"/>
        <v>0</v>
      </c>
      <c r="J134" s="380">
        <f t="shared" si="51"/>
        <v>0</v>
      </c>
      <c r="K134" s="380">
        <f t="shared" si="51"/>
        <v>0</v>
      </c>
      <c r="L134" s="380">
        <f t="shared" si="51"/>
        <v>0</v>
      </c>
      <c r="M134" s="380">
        <f t="shared" si="51"/>
        <v>0</v>
      </c>
      <c r="N134" s="380">
        <f t="shared" si="51"/>
        <v>0</v>
      </c>
      <c r="O134" s="380">
        <f t="shared" si="51"/>
        <v>0</v>
      </c>
      <c r="P134" s="380">
        <f t="shared" si="51"/>
        <v>0</v>
      </c>
      <c r="Q134" s="380">
        <f t="shared" si="51"/>
        <v>0</v>
      </c>
      <c r="R134" s="380">
        <f t="shared" si="51"/>
        <v>0</v>
      </c>
      <c r="S134" s="380">
        <f t="shared" si="51"/>
        <v>0</v>
      </c>
      <c r="T134" s="417">
        <f t="shared" si="53"/>
        <v>0</v>
      </c>
    </row>
    <row r="135" spans="2:20" x14ac:dyDescent="0.2">
      <c r="B135" s="308"/>
      <c r="C135" t="s">
        <v>202</v>
      </c>
      <c r="D135" s="49"/>
      <c r="E135" s="452">
        <f>'Year 3'!E135</f>
        <v>0</v>
      </c>
      <c r="F135" s="453">
        <f>'Year 3'!F135</f>
        <v>1</v>
      </c>
      <c r="H135" s="379">
        <f t="shared" si="52"/>
        <v>0</v>
      </c>
      <c r="I135" s="380">
        <f t="shared" si="51"/>
        <v>0</v>
      </c>
      <c r="J135" s="380">
        <f t="shared" si="51"/>
        <v>0</v>
      </c>
      <c r="K135" s="380">
        <f t="shared" si="51"/>
        <v>0</v>
      </c>
      <c r="L135" s="380">
        <f t="shared" si="51"/>
        <v>0</v>
      </c>
      <c r="M135" s="380">
        <f t="shared" si="51"/>
        <v>0</v>
      </c>
      <c r="N135" s="380">
        <f t="shared" si="51"/>
        <v>0</v>
      </c>
      <c r="O135" s="380">
        <f t="shared" si="51"/>
        <v>0</v>
      </c>
      <c r="P135" s="380">
        <f t="shared" si="51"/>
        <v>0</v>
      </c>
      <c r="Q135" s="380">
        <f t="shared" si="51"/>
        <v>0</v>
      </c>
      <c r="R135" s="380">
        <f t="shared" si="51"/>
        <v>0</v>
      </c>
      <c r="S135" s="380">
        <f t="shared" si="51"/>
        <v>0</v>
      </c>
      <c r="T135" s="417">
        <f t="shared" si="53"/>
        <v>0</v>
      </c>
    </row>
    <row r="136" spans="2:20" x14ac:dyDescent="0.2">
      <c r="B136" s="308"/>
      <c r="C136" t="s">
        <v>203</v>
      </c>
      <c r="D136" s="49"/>
      <c r="E136" s="452">
        <f>'Year 3'!E136</f>
        <v>0</v>
      </c>
      <c r="F136" s="453">
        <f>'Year 3'!F136</f>
        <v>1</v>
      </c>
      <c r="H136" s="379">
        <f t="shared" si="52"/>
        <v>0</v>
      </c>
      <c r="I136" s="380">
        <f t="shared" si="51"/>
        <v>0</v>
      </c>
      <c r="J136" s="380">
        <f t="shared" si="51"/>
        <v>0</v>
      </c>
      <c r="K136" s="380">
        <f t="shared" si="51"/>
        <v>0</v>
      </c>
      <c r="L136" s="380">
        <f t="shared" si="51"/>
        <v>0</v>
      </c>
      <c r="M136" s="380">
        <f t="shared" si="51"/>
        <v>0</v>
      </c>
      <c r="N136" s="380">
        <f t="shared" si="51"/>
        <v>0</v>
      </c>
      <c r="O136" s="380">
        <f t="shared" si="51"/>
        <v>0</v>
      </c>
      <c r="P136" s="380">
        <f t="shared" si="51"/>
        <v>0</v>
      </c>
      <c r="Q136" s="380">
        <f t="shared" si="51"/>
        <v>0</v>
      </c>
      <c r="R136" s="380">
        <f t="shared" si="51"/>
        <v>0</v>
      </c>
      <c r="S136" s="380">
        <f t="shared" si="51"/>
        <v>0</v>
      </c>
      <c r="T136" s="417">
        <f t="shared" si="53"/>
        <v>0</v>
      </c>
    </row>
    <row r="137" spans="2:20" x14ac:dyDescent="0.2">
      <c r="B137" s="308"/>
      <c r="C137" t="s">
        <v>204</v>
      </c>
      <c r="D137" s="49"/>
      <c r="E137" s="452">
        <f>'Year 3'!E137</f>
        <v>0</v>
      </c>
      <c r="F137" s="453">
        <f>'Year 3'!F137</f>
        <v>1</v>
      </c>
      <c r="H137" s="379">
        <f t="shared" si="52"/>
        <v>0</v>
      </c>
      <c r="I137" s="380">
        <f t="shared" si="52"/>
        <v>0</v>
      </c>
      <c r="J137" s="380">
        <f t="shared" si="52"/>
        <v>0</v>
      </c>
      <c r="K137" s="380">
        <f t="shared" si="52"/>
        <v>0</v>
      </c>
      <c r="L137" s="380">
        <f t="shared" si="52"/>
        <v>0</v>
      </c>
      <c r="M137" s="380">
        <f t="shared" si="52"/>
        <v>0</v>
      </c>
      <c r="N137" s="380">
        <f t="shared" si="52"/>
        <v>0</v>
      </c>
      <c r="O137" s="380">
        <f t="shared" si="52"/>
        <v>0</v>
      </c>
      <c r="P137" s="380">
        <f t="shared" si="52"/>
        <v>0</v>
      </c>
      <c r="Q137" s="380">
        <f t="shared" si="52"/>
        <v>0</v>
      </c>
      <c r="R137" s="380">
        <f t="shared" si="52"/>
        <v>0</v>
      </c>
      <c r="S137" s="380">
        <f t="shared" si="52"/>
        <v>0</v>
      </c>
      <c r="T137" s="417">
        <f t="shared" si="53"/>
        <v>0</v>
      </c>
    </row>
    <row r="138" spans="2:20" x14ac:dyDescent="0.2">
      <c r="B138" s="308"/>
      <c r="C138" t="s">
        <v>205</v>
      </c>
      <c r="D138" s="49"/>
      <c r="E138" s="452">
        <f>'Year 3'!E138</f>
        <v>150</v>
      </c>
      <c r="F138" s="453">
        <f>'Year 3'!F138</f>
        <v>1</v>
      </c>
      <c r="H138" s="379">
        <f t="shared" si="52"/>
        <v>150</v>
      </c>
      <c r="I138" s="380">
        <f t="shared" si="52"/>
        <v>150</v>
      </c>
      <c r="J138" s="380">
        <f t="shared" si="52"/>
        <v>150</v>
      </c>
      <c r="K138" s="380">
        <f t="shared" si="52"/>
        <v>150</v>
      </c>
      <c r="L138" s="380">
        <f t="shared" si="52"/>
        <v>150</v>
      </c>
      <c r="M138" s="380">
        <f t="shared" si="52"/>
        <v>150</v>
      </c>
      <c r="N138" s="380">
        <f t="shared" si="52"/>
        <v>150</v>
      </c>
      <c r="O138" s="380">
        <f t="shared" si="52"/>
        <v>150</v>
      </c>
      <c r="P138" s="380">
        <f t="shared" si="52"/>
        <v>150</v>
      </c>
      <c r="Q138" s="380">
        <f t="shared" si="52"/>
        <v>150</v>
      </c>
      <c r="R138" s="380">
        <f t="shared" si="52"/>
        <v>150</v>
      </c>
      <c r="S138" s="380">
        <f t="shared" si="52"/>
        <v>150</v>
      </c>
      <c r="T138" s="417">
        <f t="shared" si="53"/>
        <v>1800</v>
      </c>
    </row>
    <row r="139" spans="2:20" x14ac:dyDescent="0.2">
      <c r="B139" s="308"/>
      <c r="C139" t="s">
        <v>206</v>
      </c>
      <c r="D139" s="49"/>
      <c r="E139" s="452">
        <f>'Year 3'!E139</f>
        <v>0</v>
      </c>
      <c r="F139" s="453">
        <f>'Year 3'!F139</f>
        <v>1</v>
      </c>
      <c r="H139" s="379">
        <f t="shared" si="52"/>
        <v>0</v>
      </c>
      <c r="I139" s="380">
        <f t="shared" si="52"/>
        <v>0</v>
      </c>
      <c r="J139" s="380">
        <f t="shared" si="52"/>
        <v>0</v>
      </c>
      <c r="K139" s="380">
        <f t="shared" si="52"/>
        <v>0</v>
      </c>
      <c r="L139" s="380">
        <f t="shared" si="52"/>
        <v>0</v>
      </c>
      <c r="M139" s="380">
        <f t="shared" si="52"/>
        <v>0</v>
      </c>
      <c r="N139" s="380">
        <f t="shared" si="52"/>
        <v>0</v>
      </c>
      <c r="O139" s="380">
        <f t="shared" si="52"/>
        <v>0</v>
      </c>
      <c r="P139" s="380">
        <f t="shared" si="52"/>
        <v>0</v>
      </c>
      <c r="Q139" s="380">
        <f t="shared" si="52"/>
        <v>0</v>
      </c>
      <c r="R139" s="380">
        <f t="shared" si="52"/>
        <v>0</v>
      </c>
      <c r="S139" s="380">
        <f t="shared" si="52"/>
        <v>0</v>
      </c>
      <c r="T139" s="417">
        <f t="shared" si="53"/>
        <v>0</v>
      </c>
    </row>
    <row r="140" spans="2:20" ht="17" thickBot="1" x14ac:dyDescent="0.25">
      <c r="B140" s="308"/>
      <c r="E140" s="23"/>
      <c r="F140" s="8"/>
      <c r="H140" s="382"/>
      <c r="I140" s="383"/>
      <c r="J140" s="383"/>
      <c r="K140" s="383"/>
      <c r="L140" s="383"/>
      <c r="M140" s="383"/>
      <c r="N140" s="383"/>
      <c r="O140" s="383"/>
      <c r="P140" s="383"/>
      <c r="Q140" s="383"/>
      <c r="R140" s="383"/>
      <c r="S140" s="383"/>
      <c r="T140" s="425"/>
    </row>
    <row r="141" spans="2:20" ht="17" thickTop="1" x14ac:dyDescent="0.2">
      <c r="B141" s="250" t="s">
        <v>17</v>
      </c>
      <c r="C141" s="237"/>
      <c r="D141" s="237"/>
      <c r="E141" s="237"/>
      <c r="F141" s="237"/>
      <c r="G141" s="237"/>
      <c r="H141" s="239">
        <f t="shared" ref="H141:S141" si="54">SUM(H121:H139)</f>
        <v>5390</v>
      </c>
      <c r="I141" s="240">
        <f t="shared" si="54"/>
        <v>5390</v>
      </c>
      <c r="J141" s="240">
        <f t="shared" si="54"/>
        <v>5390</v>
      </c>
      <c r="K141" s="240">
        <f t="shared" si="54"/>
        <v>5390</v>
      </c>
      <c r="L141" s="240">
        <f t="shared" si="54"/>
        <v>5390</v>
      </c>
      <c r="M141" s="240">
        <f t="shared" si="54"/>
        <v>5390</v>
      </c>
      <c r="N141" s="240">
        <f t="shared" si="54"/>
        <v>5390</v>
      </c>
      <c r="O141" s="240">
        <f t="shared" si="54"/>
        <v>5390</v>
      </c>
      <c r="P141" s="240">
        <f t="shared" si="54"/>
        <v>5390</v>
      </c>
      <c r="Q141" s="240">
        <f t="shared" si="54"/>
        <v>5390</v>
      </c>
      <c r="R141" s="240">
        <f t="shared" si="54"/>
        <v>5390</v>
      </c>
      <c r="S141" s="240">
        <f t="shared" si="54"/>
        <v>5390</v>
      </c>
      <c r="T141" s="251">
        <f>SUM(H141:S141)</f>
        <v>64680</v>
      </c>
    </row>
    <row r="142" spans="2:20" x14ac:dyDescent="0.2">
      <c r="C142" s="10"/>
      <c r="D142" s="11"/>
      <c r="E142" s="20"/>
      <c r="F142" s="8"/>
      <c r="H142" s="387"/>
      <c r="I142" s="388"/>
      <c r="J142" s="388"/>
      <c r="K142" s="388"/>
      <c r="L142" s="388"/>
      <c r="M142" s="388"/>
      <c r="N142" s="388"/>
      <c r="O142" s="388"/>
      <c r="P142" s="388"/>
      <c r="Q142" s="388"/>
      <c r="R142" s="388"/>
      <c r="S142" s="388"/>
      <c r="T142" s="381"/>
    </row>
    <row r="143" spans="2:20" ht="20" x14ac:dyDescent="0.2">
      <c r="B143" s="116" t="s">
        <v>307</v>
      </c>
      <c r="C143" s="327"/>
      <c r="D143" s="327"/>
      <c r="E143" s="327" t="str">
        <f>$E$3</f>
        <v>Year 4 (2023)</v>
      </c>
      <c r="F143" s="327"/>
      <c r="G143" s="327"/>
      <c r="H143" s="360" t="s">
        <v>127</v>
      </c>
      <c r="I143" s="361" t="s">
        <v>128</v>
      </c>
      <c r="J143" s="361" t="s">
        <v>129</v>
      </c>
      <c r="K143" s="361" t="s">
        <v>130</v>
      </c>
      <c r="L143" s="361" t="s">
        <v>131</v>
      </c>
      <c r="M143" s="361" t="s">
        <v>132</v>
      </c>
      <c r="N143" s="361" t="s">
        <v>133</v>
      </c>
      <c r="O143" s="361" t="s">
        <v>134</v>
      </c>
      <c r="P143" s="361" t="s">
        <v>135</v>
      </c>
      <c r="Q143" s="361" t="s">
        <v>136</v>
      </c>
      <c r="R143" s="361" t="s">
        <v>137</v>
      </c>
      <c r="S143" s="361" t="s">
        <v>138</v>
      </c>
      <c r="T143" s="362" t="s">
        <v>179</v>
      </c>
    </row>
    <row r="144" spans="2:20" x14ac:dyDescent="0.2">
      <c r="B144" s="401"/>
      <c r="C144" s="402"/>
      <c r="D144" s="402"/>
      <c r="E144" s="402"/>
      <c r="F144" s="402"/>
      <c r="G144" s="403" t="s">
        <v>57</v>
      </c>
      <c r="H144" s="363">
        <f>H$4</f>
        <v>37</v>
      </c>
      <c r="I144" s="364">
        <f t="shared" ref="I144:S144" si="55">I$4</f>
        <v>38</v>
      </c>
      <c r="J144" s="364">
        <f t="shared" si="55"/>
        <v>39</v>
      </c>
      <c r="K144" s="364">
        <f t="shared" si="55"/>
        <v>40</v>
      </c>
      <c r="L144" s="364">
        <f t="shared" si="55"/>
        <v>41</v>
      </c>
      <c r="M144" s="364">
        <f t="shared" si="55"/>
        <v>42</v>
      </c>
      <c r="N144" s="364">
        <f t="shared" si="55"/>
        <v>43</v>
      </c>
      <c r="O144" s="364">
        <f t="shared" si="55"/>
        <v>44</v>
      </c>
      <c r="P144" s="364">
        <f t="shared" si="55"/>
        <v>45</v>
      </c>
      <c r="Q144" s="364">
        <f t="shared" si="55"/>
        <v>46</v>
      </c>
      <c r="R144" s="364">
        <f t="shared" si="55"/>
        <v>47</v>
      </c>
      <c r="S144" s="364">
        <f t="shared" si="55"/>
        <v>48</v>
      </c>
      <c r="T144" s="405" t="str">
        <f>"Total for " &amp; $E$3</f>
        <v>Total for Year 4 (2023)</v>
      </c>
    </row>
    <row r="145" spans="2:20" x14ac:dyDescent="0.2">
      <c r="B145" s="307"/>
      <c r="C145" s="5"/>
      <c r="E145" s="7"/>
      <c r="F145" s="7"/>
      <c r="G145" s="5"/>
      <c r="H145" s="389"/>
      <c r="I145" s="390"/>
      <c r="J145" s="390"/>
      <c r="K145" s="390"/>
      <c r="L145" s="390"/>
      <c r="M145" s="390"/>
      <c r="N145" s="390"/>
      <c r="O145" s="390"/>
      <c r="P145" s="390"/>
      <c r="Q145" s="390"/>
      <c r="R145" s="390"/>
      <c r="S145" s="390"/>
      <c r="T145" s="427"/>
    </row>
    <row r="146" spans="2:20" x14ac:dyDescent="0.2">
      <c r="B146" s="307" t="s">
        <v>18</v>
      </c>
      <c r="D146" s="7"/>
      <c r="E146" s="7"/>
      <c r="F146" s="7"/>
      <c r="G146" s="5"/>
      <c r="H146" s="379"/>
      <c r="I146" s="380"/>
      <c r="J146" s="380"/>
      <c r="K146" s="380"/>
      <c r="L146" s="380"/>
      <c r="M146" s="380"/>
      <c r="N146" s="380"/>
      <c r="O146" s="380"/>
      <c r="P146" s="380"/>
      <c r="Q146" s="380"/>
      <c r="R146" s="380"/>
      <c r="S146" s="380"/>
      <c r="T146" s="417"/>
    </row>
    <row r="147" spans="2:20" x14ac:dyDescent="0.2">
      <c r="B147" s="428"/>
      <c r="C147" t="s">
        <v>308</v>
      </c>
      <c r="D147" s="7"/>
      <c r="E147" s="7"/>
      <c r="F147" s="7"/>
      <c r="G147" s="5"/>
      <c r="H147" s="379">
        <f t="shared" ref="H147:S147" si="56">H41</f>
        <v>53044</v>
      </c>
      <c r="I147" s="380">
        <f t="shared" si="56"/>
        <v>55094</v>
      </c>
      <c r="J147" s="380">
        <f t="shared" si="56"/>
        <v>57164</v>
      </c>
      <c r="K147" s="380">
        <f t="shared" si="56"/>
        <v>59214</v>
      </c>
      <c r="L147" s="380">
        <f t="shared" si="56"/>
        <v>61284</v>
      </c>
      <c r="M147" s="380">
        <f t="shared" si="56"/>
        <v>63334</v>
      </c>
      <c r="N147" s="380">
        <f t="shared" si="56"/>
        <v>65414</v>
      </c>
      <c r="O147" s="380">
        <f t="shared" si="56"/>
        <v>67454</v>
      </c>
      <c r="P147" s="380">
        <f t="shared" si="56"/>
        <v>69534</v>
      </c>
      <c r="Q147" s="380">
        <f t="shared" si="56"/>
        <v>71574</v>
      </c>
      <c r="R147" s="380">
        <f t="shared" si="56"/>
        <v>73654</v>
      </c>
      <c r="S147" s="380">
        <f t="shared" si="56"/>
        <v>75779</v>
      </c>
      <c r="T147" s="417">
        <f>SUM(H147:S147)</f>
        <v>772543</v>
      </c>
    </row>
    <row r="148" spans="2:20" x14ac:dyDescent="0.2">
      <c r="B148" s="428"/>
      <c r="C148" t="s">
        <v>366</v>
      </c>
      <c r="D148" s="7"/>
      <c r="E148" s="7"/>
      <c r="F148" s="7"/>
      <c r="G148" s="5"/>
      <c r="H148" s="379">
        <f>H50</f>
        <v>2089.14</v>
      </c>
      <c r="I148" s="380">
        <f t="shared" ref="I148:S148" si="57">I50</f>
        <v>2171.64</v>
      </c>
      <c r="J148" s="380">
        <f t="shared" si="57"/>
        <v>2257.7399999999998</v>
      </c>
      <c r="K148" s="380">
        <f t="shared" si="57"/>
        <v>2340.2399999999998</v>
      </c>
      <c r="L148" s="380">
        <f t="shared" si="57"/>
        <v>2426.3399999999997</v>
      </c>
      <c r="M148" s="380">
        <f t="shared" si="57"/>
        <v>2508.8399999999997</v>
      </c>
      <c r="N148" s="380">
        <f t="shared" si="57"/>
        <v>2595.2399999999998</v>
      </c>
      <c r="O148" s="380">
        <f t="shared" si="57"/>
        <v>2677.44</v>
      </c>
      <c r="P148" s="380">
        <f t="shared" si="57"/>
        <v>2763.8399999999997</v>
      </c>
      <c r="Q148" s="380">
        <f t="shared" si="57"/>
        <v>2846.04</v>
      </c>
      <c r="R148" s="380">
        <f t="shared" si="57"/>
        <v>2932.44</v>
      </c>
      <c r="S148" s="380">
        <f t="shared" si="57"/>
        <v>3018.69</v>
      </c>
      <c r="T148" s="417">
        <f>SUM(H148:S148)</f>
        <v>30627.629999999997</v>
      </c>
    </row>
    <row r="149" spans="2:20" x14ac:dyDescent="0.2">
      <c r="B149" s="428"/>
      <c r="C149" t="s">
        <v>28</v>
      </c>
      <c r="D149" s="7"/>
      <c r="E149" s="7"/>
      <c r="F149" s="7"/>
      <c r="G149" s="5"/>
      <c r="H149" s="379">
        <f>H81</f>
        <v>13274.956</v>
      </c>
      <c r="I149" s="380">
        <f t="shared" ref="I149:S149" si="58">I81</f>
        <v>13821.456</v>
      </c>
      <c r="J149" s="380">
        <f t="shared" si="58"/>
        <v>14409.935999999998</v>
      </c>
      <c r="K149" s="380">
        <f t="shared" si="58"/>
        <v>14956.436</v>
      </c>
      <c r="L149" s="380">
        <f t="shared" si="58"/>
        <v>15544.915999999997</v>
      </c>
      <c r="M149" s="380">
        <f t="shared" si="58"/>
        <v>16091.415999999999</v>
      </c>
      <c r="N149" s="380">
        <f t="shared" si="58"/>
        <v>16680.935999999998</v>
      </c>
      <c r="O149" s="380">
        <f t="shared" si="58"/>
        <v>17226.396000000001</v>
      </c>
      <c r="P149" s="380">
        <f t="shared" si="58"/>
        <v>17815.915999999997</v>
      </c>
      <c r="Q149" s="380">
        <f t="shared" si="58"/>
        <v>18341.376</v>
      </c>
      <c r="R149" s="380">
        <f t="shared" si="58"/>
        <v>18930.896000000001</v>
      </c>
      <c r="S149" s="380">
        <f t="shared" si="58"/>
        <v>19506.946</v>
      </c>
      <c r="T149" s="417">
        <f t="shared" ref="T149:T151" si="59">SUM(H149:S149)</f>
        <v>196601.58199999999</v>
      </c>
    </row>
    <row r="150" spans="2:20" x14ac:dyDescent="0.2">
      <c r="B150" s="428"/>
      <c r="C150" t="s">
        <v>309</v>
      </c>
      <c r="D150" s="7"/>
      <c r="E150" s="7"/>
      <c r="F150" s="7"/>
      <c r="G150" s="5"/>
      <c r="H150" s="379">
        <f>H115</f>
        <v>35203.221459200002</v>
      </c>
      <c r="I150" s="380">
        <f t="shared" ref="I150:S150" si="60">I115</f>
        <v>35203.221459200002</v>
      </c>
      <c r="J150" s="380">
        <f t="shared" si="60"/>
        <v>35203.221459200002</v>
      </c>
      <c r="K150" s="380">
        <f t="shared" si="60"/>
        <v>35203.221459200002</v>
      </c>
      <c r="L150" s="380">
        <f t="shared" si="60"/>
        <v>35203.221459200002</v>
      </c>
      <c r="M150" s="380">
        <f t="shared" si="60"/>
        <v>35203.221459200002</v>
      </c>
      <c r="N150" s="380">
        <f t="shared" si="60"/>
        <v>35203.221459200002</v>
      </c>
      <c r="O150" s="380">
        <f t="shared" si="60"/>
        <v>35203.221459200002</v>
      </c>
      <c r="P150" s="380">
        <f t="shared" si="60"/>
        <v>35203.221459200002</v>
      </c>
      <c r="Q150" s="380">
        <f t="shared" si="60"/>
        <v>35203.221459200002</v>
      </c>
      <c r="R150" s="380">
        <f t="shared" si="60"/>
        <v>35203.221459200002</v>
      </c>
      <c r="S150" s="380">
        <f t="shared" si="60"/>
        <v>35203.221459200002</v>
      </c>
      <c r="T150" s="417">
        <f t="shared" si="59"/>
        <v>422438.65751040011</v>
      </c>
    </row>
    <row r="151" spans="2:20" ht="17" thickBot="1" x14ac:dyDescent="0.25">
      <c r="B151" s="428"/>
      <c r="C151" t="s">
        <v>310</v>
      </c>
      <c r="D151" s="7"/>
      <c r="E151" s="7"/>
      <c r="F151" s="7"/>
      <c r="G151" s="5"/>
      <c r="H151" s="379">
        <f>H141</f>
        <v>5390</v>
      </c>
      <c r="I151" s="380">
        <f t="shared" ref="I151:S151" si="61">I141</f>
        <v>5390</v>
      </c>
      <c r="J151" s="380">
        <f t="shared" si="61"/>
        <v>5390</v>
      </c>
      <c r="K151" s="380">
        <f t="shared" si="61"/>
        <v>5390</v>
      </c>
      <c r="L151" s="380">
        <f t="shared" si="61"/>
        <v>5390</v>
      </c>
      <c r="M151" s="380">
        <f t="shared" si="61"/>
        <v>5390</v>
      </c>
      <c r="N151" s="380">
        <f t="shared" si="61"/>
        <v>5390</v>
      </c>
      <c r="O151" s="380">
        <f t="shared" si="61"/>
        <v>5390</v>
      </c>
      <c r="P151" s="380">
        <f t="shared" si="61"/>
        <v>5390</v>
      </c>
      <c r="Q151" s="380">
        <f t="shared" si="61"/>
        <v>5390</v>
      </c>
      <c r="R151" s="380">
        <f t="shared" si="61"/>
        <v>5390</v>
      </c>
      <c r="S151" s="380">
        <f t="shared" si="61"/>
        <v>5390</v>
      </c>
      <c r="T151" s="417">
        <f t="shared" si="59"/>
        <v>64680</v>
      </c>
    </row>
    <row r="152" spans="2:20" ht="17" thickTop="1" x14ac:dyDescent="0.2">
      <c r="B152" s="418" t="s">
        <v>18</v>
      </c>
      <c r="C152" s="419"/>
      <c r="D152" s="419"/>
      <c r="E152" s="419"/>
      <c r="F152" s="419"/>
      <c r="G152" s="420"/>
      <c r="H152" s="421">
        <f>H147-SUM(H148:H151)</f>
        <v>-2913.3174591999996</v>
      </c>
      <c r="I152" s="422">
        <f t="shared" ref="I152:S152" si="62">I147-SUM(I148:I151)</f>
        <v>-1492.3174591999996</v>
      </c>
      <c r="J152" s="422">
        <f t="shared" si="62"/>
        <v>-96.897459200001322</v>
      </c>
      <c r="K152" s="422">
        <f t="shared" si="62"/>
        <v>1324.1025407999987</v>
      </c>
      <c r="L152" s="422">
        <f t="shared" si="62"/>
        <v>2719.5225407999969</v>
      </c>
      <c r="M152" s="422">
        <f t="shared" si="62"/>
        <v>4140.5225407999969</v>
      </c>
      <c r="N152" s="422">
        <f t="shared" si="62"/>
        <v>5544.6025407999987</v>
      </c>
      <c r="O152" s="422">
        <f t="shared" si="62"/>
        <v>6956.9425407999952</v>
      </c>
      <c r="P152" s="422">
        <f t="shared" si="62"/>
        <v>8361.0225407999969</v>
      </c>
      <c r="Q152" s="422">
        <f t="shared" si="62"/>
        <v>9793.3625407999934</v>
      </c>
      <c r="R152" s="422">
        <f t="shared" si="62"/>
        <v>11197.442540799995</v>
      </c>
      <c r="S152" s="422">
        <f t="shared" si="62"/>
        <v>12660.1425408</v>
      </c>
      <c r="T152" s="423">
        <f>SUM(H152:S152)</f>
        <v>58195.130489599971</v>
      </c>
    </row>
    <row r="153" spans="2:20" x14ac:dyDescent="0.2">
      <c r="B153" s="428"/>
      <c r="C153" s="5"/>
      <c r="D153" s="5"/>
      <c r="E153" s="6"/>
      <c r="F153" s="7"/>
      <c r="G153" s="5"/>
      <c r="H153" s="389"/>
      <c r="I153" s="390"/>
      <c r="J153" s="390"/>
      <c r="K153" s="390"/>
      <c r="L153" s="390"/>
      <c r="M153" s="390"/>
      <c r="N153" s="390"/>
      <c r="O153" s="390"/>
      <c r="P153" s="390"/>
      <c r="Q153" s="390"/>
      <c r="R153" s="390"/>
      <c r="S153" s="390"/>
      <c r="T153" s="429"/>
    </row>
    <row r="154" spans="2:20" x14ac:dyDescent="0.2">
      <c r="B154" s="307" t="s">
        <v>22</v>
      </c>
      <c r="E154" s="23" t="s">
        <v>284</v>
      </c>
      <c r="F154" s="8"/>
      <c r="H154" s="382"/>
      <c r="I154" s="383"/>
      <c r="J154" s="383"/>
      <c r="K154" s="383"/>
      <c r="L154" s="383"/>
      <c r="M154" s="383"/>
      <c r="N154" s="383"/>
      <c r="O154" s="383"/>
      <c r="P154" s="383"/>
      <c r="Q154" s="383"/>
      <c r="R154" s="383"/>
      <c r="S154" s="383"/>
      <c r="T154" s="425"/>
    </row>
    <row r="155" spans="2:20" x14ac:dyDescent="0.2">
      <c r="B155" s="308"/>
      <c r="C155" s="39" t="s">
        <v>40</v>
      </c>
      <c r="E155" s="454">
        <f>'Year 3'!E155</f>
        <v>0.01</v>
      </c>
      <c r="F155" s="8"/>
      <c r="H155" s="379">
        <f>H200*$E$155/12</f>
        <v>3.3333333333333335</v>
      </c>
      <c r="I155" s="380">
        <f t="shared" ref="I155:S155" si="63">I200*$E$155/12+H155</f>
        <v>4.166666666666667</v>
      </c>
      <c r="J155" s="380">
        <f t="shared" si="63"/>
        <v>4.166666666666667</v>
      </c>
      <c r="K155" s="380">
        <f t="shared" si="63"/>
        <v>4.166666666666667</v>
      </c>
      <c r="L155" s="380">
        <f t="shared" si="63"/>
        <v>4.166666666666667</v>
      </c>
      <c r="M155" s="380">
        <f t="shared" si="63"/>
        <v>4.166666666666667</v>
      </c>
      <c r="N155" s="380">
        <f t="shared" si="63"/>
        <v>8.5</v>
      </c>
      <c r="O155" s="380">
        <f t="shared" si="63"/>
        <v>8.5</v>
      </c>
      <c r="P155" s="380">
        <f t="shared" si="63"/>
        <v>8.5</v>
      </c>
      <c r="Q155" s="380">
        <f t="shared" si="63"/>
        <v>8.5</v>
      </c>
      <c r="R155" s="380">
        <f t="shared" si="63"/>
        <v>8.5</v>
      </c>
      <c r="S155" s="380">
        <f t="shared" si="63"/>
        <v>9.3333333333333339</v>
      </c>
      <c r="T155" s="417">
        <f>SUM(H155:S155)</f>
        <v>76</v>
      </c>
    </row>
    <row r="156" spans="2:20" ht="17" thickBot="1" x14ac:dyDescent="0.25">
      <c r="B156" s="308"/>
      <c r="E156" s="23"/>
      <c r="F156" s="8"/>
      <c r="H156" s="382"/>
      <c r="I156" s="383"/>
      <c r="J156" s="383"/>
      <c r="K156" s="383"/>
      <c r="L156" s="383"/>
      <c r="M156" s="383"/>
      <c r="N156" s="383"/>
      <c r="O156" s="383"/>
      <c r="P156" s="383"/>
      <c r="Q156" s="383"/>
      <c r="R156" s="383"/>
      <c r="S156" s="383"/>
      <c r="T156" s="425"/>
    </row>
    <row r="157" spans="2:20" ht="17" thickTop="1" x14ac:dyDescent="0.2">
      <c r="B157" s="418" t="s">
        <v>110</v>
      </c>
      <c r="C157" s="419"/>
      <c r="D157" s="419"/>
      <c r="E157" s="419"/>
      <c r="F157" s="419"/>
      <c r="G157" s="420"/>
      <c r="H157" s="421">
        <f>H152-SUM(H155:H155)</f>
        <v>-2916.6507925333331</v>
      </c>
      <c r="I157" s="422">
        <f t="shared" ref="I157:S157" si="64">I152-SUM(I155:I155)</f>
        <v>-1496.4841258666663</v>
      </c>
      <c r="J157" s="422">
        <f t="shared" si="64"/>
        <v>-101.06412586666799</v>
      </c>
      <c r="K157" s="422">
        <f t="shared" si="64"/>
        <v>1319.9358741333319</v>
      </c>
      <c r="L157" s="422">
        <f t="shared" si="64"/>
        <v>2715.3558741333304</v>
      </c>
      <c r="M157" s="422">
        <f t="shared" si="64"/>
        <v>4136.35587413333</v>
      </c>
      <c r="N157" s="422">
        <f t="shared" si="64"/>
        <v>5536.1025407999987</v>
      </c>
      <c r="O157" s="422">
        <f t="shared" si="64"/>
        <v>6948.4425407999952</v>
      </c>
      <c r="P157" s="422">
        <f t="shared" si="64"/>
        <v>8352.5225407999969</v>
      </c>
      <c r="Q157" s="422">
        <f t="shared" si="64"/>
        <v>9784.8625407999934</v>
      </c>
      <c r="R157" s="422">
        <f t="shared" si="64"/>
        <v>11188.942540799995</v>
      </c>
      <c r="S157" s="422">
        <f t="shared" si="64"/>
        <v>12650.809207466666</v>
      </c>
      <c r="T157" s="423">
        <f>SUM(H157:S157)</f>
        <v>58119.130489599964</v>
      </c>
    </row>
    <row r="158" spans="2:20" x14ac:dyDescent="0.2">
      <c r="B158" s="428"/>
      <c r="C158" s="5"/>
      <c r="D158" s="5"/>
      <c r="E158" s="7"/>
      <c r="F158" s="7"/>
      <c r="G158" s="5"/>
      <c r="H158" s="393"/>
      <c r="I158" s="394"/>
      <c r="J158" s="394"/>
      <c r="K158" s="394"/>
      <c r="L158" s="394"/>
      <c r="M158" s="394"/>
      <c r="N158" s="394"/>
      <c r="O158" s="394"/>
      <c r="P158" s="394"/>
      <c r="Q158" s="394"/>
      <c r="R158" s="394"/>
      <c r="S158" s="394"/>
      <c r="T158" s="430"/>
    </row>
    <row r="159" spans="2:20" x14ac:dyDescent="0.2">
      <c r="B159" s="307" t="s">
        <v>119</v>
      </c>
      <c r="C159" s="5"/>
      <c r="E159" s="7"/>
      <c r="F159" s="7"/>
      <c r="G159" s="5"/>
      <c r="H159" s="389"/>
      <c r="I159" s="390"/>
      <c r="J159" s="390"/>
      <c r="K159" s="390"/>
      <c r="L159" s="390"/>
      <c r="M159" s="390"/>
      <c r="N159" s="390"/>
      <c r="O159" s="390"/>
      <c r="P159" s="390"/>
      <c r="Q159" s="390"/>
      <c r="R159" s="390"/>
      <c r="S159" s="390"/>
      <c r="T159" s="427"/>
    </row>
    <row r="160" spans="2:20" x14ac:dyDescent="0.2">
      <c r="B160" s="308"/>
      <c r="C160" s="457" t="s">
        <v>157</v>
      </c>
      <c r="D160" s="457"/>
      <c r="E160" s="457"/>
      <c r="F160" s="457"/>
      <c r="G160" s="457"/>
      <c r="H160" s="458">
        <v>0</v>
      </c>
      <c r="I160" s="459">
        <v>0</v>
      </c>
      <c r="J160" s="459">
        <v>0</v>
      </c>
      <c r="K160" s="459">
        <v>0</v>
      </c>
      <c r="L160" s="459">
        <v>0</v>
      </c>
      <c r="M160" s="459">
        <v>0</v>
      </c>
      <c r="N160" s="459">
        <v>0</v>
      </c>
      <c r="O160" s="459">
        <v>0</v>
      </c>
      <c r="P160" s="459">
        <v>0</v>
      </c>
      <c r="Q160" s="459">
        <v>0</v>
      </c>
      <c r="R160" s="459">
        <v>0</v>
      </c>
      <c r="S160" s="459">
        <v>0</v>
      </c>
      <c r="T160" s="417">
        <f>SUM(H160:S160)</f>
        <v>0</v>
      </c>
    </row>
    <row r="161" spans="2:20" x14ac:dyDescent="0.2">
      <c r="B161" s="428"/>
      <c r="C161" t="s">
        <v>163</v>
      </c>
      <c r="D161" s="7"/>
      <c r="E161" s="7"/>
      <c r="F161" s="7"/>
      <c r="G161" s="5"/>
      <c r="H161" s="379">
        <f>IFERROR(IF(AND(H$118&gt;'Financing Schedule'!$G13,H$118&lt;='Financing Schedule'!$G13+'Financing Schedule'!$L13),('Financing Schedule'!$K13/12)*('Financing Schedule'!$J13-('Financing Schedule'!$I13*(H$118-'Financing Schedule'!$G13-1))),0),0)</f>
        <v>0</v>
      </c>
      <c r="I161" s="380">
        <f>IFERROR(IF(AND(I$118&gt;'Financing Schedule'!$G13,I$118&lt;='Financing Schedule'!$G13+'Financing Schedule'!$L13),('Financing Schedule'!$K13/12)*('Financing Schedule'!$J13-('Financing Schedule'!$I13*(I$118-'Financing Schedule'!$G13-1))),0),0)</f>
        <v>0</v>
      </c>
      <c r="J161" s="380">
        <f>IFERROR(IF(AND(J$118&gt;'Financing Schedule'!$G13,J$118&lt;='Financing Schedule'!$G13+'Financing Schedule'!$L13),('Financing Schedule'!$K13/12)*('Financing Schedule'!$J13-('Financing Schedule'!$I13*(J$118-'Financing Schedule'!$G13-1))),0),0)</f>
        <v>0</v>
      </c>
      <c r="K161" s="380">
        <f>IFERROR(IF(AND(K$118&gt;'Financing Schedule'!$G13,K$118&lt;='Financing Schedule'!$G13+'Financing Schedule'!$L13),('Financing Schedule'!$K13/12)*('Financing Schedule'!$J13-('Financing Schedule'!$I13*(K$118-'Financing Schedule'!$G13-1))),0),0)</f>
        <v>0</v>
      </c>
      <c r="L161" s="380">
        <f>IFERROR(IF(AND(L$118&gt;'Financing Schedule'!$G13,L$118&lt;='Financing Schedule'!$G13+'Financing Schedule'!$L13),('Financing Schedule'!$K13/12)*('Financing Schedule'!$J13-('Financing Schedule'!$I13*(L$118-'Financing Schedule'!$G13-1))),0),0)</f>
        <v>0</v>
      </c>
      <c r="M161" s="380">
        <f>IFERROR(IF(AND(M$118&gt;'Financing Schedule'!$G13,M$118&lt;='Financing Schedule'!$G13+'Financing Schedule'!$L13),('Financing Schedule'!$K13/12)*('Financing Schedule'!$J13-('Financing Schedule'!$I13*(M$118-'Financing Schedule'!$G13-1))),0),0)</f>
        <v>0</v>
      </c>
      <c r="N161" s="380">
        <f>IFERROR(IF(AND(N$118&gt;'Financing Schedule'!$G13,N$118&lt;='Financing Schedule'!$G13+'Financing Schedule'!$L13),('Financing Schedule'!$K13/12)*('Financing Schedule'!$J13-('Financing Schedule'!$I13*(N$118-'Financing Schedule'!$G13-1))),0),0)</f>
        <v>0</v>
      </c>
      <c r="O161" s="380">
        <f>IFERROR(IF(AND(O$118&gt;'Financing Schedule'!$G13,O$118&lt;='Financing Schedule'!$G13+'Financing Schedule'!$L13),('Financing Schedule'!$K13/12)*('Financing Schedule'!$J13-('Financing Schedule'!$I13*(O$118-'Financing Schedule'!$G13-1))),0),0)</f>
        <v>0</v>
      </c>
      <c r="P161" s="380">
        <f>IFERROR(IF(AND(P$118&gt;'Financing Schedule'!$G13,P$118&lt;='Financing Schedule'!$G13+'Financing Schedule'!$L13),('Financing Schedule'!$K13/12)*('Financing Schedule'!$J13-('Financing Schedule'!$I13*(P$118-'Financing Schedule'!$G13-1))),0),0)</f>
        <v>0</v>
      </c>
      <c r="Q161" s="380">
        <f>IFERROR(IF(AND(Q$118&gt;'Financing Schedule'!$G13,Q$118&lt;='Financing Schedule'!$G13+'Financing Schedule'!$L13),('Financing Schedule'!$K13/12)*('Financing Schedule'!$J13-('Financing Schedule'!$I13*(Q$118-'Financing Schedule'!$G13-1))),0),0)</f>
        <v>0</v>
      </c>
      <c r="R161" s="380">
        <f>IFERROR(IF(AND(R$118&gt;'Financing Schedule'!$G13,R$118&lt;='Financing Schedule'!$G13+'Financing Schedule'!$L13),('Financing Schedule'!$K13/12)*('Financing Schedule'!$J13-('Financing Schedule'!$I13*(R$118-'Financing Schedule'!$G13-1))),0),0)</f>
        <v>0</v>
      </c>
      <c r="S161" s="380">
        <f>IFERROR(IF(AND(S$118&gt;'Financing Schedule'!$G13,S$118&lt;='Financing Schedule'!$G13+'Financing Schedule'!$L13),('Financing Schedule'!$K13/12)*('Financing Schedule'!$J13-('Financing Schedule'!$I13*(S$118-'Financing Schedule'!$G13-1))),0),0)</f>
        <v>0</v>
      </c>
      <c r="T161" s="417">
        <f>SUM(H161:S161)</f>
        <v>0</v>
      </c>
    </row>
    <row r="162" spans="2:20" x14ac:dyDescent="0.2">
      <c r="B162" s="428"/>
      <c r="C162" t="s">
        <v>164</v>
      </c>
      <c r="D162" s="7"/>
      <c r="E162" s="7"/>
      <c r="F162" s="7"/>
      <c r="G162" s="5"/>
      <c r="H162" s="379">
        <f>IFERROR(IF(AND(H$118&gt;'Financing Schedule'!$G14,H$118&lt;='Financing Schedule'!$G14+'Financing Schedule'!$L14),('Financing Schedule'!$K14/12)*('Financing Schedule'!$J14-('Financing Schedule'!$I14*(H$118-'Financing Schedule'!$G14-1))),0),0)</f>
        <v>0</v>
      </c>
      <c r="I162" s="380">
        <f>IFERROR(IF(AND(I$118&gt;'Financing Schedule'!$G14,I$118&lt;='Financing Schedule'!$G14+'Financing Schedule'!$L14),('Financing Schedule'!$K14/12)*('Financing Schedule'!$J14-('Financing Schedule'!$I14*(I$118-'Financing Schedule'!$G14-1))),0),0)</f>
        <v>0</v>
      </c>
      <c r="J162" s="380">
        <f>IFERROR(IF(AND(J$118&gt;'Financing Schedule'!$G14,J$118&lt;='Financing Schedule'!$G14+'Financing Schedule'!$L14),('Financing Schedule'!$K14/12)*('Financing Schedule'!$J14-('Financing Schedule'!$I14*(J$118-'Financing Schedule'!$G14-1))),0),0)</f>
        <v>0</v>
      </c>
      <c r="K162" s="380">
        <f>IFERROR(IF(AND(K$118&gt;'Financing Schedule'!$G14,K$118&lt;='Financing Schedule'!$G14+'Financing Schedule'!$L14),('Financing Schedule'!$K14/12)*('Financing Schedule'!$J14-('Financing Schedule'!$I14*(K$118-'Financing Schedule'!$G14-1))),0),0)</f>
        <v>0</v>
      </c>
      <c r="L162" s="380">
        <f>IFERROR(IF(AND(L$118&gt;'Financing Schedule'!$G14,L$118&lt;='Financing Schedule'!$G14+'Financing Schedule'!$L14),('Financing Schedule'!$K14/12)*('Financing Schedule'!$J14-('Financing Schedule'!$I14*(L$118-'Financing Schedule'!$G14-1))),0),0)</f>
        <v>0</v>
      </c>
      <c r="M162" s="380">
        <f>IFERROR(IF(AND(M$118&gt;'Financing Schedule'!$G14,M$118&lt;='Financing Schedule'!$G14+'Financing Schedule'!$L14),('Financing Schedule'!$K14/12)*('Financing Schedule'!$J14-('Financing Schedule'!$I14*(M$118-'Financing Schedule'!$G14-1))),0),0)</f>
        <v>0</v>
      </c>
      <c r="N162" s="380">
        <f>IFERROR(IF(AND(N$118&gt;'Financing Schedule'!$G14,N$118&lt;='Financing Schedule'!$G14+'Financing Schedule'!$L14),('Financing Schedule'!$K14/12)*('Financing Schedule'!$J14-('Financing Schedule'!$I14*(N$118-'Financing Schedule'!$G14-1))),0),0)</f>
        <v>0</v>
      </c>
      <c r="O162" s="380">
        <f>IFERROR(IF(AND(O$118&gt;'Financing Schedule'!$G14,O$118&lt;='Financing Schedule'!$G14+'Financing Schedule'!$L14),('Financing Schedule'!$K14/12)*('Financing Schedule'!$J14-('Financing Schedule'!$I14*(O$118-'Financing Schedule'!$G14-1))),0),0)</f>
        <v>0</v>
      </c>
      <c r="P162" s="380">
        <f>IFERROR(IF(AND(P$118&gt;'Financing Schedule'!$G14,P$118&lt;='Financing Schedule'!$G14+'Financing Schedule'!$L14),('Financing Schedule'!$K14/12)*('Financing Schedule'!$J14-('Financing Schedule'!$I14*(P$118-'Financing Schedule'!$G14-1))),0),0)</f>
        <v>0</v>
      </c>
      <c r="Q162" s="380">
        <f>IFERROR(IF(AND(Q$118&gt;'Financing Schedule'!$G14,Q$118&lt;='Financing Schedule'!$G14+'Financing Schedule'!$L14),('Financing Schedule'!$K14/12)*('Financing Schedule'!$J14-('Financing Schedule'!$I14*(Q$118-'Financing Schedule'!$G14-1))),0),0)</f>
        <v>0</v>
      </c>
      <c r="R162" s="380">
        <f>IFERROR(IF(AND(R$118&gt;'Financing Schedule'!$G14,R$118&lt;='Financing Schedule'!$G14+'Financing Schedule'!$L14),('Financing Schedule'!$K14/12)*('Financing Schedule'!$J14-('Financing Schedule'!$I14*(R$118-'Financing Schedule'!$G14-1))),0),0)</f>
        <v>0</v>
      </c>
      <c r="S162" s="380">
        <f>IFERROR(IF(AND(S$118&gt;'Financing Schedule'!$G14,S$118&lt;='Financing Schedule'!$G14+'Financing Schedule'!$L14),('Financing Schedule'!$K14/12)*('Financing Schedule'!$J14-('Financing Schedule'!$I14*(S$118-'Financing Schedule'!$G14-1))),0),0)</f>
        <v>0</v>
      </c>
      <c r="T162" s="417">
        <f t="shared" ref="T162:T166" si="65">SUM(H162:S162)</f>
        <v>0</v>
      </c>
    </row>
    <row r="163" spans="2:20" x14ac:dyDescent="0.2">
      <c r="B163" s="428"/>
      <c r="C163" t="s">
        <v>165</v>
      </c>
      <c r="D163" s="7"/>
      <c r="E163" s="7"/>
      <c r="F163" s="7"/>
      <c r="G163" s="5"/>
      <c r="H163" s="379">
        <f>IFERROR(IF(AND(H$118&gt;'Financing Schedule'!$G15,H$118&lt;='Financing Schedule'!$G15+'Financing Schedule'!$L15),('Financing Schedule'!$K15/12)*('Financing Schedule'!$J15-('Financing Schedule'!$I15*(H$118-'Financing Schedule'!$G15-1))),0),0)</f>
        <v>0</v>
      </c>
      <c r="I163" s="380">
        <f>IFERROR(IF(AND(I$118&gt;'Financing Schedule'!$G15,I$118&lt;='Financing Schedule'!$G15+'Financing Schedule'!$L15),('Financing Schedule'!$K15/12)*('Financing Schedule'!$J15-('Financing Schedule'!$I15*(I$118-'Financing Schedule'!$G15-1))),0),0)</f>
        <v>0</v>
      </c>
      <c r="J163" s="380">
        <f>IFERROR(IF(AND(J$118&gt;'Financing Schedule'!$G15,J$118&lt;='Financing Schedule'!$G15+'Financing Schedule'!$L15),('Financing Schedule'!$K15/12)*('Financing Schedule'!$J15-('Financing Schedule'!$I15*(J$118-'Financing Schedule'!$G15-1))),0),0)</f>
        <v>0</v>
      </c>
      <c r="K163" s="380">
        <f>IFERROR(IF(AND(K$118&gt;'Financing Schedule'!$G15,K$118&lt;='Financing Schedule'!$G15+'Financing Schedule'!$L15),('Financing Schedule'!$K15/12)*('Financing Schedule'!$J15-('Financing Schedule'!$I15*(K$118-'Financing Schedule'!$G15-1))),0),0)</f>
        <v>0</v>
      </c>
      <c r="L163" s="380">
        <f>IFERROR(IF(AND(L$118&gt;'Financing Schedule'!$G15,L$118&lt;='Financing Schedule'!$G15+'Financing Schedule'!$L15),('Financing Schedule'!$K15/12)*('Financing Schedule'!$J15-('Financing Schedule'!$I15*(L$118-'Financing Schedule'!$G15-1))),0),0)</f>
        <v>0</v>
      </c>
      <c r="M163" s="380">
        <f>IFERROR(IF(AND(M$118&gt;'Financing Schedule'!$G15,M$118&lt;='Financing Schedule'!$G15+'Financing Schedule'!$L15),('Financing Schedule'!$K15/12)*('Financing Schedule'!$J15-('Financing Schedule'!$I15*(M$118-'Financing Schedule'!$G15-1))),0),0)</f>
        <v>0</v>
      </c>
      <c r="N163" s="380">
        <f>IFERROR(IF(AND(N$118&gt;'Financing Schedule'!$G15,N$118&lt;='Financing Schedule'!$G15+'Financing Schedule'!$L15),('Financing Schedule'!$K15/12)*('Financing Schedule'!$J15-('Financing Schedule'!$I15*(N$118-'Financing Schedule'!$G15-1))),0),0)</f>
        <v>0</v>
      </c>
      <c r="O163" s="380">
        <f>IFERROR(IF(AND(O$118&gt;'Financing Schedule'!$G15,O$118&lt;='Financing Schedule'!$G15+'Financing Schedule'!$L15),('Financing Schedule'!$K15/12)*('Financing Schedule'!$J15-('Financing Schedule'!$I15*(O$118-'Financing Schedule'!$G15-1))),0),0)</f>
        <v>0</v>
      </c>
      <c r="P163" s="380">
        <f>IFERROR(IF(AND(P$118&gt;'Financing Schedule'!$G15,P$118&lt;='Financing Schedule'!$G15+'Financing Schedule'!$L15),('Financing Schedule'!$K15/12)*('Financing Schedule'!$J15-('Financing Schedule'!$I15*(P$118-'Financing Schedule'!$G15-1))),0),0)</f>
        <v>0</v>
      </c>
      <c r="Q163" s="380">
        <f>IFERROR(IF(AND(Q$118&gt;'Financing Schedule'!$G15,Q$118&lt;='Financing Schedule'!$G15+'Financing Schedule'!$L15),('Financing Schedule'!$K15/12)*('Financing Schedule'!$J15-('Financing Schedule'!$I15*(Q$118-'Financing Schedule'!$G15-1))),0),0)</f>
        <v>0</v>
      </c>
      <c r="R163" s="380">
        <f>IFERROR(IF(AND(R$118&gt;'Financing Schedule'!$G15,R$118&lt;='Financing Schedule'!$G15+'Financing Schedule'!$L15),('Financing Schedule'!$K15/12)*('Financing Schedule'!$J15-('Financing Schedule'!$I15*(R$118-'Financing Schedule'!$G15-1))),0),0)</f>
        <v>0</v>
      </c>
      <c r="S163" s="380">
        <f>IFERROR(IF(AND(S$118&gt;'Financing Schedule'!$G15,S$118&lt;='Financing Schedule'!$G15+'Financing Schedule'!$L15),('Financing Schedule'!$K15/12)*('Financing Schedule'!$J15-('Financing Schedule'!$I15*(S$118-'Financing Schedule'!$G15-1))),0),0)</f>
        <v>0</v>
      </c>
      <c r="T163" s="417">
        <f t="shared" si="65"/>
        <v>0</v>
      </c>
    </row>
    <row r="164" spans="2:20" x14ac:dyDescent="0.2">
      <c r="B164" s="428"/>
      <c r="C164" t="s">
        <v>166</v>
      </c>
      <c r="D164" s="7"/>
      <c r="E164" s="7"/>
      <c r="F164" s="7"/>
      <c r="G164" s="5"/>
      <c r="H164" s="379">
        <f>IFERROR(IF(AND(H$118&gt;'Financing Schedule'!$G16,H$118&lt;='Financing Schedule'!$G16+'Financing Schedule'!$L16),('Financing Schedule'!$K16/12)*('Financing Schedule'!$J16-('Financing Schedule'!$I16*(H$118-'Financing Schedule'!$G16-1))),0),0)</f>
        <v>0</v>
      </c>
      <c r="I164" s="380">
        <f>IFERROR(IF(AND(I$118&gt;'Financing Schedule'!$G16,I$118&lt;='Financing Schedule'!$G16+'Financing Schedule'!$L16),('Financing Schedule'!$K16/12)*('Financing Schedule'!$J16-('Financing Schedule'!$I16*(I$118-'Financing Schedule'!$G16-1))),0),0)</f>
        <v>0</v>
      </c>
      <c r="J164" s="380">
        <f>IFERROR(IF(AND(J$118&gt;'Financing Schedule'!$G16,J$118&lt;='Financing Schedule'!$G16+'Financing Schedule'!$L16),('Financing Schedule'!$K16/12)*('Financing Schedule'!$J16-('Financing Schedule'!$I16*(J$118-'Financing Schedule'!$G16-1))),0),0)</f>
        <v>0</v>
      </c>
      <c r="K164" s="380">
        <f>IFERROR(IF(AND(K$118&gt;'Financing Schedule'!$G16,K$118&lt;='Financing Schedule'!$G16+'Financing Schedule'!$L16),('Financing Schedule'!$K16/12)*('Financing Schedule'!$J16-('Financing Schedule'!$I16*(K$118-'Financing Schedule'!$G16-1))),0),0)</f>
        <v>0</v>
      </c>
      <c r="L164" s="380">
        <f>IFERROR(IF(AND(L$118&gt;'Financing Schedule'!$G16,L$118&lt;='Financing Schedule'!$G16+'Financing Schedule'!$L16),('Financing Schedule'!$K16/12)*('Financing Schedule'!$J16-('Financing Schedule'!$I16*(L$118-'Financing Schedule'!$G16-1))),0),0)</f>
        <v>0</v>
      </c>
      <c r="M164" s="380">
        <f>IFERROR(IF(AND(M$118&gt;'Financing Schedule'!$G16,M$118&lt;='Financing Schedule'!$G16+'Financing Schedule'!$L16),('Financing Schedule'!$K16/12)*('Financing Schedule'!$J16-('Financing Schedule'!$I16*(M$118-'Financing Schedule'!$G16-1))),0),0)</f>
        <v>0</v>
      </c>
      <c r="N164" s="380">
        <f>IFERROR(IF(AND(N$118&gt;'Financing Schedule'!$G16,N$118&lt;='Financing Schedule'!$G16+'Financing Schedule'!$L16),('Financing Schedule'!$K16/12)*('Financing Schedule'!$J16-('Financing Schedule'!$I16*(N$118-'Financing Schedule'!$G16-1))),0),0)</f>
        <v>0</v>
      </c>
      <c r="O164" s="380">
        <f>IFERROR(IF(AND(O$118&gt;'Financing Schedule'!$G16,O$118&lt;='Financing Schedule'!$G16+'Financing Schedule'!$L16),('Financing Schedule'!$K16/12)*('Financing Schedule'!$J16-('Financing Schedule'!$I16*(O$118-'Financing Schedule'!$G16-1))),0),0)</f>
        <v>0</v>
      </c>
      <c r="P164" s="380">
        <f>IFERROR(IF(AND(P$118&gt;'Financing Schedule'!$G16,P$118&lt;='Financing Schedule'!$G16+'Financing Schedule'!$L16),('Financing Schedule'!$K16/12)*('Financing Schedule'!$J16-('Financing Schedule'!$I16*(P$118-'Financing Schedule'!$G16-1))),0),0)</f>
        <v>0</v>
      </c>
      <c r="Q164" s="380">
        <f>IFERROR(IF(AND(Q$118&gt;'Financing Schedule'!$G16,Q$118&lt;='Financing Schedule'!$G16+'Financing Schedule'!$L16),('Financing Schedule'!$K16/12)*('Financing Schedule'!$J16-('Financing Schedule'!$I16*(Q$118-'Financing Schedule'!$G16-1))),0),0)</f>
        <v>0</v>
      </c>
      <c r="R164" s="380">
        <f>IFERROR(IF(AND(R$118&gt;'Financing Schedule'!$G16,R$118&lt;='Financing Schedule'!$G16+'Financing Schedule'!$L16),('Financing Schedule'!$K16/12)*('Financing Schedule'!$J16-('Financing Schedule'!$I16*(R$118-'Financing Schedule'!$G16-1))),0),0)</f>
        <v>0</v>
      </c>
      <c r="S164" s="380">
        <f>IFERROR(IF(AND(S$118&gt;'Financing Schedule'!$G16,S$118&lt;='Financing Schedule'!$G16+'Financing Schedule'!$L16),('Financing Schedule'!$K16/12)*('Financing Schedule'!$J16-('Financing Schedule'!$I16*(S$118-'Financing Schedule'!$G16-1))),0),0)</f>
        <v>0</v>
      </c>
      <c r="T164" s="417">
        <f t="shared" si="65"/>
        <v>0</v>
      </c>
    </row>
    <row r="165" spans="2:20" ht="17" thickBot="1" x14ac:dyDescent="0.25">
      <c r="B165" s="428"/>
      <c r="C165" t="s">
        <v>167</v>
      </c>
      <c r="D165" s="7"/>
      <c r="E165" s="7"/>
      <c r="F165" s="7"/>
      <c r="G165" s="5"/>
      <c r="H165" s="379">
        <f>IFERROR(IF(AND(H$118&gt;'Financing Schedule'!$G17,H$118&lt;='Financing Schedule'!$G17+'Financing Schedule'!$L17),('Financing Schedule'!$K17/12)*('Financing Schedule'!$J17-('Financing Schedule'!$I17*(H$118-'Financing Schedule'!$G17-1))),0),0)</f>
        <v>0</v>
      </c>
      <c r="I165" s="380">
        <f>IFERROR(IF(AND(I$118&gt;'Financing Schedule'!$G17,I$118&lt;='Financing Schedule'!$G17+'Financing Schedule'!$L17),('Financing Schedule'!$K17/12)*('Financing Schedule'!$J17-('Financing Schedule'!$I17*(I$118-'Financing Schedule'!$G17-1))),0),0)</f>
        <v>0</v>
      </c>
      <c r="J165" s="380">
        <f>IFERROR(IF(AND(J$118&gt;'Financing Schedule'!$G17,J$118&lt;='Financing Schedule'!$G17+'Financing Schedule'!$L17),('Financing Schedule'!$K17/12)*('Financing Schedule'!$J17-('Financing Schedule'!$I17*(J$118-'Financing Schedule'!$G17-1))),0),0)</f>
        <v>0</v>
      </c>
      <c r="K165" s="380">
        <f>IFERROR(IF(AND(K$118&gt;'Financing Schedule'!$G17,K$118&lt;='Financing Schedule'!$G17+'Financing Schedule'!$L17),('Financing Schedule'!$K17/12)*('Financing Schedule'!$J17-('Financing Schedule'!$I17*(K$118-'Financing Schedule'!$G17-1))),0),0)</f>
        <v>0</v>
      </c>
      <c r="L165" s="380">
        <f>IFERROR(IF(AND(L$118&gt;'Financing Schedule'!$G17,L$118&lt;='Financing Schedule'!$G17+'Financing Schedule'!$L17),('Financing Schedule'!$K17/12)*('Financing Schedule'!$J17-('Financing Schedule'!$I17*(L$118-'Financing Schedule'!$G17-1))),0),0)</f>
        <v>0</v>
      </c>
      <c r="M165" s="380">
        <f>IFERROR(IF(AND(M$118&gt;'Financing Schedule'!$G17,M$118&lt;='Financing Schedule'!$G17+'Financing Schedule'!$L17),('Financing Schedule'!$K17/12)*('Financing Schedule'!$J17-('Financing Schedule'!$I17*(M$118-'Financing Schedule'!$G17-1))),0),0)</f>
        <v>0</v>
      </c>
      <c r="N165" s="380">
        <f>IFERROR(IF(AND(N$118&gt;'Financing Schedule'!$G17,N$118&lt;='Financing Schedule'!$G17+'Financing Schedule'!$L17),('Financing Schedule'!$K17/12)*('Financing Schedule'!$J17-('Financing Schedule'!$I17*(N$118-'Financing Schedule'!$G17-1))),0),0)</f>
        <v>0</v>
      </c>
      <c r="O165" s="380">
        <f>IFERROR(IF(AND(O$118&gt;'Financing Schedule'!$G17,O$118&lt;='Financing Schedule'!$G17+'Financing Schedule'!$L17),('Financing Schedule'!$K17/12)*('Financing Schedule'!$J17-('Financing Schedule'!$I17*(O$118-'Financing Schedule'!$G17-1))),0),0)</f>
        <v>0</v>
      </c>
      <c r="P165" s="380">
        <f>IFERROR(IF(AND(P$118&gt;'Financing Schedule'!$G17,P$118&lt;='Financing Schedule'!$G17+'Financing Schedule'!$L17),('Financing Schedule'!$K17/12)*('Financing Schedule'!$J17-('Financing Schedule'!$I17*(P$118-'Financing Schedule'!$G17-1))),0),0)</f>
        <v>0</v>
      </c>
      <c r="Q165" s="380">
        <f>IFERROR(IF(AND(Q$118&gt;'Financing Schedule'!$G17,Q$118&lt;='Financing Schedule'!$G17+'Financing Schedule'!$L17),('Financing Schedule'!$K17/12)*('Financing Schedule'!$J17-('Financing Schedule'!$I17*(Q$118-'Financing Schedule'!$G17-1))),0),0)</f>
        <v>0</v>
      </c>
      <c r="R165" s="380">
        <f>IFERROR(IF(AND(R$118&gt;'Financing Schedule'!$G17,R$118&lt;='Financing Schedule'!$G17+'Financing Schedule'!$L17),('Financing Schedule'!$K17/12)*('Financing Schedule'!$J17-('Financing Schedule'!$I17*(R$118-'Financing Schedule'!$G17-1))),0),0)</f>
        <v>0</v>
      </c>
      <c r="S165" s="380">
        <f>IFERROR(IF(AND(S$118&gt;'Financing Schedule'!$G17,S$118&lt;='Financing Schedule'!$G17+'Financing Schedule'!$L17),('Financing Schedule'!$K17/12)*('Financing Schedule'!$J17-('Financing Schedule'!$I17*(S$118-'Financing Schedule'!$G17-1))),0),0)</f>
        <v>0</v>
      </c>
      <c r="T165" s="417">
        <f t="shared" si="65"/>
        <v>0</v>
      </c>
    </row>
    <row r="166" spans="2:20" ht="17" thickTop="1" x14ac:dyDescent="0.2">
      <c r="B166" s="418" t="s">
        <v>118</v>
      </c>
      <c r="C166" s="419"/>
      <c r="D166" s="419"/>
      <c r="E166" s="419"/>
      <c r="F166" s="419"/>
      <c r="G166" s="420"/>
      <c r="H166" s="421">
        <f>SUM(H160:H165)</f>
        <v>0</v>
      </c>
      <c r="I166" s="422">
        <f t="shared" ref="I166:S166" si="66">SUM(I160:I165)</f>
        <v>0</v>
      </c>
      <c r="J166" s="422">
        <f t="shared" si="66"/>
        <v>0</v>
      </c>
      <c r="K166" s="422">
        <f t="shared" si="66"/>
        <v>0</v>
      </c>
      <c r="L166" s="422">
        <f t="shared" si="66"/>
        <v>0</v>
      </c>
      <c r="M166" s="422">
        <f t="shared" si="66"/>
        <v>0</v>
      </c>
      <c r="N166" s="422">
        <f t="shared" si="66"/>
        <v>0</v>
      </c>
      <c r="O166" s="422">
        <f t="shared" si="66"/>
        <v>0</v>
      </c>
      <c r="P166" s="422">
        <f t="shared" si="66"/>
        <v>0</v>
      </c>
      <c r="Q166" s="422">
        <f t="shared" si="66"/>
        <v>0</v>
      </c>
      <c r="R166" s="422">
        <f t="shared" si="66"/>
        <v>0</v>
      </c>
      <c r="S166" s="422">
        <f t="shared" si="66"/>
        <v>0</v>
      </c>
      <c r="T166" s="423">
        <f t="shared" si="65"/>
        <v>0</v>
      </c>
    </row>
    <row r="167" spans="2:20" x14ac:dyDescent="0.2">
      <c r="B167" s="308"/>
      <c r="C167" s="5"/>
      <c r="D167" s="5"/>
      <c r="E167" s="54"/>
      <c r="F167" s="36"/>
      <c r="G167" s="36"/>
      <c r="H167" s="379"/>
      <c r="I167" s="380"/>
      <c r="J167" s="380"/>
      <c r="K167" s="380"/>
      <c r="L167" s="380"/>
      <c r="M167" s="380"/>
      <c r="N167" s="380"/>
      <c r="O167" s="380"/>
      <c r="P167" s="380"/>
      <c r="Q167" s="380"/>
      <c r="R167" s="380"/>
      <c r="S167" s="380"/>
      <c r="T167" s="417"/>
    </row>
    <row r="168" spans="2:20" x14ac:dyDescent="0.2">
      <c r="B168" s="307" t="s">
        <v>306</v>
      </c>
      <c r="D168" s="5"/>
      <c r="E168" s="55" t="s">
        <v>293</v>
      </c>
      <c r="F168" s="497" t="s">
        <v>304</v>
      </c>
      <c r="G168" s="497"/>
      <c r="H168" s="379"/>
      <c r="I168" s="380"/>
      <c r="J168" s="380"/>
      <c r="K168" s="380"/>
      <c r="L168" s="380"/>
      <c r="M168" s="380"/>
      <c r="N168" s="380"/>
      <c r="O168" s="380"/>
      <c r="P168" s="380"/>
      <c r="Q168" s="380"/>
      <c r="R168" s="380"/>
      <c r="S168" s="380"/>
      <c r="T168" s="417"/>
    </row>
    <row r="169" spans="2:20" x14ac:dyDescent="0.2">
      <c r="B169" s="428"/>
      <c r="D169" t="s">
        <v>33</v>
      </c>
      <c r="E169" s="54"/>
      <c r="F169" s="497"/>
      <c r="G169" s="497"/>
      <c r="H169" s="379"/>
      <c r="I169" s="380"/>
      <c r="J169" s="380"/>
      <c r="K169" s="380"/>
      <c r="L169" s="380"/>
      <c r="M169" s="380"/>
      <c r="N169" s="380"/>
      <c r="O169" s="380"/>
      <c r="P169" s="380"/>
      <c r="Q169" s="380"/>
      <c r="R169" s="380"/>
      <c r="S169" s="380"/>
      <c r="T169" s="417"/>
    </row>
    <row r="170" spans="2:20" x14ac:dyDescent="0.2">
      <c r="B170" s="308"/>
      <c r="C170" s="496" t="str">
        <f>"Sales Tax on "&amp;$B6&amp;" Line"</f>
        <v>Sales Tax on Product Revenue Line</v>
      </c>
      <c r="D170" s="454">
        <f>'Year 3'!D170:D171</f>
        <v>0.02</v>
      </c>
      <c r="E170" s="453" t="str">
        <f>'Year 3'!E170:E171</f>
        <v>Monthly</v>
      </c>
      <c r="F170" s="453">
        <f>IF('Year 3'!F170:F171="","",'Year 1'!F170:F171+'Year 3'!$S$118)</f>
        <v>40</v>
      </c>
      <c r="G170" s="15" t="s">
        <v>303</v>
      </c>
      <c r="H170" s="379">
        <f>IF($E170="n.a.",0,$D170*H$12+IF(H171=0,'Year 3'!S170,0))</f>
        <v>556.80000000000007</v>
      </c>
      <c r="I170" s="380">
        <f>IF($E170="n.a.",0,$D170*I$12+IF(I171=0,H170,0))</f>
        <v>576</v>
      </c>
      <c r="J170" s="380">
        <f t="shared" ref="J170:S170" si="67">IF($E170="n.a.",0,$D170*J$12+IF(J171=0,I170,0))</f>
        <v>592.80000000000007</v>
      </c>
      <c r="K170" s="380">
        <f t="shared" si="67"/>
        <v>612</v>
      </c>
      <c r="L170" s="380">
        <f t="shared" si="67"/>
        <v>628.80000000000007</v>
      </c>
      <c r="M170" s="380">
        <f t="shared" si="67"/>
        <v>648</v>
      </c>
      <c r="N170" s="380">
        <f t="shared" si="67"/>
        <v>664.80000000000007</v>
      </c>
      <c r="O170" s="380">
        <f t="shared" si="67"/>
        <v>684</v>
      </c>
      <c r="P170" s="380">
        <f t="shared" si="67"/>
        <v>700.80000000000007</v>
      </c>
      <c r="Q170" s="380">
        <f t="shared" si="67"/>
        <v>720</v>
      </c>
      <c r="R170" s="380">
        <f t="shared" si="67"/>
        <v>736.80000000000007</v>
      </c>
      <c r="S170" s="380">
        <f t="shared" si="67"/>
        <v>756</v>
      </c>
      <c r="T170" s="417">
        <f>SUM(H170:S170)</f>
        <v>7876.8000000000011</v>
      </c>
    </row>
    <row r="171" spans="2:20" x14ac:dyDescent="0.2">
      <c r="B171" s="308"/>
      <c r="C171" s="496"/>
      <c r="D171" s="5"/>
      <c r="E171" s="54"/>
      <c r="F171" s="36"/>
      <c r="G171" s="15" t="s">
        <v>293</v>
      </c>
      <c r="H171" s="379">
        <f>IF($E170="Monthly",'Year 3'!S170,IF($E170="Quarterly",IF(AND($E170="Quarterly",OR(H$118=((RIGHT(LEFT($E$3,6),1)-1)*12)+1,H$118=((RIGHT(LEFT($E$3,6),1)-1)*12)+4,H$118=((RIGHT(LEFT($E$3,6),1)-1)*12)+7,H$118=((RIGHT(LEFT($E$3,6),1)-1)*12)+10)),'Year 3'!S170,0),IF(AND($E170="Yearly",$F170=H$118),'Year 3'!S170,0)))</f>
        <v>540</v>
      </c>
      <c r="I171" s="380">
        <f t="shared" ref="I171:S171" si="68">IF($E170="Monthly",H170,IF($E170="Quarterly",IF(AND($E170="Quarterly",OR(I$118=((RIGHT(LEFT($E$3,6),1)-1)*12)+1,I$118=((RIGHT(LEFT($E$3,6),1)-1)*12)+4,I$118=((RIGHT(LEFT($E$3,6),1)-1)*12)+7,I$118=((RIGHT(LEFT($E$3,6),1)-1)*12)+10)),H170,0),IF(AND($E170="Yearly",$F170=I$118),H170,0)))</f>
        <v>556.80000000000007</v>
      </c>
      <c r="J171" s="380">
        <f t="shared" si="68"/>
        <v>576</v>
      </c>
      <c r="K171" s="380">
        <f t="shared" si="68"/>
        <v>592.80000000000007</v>
      </c>
      <c r="L171" s="380">
        <f t="shared" si="68"/>
        <v>612</v>
      </c>
      <c r="M171" s="380">
        <f t="shared" si="68"/>
        <v>628.80000000000007</v>
      </c>
      <c r="N171" s="380">
        <f t="shared" si="68"/>
        <v>648</v>
      </c>
      <c r="O171" s="380">
        <f t="shared" si="68"/>
        <v>664.80000000000007</v>
      </c>
      <c r="P171" s="380">
        <f t="shared" si="68"/>
        <v>684</v>
      </c>
      <c r="Q171" s="380">
        <f t="shared" si="68"/>
        <v>700.80000000000007</v>
      </c>
      <c r="R171" s="380">
        <f t="shared" si="68"/>
        <v>720</v>
      </c>
      <c r="S171" s="380">
        <f t="shared" si="68"/>
        <v>736.80000000000007</v>
      </c>
      <c r="T171" s="417">
        <f t="shared" ref="T171:T177" si="69">SUM(H171:S171)</f>
        <v>7660.8000000000011</v>
      </c>
    </row>
    <row r="172" spans="2:20" x14ac:dyDescent="0.2">
      <c r="B172" s="308"/>
      <c r="C172" s="496" t="str">
        <f>"Sales Tax on "&amp;$B14&amp;" Line"</f>
        <v>Sales Tax on Service Revenue Line</v>
      </c>
      <c r="D172" s="454">
        <f>'Year 3'!D172:D173</f>
        <v>0.01</v>
      </c>
      <c r="E172" s="453" t="str">
        <f>'Year 3'!E172:E173</f>
        <v>n.a.</v>
      </c>
      <c r="F172" s="453" t="str">
        <f>IF('Year 3'!F172:F173="","",'Year 1'!F172:F173+'Year 3'!$S$118)</f>
        <v/>
      </c>
      <c r="G172" s="15" t="s">
        <v>303</v>
      </c>
      <c r="H172" s="379">
        <f>IF($E172="n.a.",0,$D172*H$20+IF(H173=0,'Year 3'!S172,0))</f>
        <v>0</v>
      </c>
      <c r="I172" s="380">
        <f>IF($E172="n.a.",0,$D172*I$20+IF(I173=0,H172,0))</f>
        <v>0</v>
      </c>
      <c r="J172" s="380">
        <f t="shared" ref="J172:S172" si="70">IF($E172="n.a.",0,$D172*J$20+IF(J173=0,I172,0))</f>
        <v>0</v>
      </c>
      <c r="K172" s="380">
        <f t="shared" si="70"/>
        <v>0</v>
      </c>
      <c r="L172" s="380">
        <f t="shared" si="70"/>
        <v>0</v>
      </c>
      <c r="M172" s="380">
        <f t="shared" si="70"/>
        <v>0</v>
      </c>
      <c r="N172" s="380">
        <f t="shared" si="70"/>
        <v>0</v>
      </c>
      <c r="O172" s="380">
        <f t="shared" si="70"/>
        <v>0</v>
      </c>
      <c r="P172" s="380">
        <f t="shared" si="70"/>
        <v>0</v>
      </c>
      <c r="Q172" s="380">
        <f t="shared" si="70"/>
        <v>0</v>
      </c>
      <c r="R172" s="380">
        <f t="shared" si="70"/>
        <v>0</v>
      </c>
      <c r="S172" s="380">
        <f t="shared" si="70"/>
        <v>0</v>
      </c>
      <c r="T172" s="417">
        <f t="shared" si="69"/>
        <v>0</v>
      </c>
    </row>
    <row r="173" spans="2:20" x14ac:dyDescent="0.2">
      <c r="B173" s="308"/>
      <c r="C173" s="496"/>
      <c r="D173" s="5"/>
      <c r="E173" s="54"/>
      <c r="F173" s="36"/>
      <c r="G173" s="15" t="s">
        <v>293</v>
      </c>
      <c r="H173" s="379">
        <f>IF($E172="Monthly",'Year 3'!S172,IF($E172="Quarterly",IF(AND($E172="Quarterly",OR(H$118=((RIGHT(LEFT($E$3,6),1)-1)*12)+1,H$118=((RIGHT(LEFT($E$3,6),1)-1)*12)+4,H$118=((RIGHT(LEFT($E$3,6),1)-1)*12)+7,H$118=((RIGHT(LEFT($E$3,6),1)-1)*12)+10)),'Year 3'!S172,0),IF(AND($E172="Yearly",$F172=H$118),'Year 3'!S172,0)))</f>
        <v>0</v>
      </c>
      <c r="I173" s="380">
        <f t="shared" ref="I173:S173" si="71">IF($E172="Monthly",H172,IF($E172="Quarterly",IF(AND($E172="Quarterly",OR(I$118=((RIGHT(LEFT($E$3,6),1)-1)*12)+1,I$118=((RIGHT(LEFT($E$3,6),1)-1)*12)+4,I$118=((RIGHT(LEFT($E$3,6),1)-1)*12)+7,I$118=((RIGHT(LEFT($E$3,6),1)-1)*12)+10)),H172,0),IF(AND($E172="Yearly",$F172=I$118),H172,0)))</f>
        <v>0</v>
      </c>
      <c r="J173" s="380">
        <f t="shared" si="71"/>
        <v>0</v>
      </c>
      <c r="K173" s="380">
        <f t="shared" si="71"/>
        <v>0</v>
      </c>
      <c r="L173" s="380">
        <f t="shared" si="71"/>
        <v>0</v>
      </c>
      <c r="M173" s="380">
        <f t="shared" si="71"/>
        <v>0</v>
      </c>
      <c r="N173" s="380">
        <f t="shared" si="71"/>
        <v>0</v>
      </c>
      <c r="O173" s="380">
        <f t="shared" si="71"/>
        <v>0</v>
      </c>
      <c r="P173" s="380">
        <f t="shared" si="71"/>
        <v>0</v>
      </c>
      <c r="Q173" s="380">
        <f t="shared" si="71"/>
        <v>0</v>
      </c>
      <c r="R173" s="380">
        <f t="shared" si="71"/>
        <v>0</v>
      </c>
      <c r="S173" s="380">
        <f t="shared" si="71"/>
        <v>0</v>
      </c>
      <c r="T173" s="417">
        <f t="shared" si="69"/>
        <v>0</v>
      </c>
    </row>
    <row r="174" spans="2:20" x14ac:dyDescent="0.2">
      <c r="B174" s="308"/>
      <c r="C174" s="496" t="str">
        <f>"Sales Tax on "&amp;$B22&amp;" Line"</f>
        <v>Sales Tax on Billable Hours Revenue Line</v>
      </c>
      <c r="D174" s="454">
        <f>'Year 3'!D174:D175</f>
        <v>0.01</v>
      </c>
      <c r="E174" s="453" t="str">
        <f>'Year 3'!E174:E175</f>
        <v>Yearly</v>
      </c>
      <c r="F174" s="453">
        <f>IF('Year 3'!F174:F175="","",'Year 1'!F174:F175+'Year 3'!$S$118)</f>
        <v>39</v>
      </c>
      <c r="G174" s="15" t="s">
        <v>303</v>
      </c>
      <c r="H174" s="379">
        <f>IF($E174="n.a.",0,$D174*H$28+IF(H175=0,'Year 3'!S174,0))</f>
        <v>2159.5500000000002</v>
      </c>
      <c r="I174" s="380">
        <f>IF($E174="n.a.",0,$D174*I$28+IF(I175=0,H174,0))</f>
        <v>2405.5500000000002</v>
      </c>
      <c r="J174" s="380">
        <f t="shared" ref="J174:S174" si="72">IF($E174="n.a.",0,$D174*J$28+IF(J175=0,I174,0))</f>
        <v>258</v>
      </c>
      <c r="K174" s="380">
        <f t="shared" si="72"/>
        <v>526.5</v>
      </c>
      <c r="L174" s="380">
        <f t="shared" si="72"/>
        <v>807</v>
      </c>
      <c r="M174" s="380">
        <f t="shared" si="72"/>
        <v>1098</v>
      </c>
      <c r="N174" s="380">
        <f t="shared" si="72"/>
        <v>1401</v>
      </c>
      <c r="O174" s="380">
        <f t="shared" si="72"/>
        <v>1714.5</v>
      </c>
      <c r="P174" s="380">
        <f t="shared" si="72"/>
        <v>2040</v>
      </c>
      <c r="Q174" s="380">
        <f t="shared" si="72"/>
        <v>2376</v>
      </c>
      <c r="R174" s="380">
        <f t="shared" si="72"/>
        <v>2724</v>
      </c>
      <c r="S174" s="380">
        <f t="shared" si="72"/>
        <v>3083.25</v>
      </c>
      <c r="T174" s="417">
        <f t="shared" si="69"/>
        <v>20593.349999999999</v>
      </c>
    </row>
    <row r="175" spans="2:20" x14ac:dyDescent="0.2">
      <c r="B175" s="308"/>
      <c r="C175" s="496"/>
      <c r="D175" s="5"/>
      <c r="E175" s="54"/>
      <c r="F175" s="36"/>
      <c r="G175" s="15" t="s">
        <v>293</v>
      </c>
      <c r="H175" s="379">
        <f>IF($E174="Monthly",'Year 3'!S174,IF($E174="Quarterly",IF(AND($E174="Quarterly",OR(H$118=((RIGHT(LEFT($E$3,6),1)-1)*12)+1,H$118=((RIGHT(LEFT($E$3,6),1)-1)*12)+4,H$118=((RIGHT(LEFT($E$3,6),1)-1)*12)+7,H$118=((RIGHT(LEFT($E$3,6),1)-1)*12)+10)),'Year 3'!S174,0),IF(AND($E174="Yearly",$F174=H$118),'Year 3'!S174,0)))</f>
        <v>0</v>
      </c>
      <c r="I175" s="380">
        <f t="shared" ref="I175:S175" si="73">IF($E174="Monthly",H174,IF($E174="Quarterly",IF(AND($E174="Quarterly",OR(I$118=((RIGHT(LEFT($E$3,6),1)-1)*12)+1,I$118=((RIGHT(LEFT($E$3,6),1)-1)*12)+4,I$118=((RIGHT(LEFT($E$3,6),1)-1)*12)+7,I$118=((RIGHT(LEFT($E$3,6),1)-1)*12)+10)),H174,0),IF(AND($E174="Yearly",$F174=I$118),H174,0)))</f>
        <v>0</v>
      </c>
      <c r="J175" s="380">
        <f t="shared" si="73"/>
        <v>2405.5500000000002</v>
      </c>
      <c r="K175" s="380">
        <f t="shared" si="73"/>
        <v>0</v>
      </c>
      <c r="L175" s="380">
        <f t="shared" si="73"/>
        <v>0</v>
      </c>
      <c r="M175" s="380">
        <f t="shared" si="73"/>
        <v>0</v>
      </c>
      <c r="N175" s="380">
        <f t="shared" si="73"/>
        <v>0</v>
      </c>
      <c r="O175" s="380">
        <f t="shared" si="73"/>
        <v>0</v>
      </c>
      <c r="P175" s="380">
        <f t="shared" si="73"/>
        <v>0</v>
      </c>
      <c r="Q175" s="380">
        <f t="shared" si="73"/>
        <v>0</v>
      </c>
      <c r="R175" s="380">
        <f t="shared" si="73"/>
        <v>0</v>
      </c>
      <c r="S175" s="380">
        <f t="shared" si="73"/>
        <v>0</v>
      </c>
      <c r="T175" s="417">
        <f t="shared" si="69"/>
        <v>2405.5500000000002</v>
      </c>
    </row>
    <row r="176" spans="2:20" x14ac:dyDescent="0.2">
      <c r="B176" s="308"/>
      <c r="C176" s="496" t="str">
        <f>"Sales Tax on "&amp;$B30&amp;" Line"</f>
        <v>Sales Tax on Subscription Revenue Line</v>
      </c>
      <c r="D176" s="454">
        <f>'Year 3'!D176:D177</f>
        <v>0</v>
      </c>
      <c r="E176" s="453" t="str">
        <f>'Year 3'!E176:E177</f>
        <v>Quarterly</v>
      </c>
      <c r="F176" s="453" t="str">
        <f>IF('Year 3'!F176:F177="","",'Year 1'!F176:F177+'Year 3'!$S$118)</f>
        <v/>
      </c>
      <c r="G176" s="15" t="s">
        <v>303</v>
      </c>
      <c r="H176" s="379">
        <f>IF($E176="n.a.",0,$D176*H$39+IF(H177=0,'Year 3'!S176,0))</f>
        <v>0</v>
      </c>
      <c r="I176" s="380">
        <f>IF($E176="n.a.",0,$D176*I$39+IF(I177=0,H176,0))</f>
        <v>0</v>
      </c>
      <c r="J176" s="380">
        <f t="shared" ref="J176:S176" si="74">IF($E176="n.a.",0,$D176*J$39+IF(J177=0,I176,0))</f>
        <v>0</v>
      </c>
      <c r="K176" s="380">
        <f t="shared" si="74"/>
        <v>0</v>
      </c>
      <c r="L176" s="380">
        <f t="shared" si="74"/>
        <v>0</v>
      </c>
      <c r="M176" s="380">
        <f t="shared" si="74"/>
        <v>0</v>
      </c>
      <c r="N176" s="380">
        <f t="shared" si="74"/>
        <v>0</v>
      </c>
      <c r="O176" s="380">
        <f t="shared" si="74"/>
        <v>0</v>
      </c>
      <c r="P176" s="380">
        <f t="shared" si="74"/>
        <v>0</v>
      </c>
      <c r="Q176" s="380">
        <f t="shared" si="74"/>
        <v>0</v>
      </c>
      <c r="R176" s="380">
        <f t="shared" si="74"/>
        <v>0</v>
      </c>
      <c r="S176" s="380">
        <f t="shared" si="74"/>
        <v>0</v>
      </c>
      <c r="T176" s="417">
        <f t="shared" si="69"/>
        <v>0</v>
      </c>
    </row>
    <row r="177" spans="2:20" x14ac:dyDescent="0.2">
      <c r="B177" s="308"/>
      <c r="C177" s="496"/>
      <c r="D177" s="5"/>
      <c r="E177" s="54"/>
      <c r="F177" s="36"/>
      <c r="G177" s="15" t="s">
        <v>293</v>
      </c>
      <c r="H177" s="379">
        <f>IF($E176="Monthly",'Year 3'!S176,IF($E176="Quarterly",IF(AND($E176="Quarterly",OR(H$118=((RIGHT(LEFT($E$3,6),1)-1)*12)+1,H$118=((RIGHT(LEFT($E$3,6),1)-1)*12)+4,H$118=((RIGHT(LEFT($E$3,6),1)-1)*12)+7,H$118=((RIGHT(LEFT($E$3,6),1)-1)*12)+10)),'Year 3'!S176,0),IF(AND($E176="Yearly",$F176=H$118),'Year 3'!S176,0)))</f>
        <v>0</v>
      </c>
      <c r="I177" s="380">
        <f t="shared" ref="I177:S177" si="75">IF($E176="Monthly",H176,IF($E176="Quarterly",IF(AND($E176="Quarterly",OR(I$118=((RIGHT(LEFT($E$3,6),1)-1)*12)+1,I$118=((RIGHT(LEFT($E$3,6),1)-1)*12)+4,I$118=((RIGHT(LEFT($E$3,6),1)-1)*12)+7,I$118=((RIGHT(LEFT($E$3,6),1)-1)*12)+10)),H176,0),IF(AND($E176="Yearly",$F176=I$118),H176,0)))</f>
        <v>0</v>
      </c>
      <c r="J177" s="380">
        <f t="shared" si="75"/>
        <v>0</v>
      </c>
      <c r="K177" s="380">
        <f t="shared" si="75"/>
        <v>0</v>
      </c>
      <c r="L177" s="380">
        <f t="shared" si="75"/>
        <v>0</v>
      </c>
      <c r="M177" s="380">
        <f t="shared" si="75"/>
        <v>0</v>
      </c>
      <c r="N177" s="380">
        <f t="shared" si="75"/>
        <v>0</v>
      </c>
      <c r="O177" s="380">
        <f t="shared" si="75"/>
        <v>0</v>
      </c>
      <c r="P177" s="380">
        <f t="shared" si="75"/>
        <v>0</v>
      </c>
      <c r="Q177" s="380">
        <f t="shared" si="75"/>
        <v>0</v>
      </c>
      <c r="R177" s="380">
        <f t="shared" si="75"/>
        <v>0</v>
      </c>
      <c r="S177" s="380">
        <f t="shared" si="75"/>
        <v>0</v>
      </c>
      <c r="T177" s="417">
        <f t="shared" si="69"/>
        <v>0</v>
      </c>
    </row>
    <row r="178" spans="2:20" x14ac:dyDescent="0.2">
      <c r="B178" s="308"/>
      <c r="C178" s="106"/>
      <c r="D178" s="60"/>
      <c r="E178" s="60"/>
      <c r="F178" s="61"/>
      <c r="H178" s="379"/>
      <c r="I178" s="380"/>
      <c r="J178" s="380"/>
      <c r="K178" s="380"/>
      <c r="L178" s="380"/>
      <c r="M178" s="380"/>
      <c r="N178" s="380"/>
      <c r="O178" s="380"/>
      <c r="P178" s="380"/>
      <c r="Q178" s="380"/>
      <c r="R178" s="380"/>
      <c r="S178" s="380"/>
      <c r="T178" s="417"/>
    </row>
    <row r="179" spans="2:20" x14ac:dyDescent="0.2">
      <c r="B179" s="308"/>
      <c r="C179" s="106"/>
      <c r="D179" s="454">
        <f>'Year 3'!D179:D180</f>
        <v>0.24</v>
      </c>
      <c r="E179" s="453" t="str">
        <f>'Year 3'!E179:E180</f>
        <v>Quarterly</v>
      </c>
      <c r="F179" s="453" t="str">
        <f>IF('Year 3'!F179:F180="","",'Year 1'!F179:F180+'Year 3'!$S$118)</f>
        <v/>
      </c>
      <c r="G179" s="15" t="s">
        <v>303</v>
      </c>
      <c r="H179" s="379">
        <f>IF($E179="n.a.",0,$D179*H$157+IF(H$180=0,'Year 3'!S179,IF(H$180&lt;0,'Year 3'!S179+($D179*H$157),0)))</f>
        <v>-145560.90775500803</v>
      </c>
      <c r="I179" s="380">
        <f t="shared" ref="I179:J179" si="76">IF($E179="n.a.",0,$D179*I$157+IF(I$180=0,H$179,IF(I$180&lt;0,H$179+($D179*I$157),0)))</f>
        <v>-145920.06394521604</v>
      </c>
      <c r="J179" s="380">
        <f t="shared" si="76"/>
        <v>-145944.31933542405</v>
      </c>
      <c r="K179" s="380">
        <f>IF($E179="n.a.",0,$D179*K$157+IF(K$180=0,J$179,IF(K$180&lt;0,J$179+($D179*K$157),0)))</f>
        <v>-145627.53472563205</v>
      </c>
      <c r="L179" s="380">
        <f t="shared" ref="L179:S179" si="77">IF($E179="n.a.",0,$D179*L$157+IF(L$180=0,K$179,IF(L$180&lt;0,K$179+($D179*L$157),0)))</f>
        <v>-144975.84931584005</v>
      </c>
      <c r="M179" s="380">
        <f t="shared" si="77"/>
        <v>-143983.12390604804</v>
      </c>
      <c r="N179" s="380">
        <f t="shared" si="77"/>
        <v>-142654.45929625604</v>
      </c>
      <c r="O179" s="380">
        <f t="shared" si="77"/>
        <v>-140986.83308646403</v>
      </c>
      <c r="P179" s="380">
        <f t="shared" si="77"/>
        <v>-138982.22767667202</v>
      </c>
      <c r="Q179" s="380">
        <f t="shared" si="77"/>
        <v>-136633.86066688001</v>
      </c>
      <c r="R179" s="380">
        <f t="shared" si="77"/>
        <v>-133948.51445708799</v>
      </c>
      <c r="S179" s="380">
        <f t="shared" si="77"/>
        <v>-130912.320247296</v>
      </c>
      <c r="T179" s="417">
        <f>SUM(H179:S179)</f>
        <v>-1696130.0144138243</v>
      </c>
    </row>
    <row r="180" spans="2:20" ht="17" thickBot="1" x14ac:dyDescent="0.25">
      <c r="B180" s="308"/>
      <c r="C180" t="s">
        <v>290</v>
      </c>
      <c r="D180" s="5"/>
      <c r="E180" s="54"/>
      <c r="F180" s="36"/>
      <c r="G180" s="15" t="s">
        <v>293</v>
      </c>
      <c r="H180" s="379">
        <f>IF(H$157&lt;0,0,IF('Year 3'!S179&lt;0,0,IF($E179="Monthly",'Year 3'!S179,IF($E179="Quarterly",IF(AND($E179="Quarterly",OR(H$118=((RIGHT(LEFT($E$3,6),1)-1)*12)+1,H$118=((RIGHT(LEFT($E$3,6),1)-1)*12)+4,H$118=((RIGHT(LEFT($E$3,6),1)-1)*12)+7,H$118=((RIGHT(LEFT($E$3,6),1)-1)*12)+10)),'Year 3'!S179,0),IF(AND($E179="Yearly",$F179=H$118),'Year 3'!S179,0)))))</f>
        <v>0</v>
      </c>
      <c r="I180" s="380">
        <f t="shared" ref="I180:S180" si="78">IF(I$157&lt;0,0,IF(H179&lt;0,0,IF($E179="Monthly",H179,IF($E179="Quarterly",IF(AND($E179="Quarterly",OR(I$118=((RIGHT(LEFT($E$3,6),1)-1)*12)+1,I$118=((RIGHT(LEFT($E$3,6),1)-1)*12)+4,I$118=((RIGHT(LEFT($E$3,6),1)-1)*12)+7,I$118=((RIGHT(LEFT($E$3,6),1)-1)*12)+10)),H179,0),IF(AND($E179="Yearly",$F179=I$118),H179,0)))))</f>
        <v>0</v>
      </c>
      <c r="J180" s="380">
        <f t="shared" si="78"/>
        <v>0</v>
      </c>
      <c r="K180" s="380">
        <f t="shared" si="78"/>
        <v>0</v>
      </c>
      <c r="L180" s="380">
        <f t="shared" si="78"/>
        <v>0</v>
      </c>
      <c r="M180" s="380">
        <f t="shared" si="78"/>
        <v>0</v>
      </c>
      <c r="N180" s="380">
        <f t="shared" si="78"/>
        <v>0</v>
      </c>
      <c r="O180" s="380">
        <f t="shared" si="78"/>
        <v>0</v>
      </c>
      <c r="P180" s="380">
        <f t="shared" si="78"/>
        <v>0</v>
      </c>
      <c r="Q180" s="380">
        <f t="shared" si="78"/>
        <v>0</v>
      </c>
      <c r="R180" s="380">
        <f t="shared" si="78"/>
        <v>0</v>
      </c>
      <c r="S180" s="380">
        <f t="shared" si="78"/>
        <v>0</v>
      </c>
      <c r="T180" s="417">
        <f>SUM(H180:S180)</f>
        <v>0</v>
      </c>
    </row>
    <row r="181" spans="2:20" ht="17" thickTop="1" x14ac:dyDescent="0.2">
      <c r="B181" s="418" t="s">
        <v>305</v>
      </c>
      <c r="C181" s="419"/>
      <c r="D181" s="419"/>
      <c r="E181" s="419"/>
      <c r="F181" s="419"/>
      <c r="G181" s="420"/>
      <c r="H181" s="421">
        <f t="shared" ref="H181:S181" si="79">SUM(H171,H173,H175,H177,H180)</f>
        <v>540</v>
      </c>
      <c r="I181" s="422">
        <f t="shared" si="79"/>
        <v>556.80000000000007</v>
      </c>
      <c r="J181" s="422">
        <f t="shared" si="79"/>
        <v>2981.55</v>
      </c>
      <c r="K181" s="422">
        <f t="shared" si="79"/>
        <v>592.80000000000007</v>
      </c>
      <c r="L181" s="422">
        <f t="shared" si="79"/>
        <v>612</v>
      </c>
      <c r="M181" s="422">
        <f t="shared" si="79"/>
        <v>628.80000000000007</v>
      </c>
      <c r="N181" s="422">
        <f t="shared" si="79"/>
        <v>648</v>
      </c>
      <c r="O181" s="422">
        <f t="shared" si="79"/>
        <v>664.80000000000007</v>
      </c>
      <c r="P181" s="422">
        <f t="shared" si="79"/>
        <v>684</v>
      </c>
      <c r="Q181" s="422">
        <f t="shared" si="79"/>
        <v>700.80000000000007</v>
      </c>
      <c r="R181" s="422">
        <f t="shared" si="79"/>
        <v>720</v>
      </c>
      <c r="S181" s="422">
        <f t="shared" si="79"/>
        <v>736.80000000000007</v>
      </c>
      <c r="T181" s="423">
        <f>SUM(H181:S181)</f>
        <v>10066.35</v>
      </c>
    </row>
    <row r="182" spans="2:20" ht="17" thickBot="1" x14ac:dyDescent="0.25">
      <c r="B182" s="431"/>
      <c r="E182" s="8"/>
      <c r="F182" s="8"/>
      <c r="H182" s="382"/>
      <c r="I182" s="383"/>
      <c r="J182" s="383"/>
      <c r="K182" s="383"/>
      <c r="L182" s="383"/>
      <c r="M182" s="383"/>
      <c r="N182" s="383"/>
      <c r="O182" s="383"/>
      <c r="P182" s="383"/>
      <c r="Q182" s="383"/>
      <c r="R182" s="383"/>
      <c r="S182" s="383"/>
      <c r="T182" s="425"/>
    </row>
    <row r="183" spans="2:20" ht="17" thickTop="1" x14ac:dyDescent="0.2">
      <c r="B183" s="434" t="s">
        <v>23</v>
      </c>
      <c r="C183" s="237"/>
      <c r="D183" s="237"/>
      <c r="E183" s="237"/>
      <c r="F183" s="237"/>
      <c r="G183" s="237"/>
      <c r="H183" s="239">
        <f t="shared" ref="H183:S183" si="80">H157-H166-H181</f>
        <v>-3456.6507925333331</v>
      </c>
      <c r="I183" s="240">
        <f t="shared" si="80"/>
        <v>-2053.2841258666663</v>
      </c>
      <c r="J183" s="240">
        <f t="shared" si="80"/>
        <v>-3082.614125866668</v>
      </c>
      <c r="K183" s="240">
        <f t="shared" si="80"/>
        <v>727.13587413333187</v>
      </c>
      <c r="L183" s="240">
        <f t="shared" si="80"/>
        <v>2103.3558741333304</v>
      </c>
      <c r="M183" s="240">
        <f t="shared" si="80"/>
        <v>3507.5558741333298</v>
      </c>
      <c r="N183" s="240">
        <f t="shared" si="80"/>
        <v>4888.1025407999987</v>
      </c>
      <c r="O183" s="240">
        <f t="shared" si="80"/>
        <v>6283.642540799995</v>
      </c>
      <c r="P183" s="240">
        <f t="shared" si="80"/>
        <v>7668.5225407999969</v>
      </c>
      <c r="Q183" s="240">
        <f t="shared" si="80"/>
        <v>9084.0625407999942</v>
      </c>
      <c r="R183" s="240">
        <f t="shared" si="80"/>
        <v>10468.942540799995</v>
      </c>
      <c r="S183" s="240">
        <f t="shared" si="80"/>
        <v>11914.009207466666</v>
      </c>
      <c r="T183" s="251">
        <f>SUM(H183:S183)</f>
        <v>48052.780489599972</v>
      </c>
    </row>
    <row r="184" spans="2:20" x14ac:dyDescent="0.2">
      <c r="E184" s="8"/>
      <c r="F184" s="8"/>
      <c r="H184" s="382"/>
      <c r="I184" s="383"/>
      <c r="J184" s="383"/>
      <c r="K184" s="383"/>
      <c r="L184" s="383"/>
      <c r="M184" s="383"/>
      <c r="N184" s="383"/>
      <c r="O184" s="383"/>
      <c r="P184" s="383"/>
      <c r="Q184" s="383"/>
      <c r="R184" s="383"/>
      <c r="S184" s="383"/>
      <c r="T184" s="395"/>
    </row>
    <row r="185" spans="2:20" ht="20" x14ac:dyDescent="0.2">
      <c r="B185" s="116" t="s">
        <v>35</v>
      </c>
      <c r="C185" s="327"/>
      <c r="D185" s="327"/>
      <c r="E185" s="327" t="str">
        <f>$E$3</f>
        <v>Year 4 (2023)</v>
      </c>
      <c r="F185" s="327"/>
      <c r="G185" s="327"/>
      <c r="H185" s="360" t="s">
        <v>127</v>
      </c>
      <c r="I185" s="361" t="s">
        <v>128</v>
      </c>
      <c r="J185" s="361" t="s">
        <v>129</v>
      </c>
      <c r="K185" s="361" t="s">
        <v>130</v>
      </c>
      <c r="L185" s="361" t="s">
        <v>131</v>
      </c>
      <c r="M185" s="361" t="s">
        <v>132</v>
      </c>
      <c r="N185" s="361" t="s">
        <v>133</v>
      </c>
      <c r="O185" s="361" t="s">
        <v>134</v>
      </c>
      <c r="P185" s="361" t="s">
        <v>135</v>
      </c>
      <c r="Q185" s="361" t="s">
        <v>136</v>
      </c>
      <c r="R185" s="361" t="s">
        <v>137</v>
      </c>
      <c r="S185" s="361" t="s">
        <v>138</v>
      </c>
      <c r="T185" s="362" t="s">
        <v>179</v>
      </c>
    </row>
    <row r="186" spans="2:20" x14ac:dyDescent="0.2">
      <c r="B186" s="401"/>
      <c r="C186" s="402"/>
      <c r="D186" s="402"/>
      <c r="E186" s="402"/>
      <c r="F186" s="402"/>
      <c r="G186" s="403" t="s">
        <v>57</v>
      </c>
      <c r="H186" s="363">
        <f>H$4</f>
        <v>37</v>
      </c>
      <c r="I186" s="364">
        <f t="shared" ref="I186:S186" si="81">I$4</f>
        <v>38</v>
      </c>
      <c r="J186" s="364">
        <f t="shared" si="81"/>
        <v>39</v>
      </c>
      <c r="K186" s="364">
        <f t="shared" si="81"/>
        <v>40</v>
      </c>
      <c r="L186" s="364">
        <f t="shared" si="81"/>
        <v>41</v>
      </c>
      <c r="M186" s="364">
        <f t="shared" si="81"/>
        <v>42</v>
      </c>
      <c r="N186" s="364">
        <f t="shared" si="81"/>
        <v>43</v>
      </c>
      <c r="O186" s="364">
        <f t="shared" si="81"/>
        <v>44</v>
      </c>
      <c r="P186" s="364">
        <f t="shared" si="81"/>
        <v>45</v>
      </c>
      <c r="Q186" s="364">
        <f t="shared" si="81"/>
        <v>46</v>
      </c>
      <c r="R186" s="364">
        <f t="shared" si="81"/>
        <v>47</v>
      </c>
      <c r="S186" s="364">
        <f t="shared" si="81"/>
        <v>48</v>
      </c>
      <c r="T186" s="405" t="str">
        <f>"Total for " &amp; $E$3</f>
        <v>Total for Year 4 (2023)</v>
      </c>
    </row>
    <row r="187" spans="2:20" x14ac:dyDescent="0.2">
      <c r="B187" s="307" t="s">
        <v>289</v>
      </c>
      <c r="D187" s="8" t="s">
        <v>242</v>
      </c>
      <c r="E187" s="52" t="s">
        <v>241</v>
      </c>
      <c r="G187" s="8"/>
      <c r="H187" s="367"/>
      <c r="I187" s="368"/>
      <c r="J187" s="368"/>
      <c r="K187" s="368"/>
      <c r="L187" s="368"/>
      <c r="M187" s="368"/>
      <c r="N187" s="368"/>
      <c r="O187" s="368"/>
      <c r="P187" s="368"/>
      <c r="Q187" s="368"/>
      <c r="R187" s="368"/>
      <c r="S187" s="368"/>
      <c r="T187" s="427"/>
    </row>
    <row r="188" spans="2:20" x14ac:dyDescent="0.2">
      <c r="B188" s="428"/>
      <c r="C188" t="s">
        <v>238</v>
      </c>
      <c r="D188" s="453">
        <f>'Year 3'!D188</f>
        <v>1</v>
      </c>
      <c r="E188" s="452">
        <v>100000</v>
      </c>
      <c r="G188" s="8"/>
      <c r="H188" s="379">
        <f>IFERROR(INDEX($D188:$F188,MATCH(H$186,$D188,FALSE),2),0)</f>
        <v>0</v>
      </c>
      <c r="I188" s="380">
        <f t="shared" ref="I188:S188" si="82">IFERROR(INDEX($D188:$F188,MATCH(I$186,$D188,FALSE),2),0)</f>
        <v>0</v>
      </c>
      <c r="J188" s="380">
        <f t="shared" si="82"/>
        <v>0</v>
      </c>
      <c r="K188" s="380">
        <f t="shared" si="82"/>
        <v>0</v>
      </c>
      <c r="L188" s="380">
        <f t="shared" si="82"/>
        <v>0</v>
      </c>
      <c r="M188" s="380">
        <f t="shared" si="82"/>
        <v>0</v>
      </c>
      <c r="N188" s="380">
        <f t="shared" si="82"/>
        <v>0</v>
      </c>
      <c r="O188" s="380">
        <f t="shared" si="82"/>
        <v>0</v>
      </c>
      <c r="P188" s="380">
        <f t="shared" si="82"/>
        <v>0</v>
      </c>
      <c r="Q188" s="380">
        <f t="shared" si="82"/>
        <v>0</v>
      </c>
      <c r="R188" s="380">
        <f t="shared" si="82"/>
        <v>0</v>
      </c>
      <c r="S188" s="380">
        <f t="shared" si="82"/>
        <v>0</v>
      </c>
      <c r="T188" s="417">
        <f>SUM(H188:S188)</f>
        <v>0</v>
      </c>
    </row>
    <row r="189" spans="2:20" x14ac:dyDescent="0.2">
      <c r="B189" s="428"/>
      <c r="C189" t="s">
        <v>239</v>
      </c>
      <c r="D189" s="453">
        <f>'Year 3'!D189</f>
        <v>1</v>
      </c>
      <c r="E189" s="452">
        <v>1200000</v>
      </c>
      <c r="G189" s="8"/>
      <c r="H189" s="379">
        <f t="shared" ref="H189:S191" si="83">IFERROR(INDEX($D189:$F189,MATCH(H$186,$D189,FALSE),2),0)</f>
        <v>0</v>
      </c>
      <c r="I189" s="380">
        <f t="shared" si="83"/>
        <v>0</v>
      </c>
      <c r="J189" s="380">
        <f t="shared" si="83"/>
        <v>0</v>
      </c>
      <c r="K189" s="380">
        <f t="shared" si="83"/>
        <v>0</v>
      </c>
      <c r="L189" s="380">
        <f t="shared" si="83"/>
        <v>0</v>
      </c>
      <c r="M189" s="380">
        <f t="shared" si="83"/>
        <v>0</v>
      </c>
      <c r="N189" s="380">
        <f t="shared" si="83"/>
        <v>0</v>
      </c>
      <c r="O189" s="380">
        <f t="shared" si="83"/>
        <v>0</v>
      </c>
      <c r="P189" s="380">
        <f t="shared" si="83"/>
        <v>0</v>
      </c>
      <c r="Q189" s="380">
        <f t="shared" si="83"/>
        <v>0</v>
      </c>
      <c r="R189" s="380">
        <f t="shared" si="83"/>
        <v>0</v>
      </c>
      <c r="S189" s="380">
        <f t="shared" si="83"/>
        <v>0</v>
      </c>
      <c r="T189" s="417">
        <f t="shared" ref="T189:T191" si="84">SUM(H189:S189)</f>
        <v>0</v>
      </c>
    </row>
    <row r="190" spans="2:20" x14ac:dyDescent="0.2">
      <c r="B190" s="428"/>
      <c r="C190" t="s">
        <v>240</v>
      </c>
      <c r="D190" s="453">
        <f>'Year 3'!D190</f>
        <v>6</v>
      </c>
      <c r="E190" s="452">
        <v>23000</v>
      </c>
      <c r="G190" s="8"/>
      <c r="H190" s="379">
        <f t="shared" si="83"/>
        <v>0</v>
      </c>
      <c r="I190" s="380">
        <f t="shared" si="83"/>
        <v>0</v>
      </c>
      <c r="J190" s="380">
        <f t="shared" si="83"/>
        <v>0</v>
      </c>
      <c r="K190" s="380">
        <f t="shared" si="83"/>
        <v>0</v>
      </c>
      <c r="L190" s="380">
        <f t="shared" si="83"/>
        <v>0</v>
      </c>
      <c r="M190" s="380">
        <f t="shared" si="83"/>
        <v>0</v>
      </c>
      <c r="N190" s="380">
        <f t="shared" si="83"/>
        <v>0</v>
      </c>
      <c r="O190" s="380">
        <f t="shared" si="83"/>
        <v>0</v>
      </c>
      <c r="P190" s="380">
        <f t="shared" si="83"/>
        <v>0</v>
      </c>
      <c r="Q190" s="380">
        <f t="shared" si="83"/>
        <v>0</v>
      </c>
      <c r="R190" s="380">
        <f t="shared" si="83"/>
        <v>0</v>
      </c>
      <c r="S190" s="380">
        <f t="shared" si="83"/>
        <v>0</v>
      </c>
      <c r="T190" s="417">
        <f t="shared" si="84"/>
        <v>0</v>
      </c>
    </row>
    <row r="191" spans="2:20" x14ac:dyDescent="0.2">
      <c r="B191" s="428"/>
      <c r="C191" t="s">
        <v>24</v>
      </c>
      <c r="D191" s="453">
        <f>'Year 3'!D191</f>
        <v>2</v>
      </c>
      <c r="E191" s="452">
        <v>3000</v>
      </c>
      <c r="G191" s="8"/>
      <c r="H191" s="379">
        <f t="shared" si="83"/>
        <v>0</v>
      </c>
      <c r="I191" s="380">
        <f t="shared" si="83"/>
        <v>0</v>
      </c>
      <c r="J191" s="380">
        <f t="shared" si="83"/>
        <v>0</v>
      </c>
      <c r="K191" s="380">
        <f t="shared" si="83"/>
        <v>0</v>
      </c>
      <c r="L191" s="380">
        <f t="shared" si="83"/>
        <v>0</v>
      </c>
      <c r="M191" s="380">
        <f t="shared" si="83"/>
        <v>0</v>
      </c>
      <c r="N191" s="380">
        <f t="shared" si="83"/>
        <v>0</v>
      </c>
      <c r="O191" s="380">
        <f t="shared" si="83"/>
        <v>0</v>
      </c>
      <c r="P191" s="380">
        <f t="shared" si="83"/>
        <v>0</v>
      </c>
      <c r="Q191" s="380">
        <f t="shared" si="83"/>
        <v>0</v>
      </c>
      <c r="R191" s="380">
        <f t="shared" si="83"/>
        <v>0</v>
      </c>
      <c r="S191" s="380">
        <f t="shared" si="83"/>
        <v>0</v>
      </c>
      <c r="T191" s="417">
        <f t="shared" si="84"/>
        <v>0</v>
      </c>
    </row>
    <row r="192" spans="2:20" ht="16" customHeight="1" x14ac:dyDescent="0.2">
      <c r="B192" s="428"/>
      <c r="D192" s="37"/>
      <c r="E192" s="53"/>
      <c r="G192" s="8"/>
      <c r="H192" s="367"/>
      <c r="I192" s="368"/>
      <c r="J192" s="368"/>
      <c r="K192" s="396"/>
      <c r="L192" s="368"/>
      <c r="M192" s="368"/>
      <c r="N192" s="397"/>
      <c r="O192" s="368"/>
      <c r="P192" s="368"/>
      <c r="Q192" s="368"/>
      <c r="R192" s="368"/>
      <c r="S192" s="368"/>
      <c r="T192" s="427"/>
    </row>
    <row r="193" spans="2:20" x14ac:dyDescent="0.2">
      <c r="B193" s="307" t="s">
        <v>288</v>
      </c>
      <c r="D193" s="52" t="s">
        <v>241</v>
      </c>
      <c r="E193" s="8" t="s">
        <v>242</v>
      </c>
      <c r="F193" t="s">
        <v>243</v>
      </c>
      <c r="G193" s="8"/>
      <c r="H193" s="367"/>
      <c r="I193" s="368"/>
      <c r="J193" s="368"/>
      <c r="K193" s="368"/>
      <c r="L193" s="368"/>
      <c r="M193" s="368"/>
      <c r="N193" s="368"/>
      <c r="O193" s="368"/>
      <c r="P193" s="368"/>
      <c r="Q193" s="368"/>
      <c r="R193" s="368"/>
      <c r="S193" s="368"/>
      <c r="T193" s="427"/>
    </row>
    <row r="194" spans="2:20" x14ac:dyDescent="0.2">
      <c r="B194" s="308"/>
      <c r="C194" t="s">
        <v>238</v>
      </c>
      <c r="D194" s="452">
        <f>'Year 3'!$D194</f>
        <v>1200</v>
      </c>
      <c r="E194" s="453">
        <f>CEILING('Year 3'!$S$186,$F194)+'Year 3'!$E194-IFERROR(FLOOR('Year 3'!$E194,F194),0)</f>
        <v>43</v>
      </c>
      <c r="F194" s="453">
        <f>'Year 3'!$F194</f>
        <v>7</v>
      </c>
      <c r="H194" s="379">
        <f>IFERROR(IF(INT((H$186-$E194)/$F194)=(H$186-$E194)/$F194,$D194,0),0)</f>
        <v>0</v>
      </c>
      <c r="I194" s="380">
        <f t="shared" ref="I194:S199" si="85">IF(I$186=$E194,$D194,IFERROR(IF(INT((I$186-$E194)/$F194)=(I$186-$E194)/$F194,$D194,0),0))</f>
        <v>0</v>
      </c>
      <c r="J194" s="380">
        <f t="shared" si="85"/>
        <v>0</v>
      </c>
      <c r="K194" s="380">
        <f t="shared" si="85"/>
        <v>0</v>
      </c>
      <c r="L194" s="380">
        <f t="shared" si="85"/>
        <v>0</v>
      </c>
      <c r="M194" s="380">
        <f t="shared" si="85"/>
        <v>0</v>
      </c>
      <c r="N194" s="380">
        <f t="shared" si="85"/>
        <v>1200</v>
      </c>
      <c r="O194" s="380">
        <f t="shared" si="85"/>
        <v>0</v>
      </c>
      <c r="P194" s="380">
        <f t="shared" si="85"/>
        <v>0</v>
      </c>
      <c r="Q194" s="380">
        <f t="shared" si="85"/>
        <v>0</v>
      </c>
      <c r="R194" s="380">
        <f t="shared" si="85"/>
        <v>0</v>
      </c>
      <c r="S194" s="380">
        <f t="shared" si="85"/>
        <v>0</v>
      </c>
      <c r="T194" s="417">
        <f t="shared" ref="T194:T199" si="86">SUM(H194:S194)</f>
        <v>1200</v>
      </c>
    </row>
    <row r="195" spans="2:20" x14ac:dyDescent="0.2">
      <c r="B195" s="308"/>
      <c r="C195" t="s">
        <v>239</v>
      </c>
      <c r="D195" s="452">
        <f>'Year 3'!$D195</f>
        <v>1000</v>
      </c>
      <c r="E195" s="453">
        <f>CEILING('Year 3'!$S$186,$F195)+'Year 3'!$E195-IFERROR(FLOOR('Year 3'!$E195,F195),0)</f>
        <v>43</v>
      </c>
      <c r="F195" s="453">
        <f>'Year 3'!$F195</f>
        <v>5</v>
      </c>
      <c r="H195" s="379">
        <f t="shared" ref="H195:H199" si="87">IF(H$186=$E195,$D195,IFERROR(IF(INT((H$186-$E195)/$F195)=(H$186-$E195)/$F195,$D195,0),0))</f>
        <v>0</v>
      </c>
      <c r="I195" s="380">
        <f t="shared" si="85"/>
        <v>1000</v>
      </c>
      <c r="J195" s="380">
        <f t="shared" si="85"/>
        <v>0</v>
      </c>
      <c r="K195" s="380">
        <f t="shared" si="85"/>
        <v>0</v>
      </c>
      <c r="L195" s="380">
        <f t="shared" si="85"/>
        <v>0</v>
      </c>
      <c r="M195" s="380">
        <f t="shared" si="85"/>
        <v>0</v>
      </c>
      <c r="N195" s="380">
        <f t="shared" si="85"/>
        <v>1000</v>
      </c>
      <c r="O195" s="380">
        <f t="shared" si="85"/>
        <v>0</v>
      </c>
      <c r="P195" s="380">
        <f t="shared" si="85"/>
        <v>0</v>
      </c>
      <c r="Q195" s="380">
        <f t="shared" si="85"/>
        <v>0</v>
      </c>
      <c r="R195" s="380">
        <f t="shared" si="85"/>
        <v>0</v>
      </c>
      <c r="S195" s="380">
        <f t="shared" si="85"/>
        <v>1000</v>
      </c>
      <c r="T195" s="417">
        <f t="shared" si="86"/>
        <v>3000</v>
      </c>
    </row>
    <row r="196" spans="2:20" x14ac:dyDescent="0.2">
      <c r="B196" s="308"/>
      <c r="C196" t="s">
        <v>240</v>
      </c>
      <c r="D196" s="452">
        <f>'Year 3'!$D196</f>
        <v>1000</v>
      </c>
      <c r="E196" s="453">
        <f>CEILING('Year 3'!$S$186,$F196)+'Year 3'!$E196-IFERROR(FLOOR('Year 3'!$E196,F196),0)</f>
        <v>37</v>
      </c>
      <c r="F196" s="453">
        <f>'Year 3'!$F196</f>
        <v>12</v>
      </c>
      <c r="H196" s="379">
        <f t="shared" si="87"/>
        <v>1000</v>
      </c>
      <c r="I196" s="380">
        <f t="shared" si="85"/>
        <v>0</v>
      </c>
      <c r="J196" s="380">
        <f t="shared" si="85"/>
        <v>0</v>
      </c>
      <c r="K196" s="380">
        <f t="shared" si="85"/>
        <v>0</v>
      </c>
      <c r="L196" s="380">
        <f t="shared" si="85"/>
        <v>0</v>
      </c>
      <c r="M196" s="380">
        <f t="shared" si="85"/>
        <v>0</v>
      </c>
      <c r="N196" s="380">
        <f t="shared" si="85"/>
        <v>0</v>
      </c>
      <c r="O196" s="380">
        <f t="shared" si="85"/>
        <v>0</v>
      </c>
      <c r="P196" s="380">
        <f t="shared" si="85"/>
        <v>0</v>
      </c>
      <c r="Q196" s="380">
        <f t="shared" si="85"/>
        <v>0</v>
      </c>
      <c r="R196" s="380">
        <f t="shared" si="85"/>
        <v>0</v>
      </c>
      <c r="S196" s="380">
        <f t="shared" si="85"/>
        <v>0</v>
      </c>
      <c r="T196" s="417">
        <f t="shared" si="86"/>
        <v>1000</v>
      </c>
    </row>
    <row r="197" spans="2:20" x14ac:dyDescent="0.2">
      <c r="B197" s="308"/>
      <c r="C197" t="s">
        <v>36</v>
      </c>
      <c r="D197" s="452">
        <f>'Year 3'!$D197</f>
        <v>3000</v>
      </c>
      <c r="E197" s="453">
        <f>CEILING('Year 3'!$S$186,$F197)+'Year 3'!$E197-IFERROR(FLOOR('Year 3'!$E197,F197),0)</f>
        <v>37</v>
      </c>
      <c r="F197" s="453">
        <f>'Year 3'!$F197</f>
        <v>6</v>
      </c>
      <c r="H197" s="379">
        <f t="shared" si="87"/>
        <v>3000</v>
      </c>
      <c r="I197" s="380">
        <f t="shared" si="85"/>
        <v>0</v>
      </c>
      <c r="J197" s="380">
        <f t="shared" si="85"/>
        <v>0</v>
      </c>
      <c r="K197" s="380">
        <f t="shared" si="85"/>
        <v>0</v>
      </c>
      <c r="L197" s="380">
        <f t="shared" si="85"/>
        <v>0</v>
      </c>
      <c r="M197" s="380">
        <f t="shared" si="85"/>
        <v>0</v>
      </c>
      <c r="N197" s="380">
        <f t="shared" si="85"/>
        <v>3000</v>
      </c>
      <c r="O197" s="380">
        <f t="shared" si="85"/>
        <v>0</v>
      </c>
      <c r="P197" s="380">
        <f t="shared" si="85"/>
        <v>0</v>
      </c>
      <c r="Q197" s="380">
        <f t="shared" si="85"/>
        <v>0</v>
      </c>
      <c r="R197" s="380">
        <f t="shared" si="85"/>
        <v>0</v>
      </c>
      <c r="S197" s="380">
        <f t="shared" si="85"/>
        <v>0</v>
      </c>
      <c r="T197" s="417">
        <f t="shared" si="86"/>
        <v>6000</v>
      </c>
    </row>
    <row r="198" spans="2:20" x14ac:dyDescent="0.2">
      <c r="B198" s="308"/>
      <c r="C198" t="s">
        <v>37</v>
      </c>
      <c r="D198" s="452">
        <f>'Year 3'!$D198</f>
        <v>900</v>
      </c>
      <c r="E198" s="453">
        <f>CEILING('Year 3'!$S$186,$F198)+'Year 3'!$E198-IFERROR(FLOOR('Year 3'!$E198,F198),0)</f>
        <v>1</v>
      </c>
      <c r="F198" s="453">
        <f>'Year 3'!$F198</f>
        <v>0</v>
      </c>
      <c r="H198" s="379">
        <f t="shared" si="87"/>
        <v>0</v>
      </c>
      <c r="I198" s="380">
        <f t="shared" si="85"/>
        <v>0</v>
      </c>
      <c r="J198" s="380">
        <f t="shared" si="85"/>
        <v>0</v>
      </c>
      <c r="K198" s="380">
        <f t="shared" si="85"/>
        <v>0</v>
      </c>
      <c r="L198" s="380">
        <f t="shared" si="85"/>
        <v>0</v>
      </c>
      <c r="M198" s="380">
        <f t="shared" si="85"/>
        <v>0</v>
      </c>
      <c r="N198" s="380">
        <f t="shared" si="85"/>
        <v>0</v>
      </c>
      <c r="O198" s="380">
        <f t="shared" si="85"/>
        <v>0</v>
      </c>
      <c r="P198" s="380">
        <f t="shared" si="85"/>
        <v>0</v>
      </c>
      <c r="Q198" s="380">
        <f t="shared" si="85"/>
        <v>0</v>
      </c>
      <c r="R198" s="380">
        <f t="shared" si="85"/>
        <v>0</v>
      </c>
      <c r="S198" s="380">
        <f t="shared" si="85"/>
        <v>0</v>
      </c>
      <c r="T198" s="417">
        <f t="shared" si="86"/>
        <v>0</v>
      </c>
    </row>
    <row r="199" spans="2:20" ht="17" thickBot="1" x14ac:dyDescent="0.25">
      <c r="B199" s="308"/>
      <c r="C199" s="24" t="s">
        <v>38</v>
      </c>
      <c r="D199" s="452">
        <f>'Year 3'!$D199</f>
        <v>15000</v>
      </c>
      <c r="E199" s="453">
        <f>CEILING('Year 3'!$S$186,$F199)+'Year 3'!$E199-IFERROR(FLOOR('Year 3'!$E199,F199),0)</f>
        <v>49</v>
      </c>
      <c r="F199" s="453">
        <f>'Year 3'!$F199</f>
        <v>24</v>
      </c>
      <c r="H199" s="379">
        <f t="shared" si="87"/>
        <v>0</v>
      </c>
      <c r="I199" s="380">
        <f t="shared" si="85"/>
        <v>0</v>
      </c>
      <c r="J199" s="380">
        <f t="shared" si="85"/>
        <v>0</v>
      </c>
      <c r="K199" s="380">
        <f t="shared" si="85"/>
        <v>0</v>
      </c>
      <c r="L199" s="380">
        <f t="shared" si="85"/>
        <v>0</v>
      </c>
      <c r="M199" s="380">
        <f t="shared" si="85"/>
        <v>0</v>
      </c>
      <c r="N199" s="380">
        <f t="shared" si="85"/>
        <v>0</v>
      </c>
      <c r="O199" s="380">
        <f t="shared" si="85"/>
        <v>0</v>
      </c>
      <c r="P199" s="380">
        <f t="shared" si="85"/>
        <v>0</v>
      </c>
      <c r="Q199" s="380">
        <f t="shared" si="85"/>
        <v>0</v>
      </c>
      <c r="R199" s="380">
        <f t="shared" si="85"/>
        <v>0</v>
      </c>
      <c r="S199" s="380">
        <f t="shared" si="85"/>
        <v>0</v>
      </c>
      <c r="T199" s="417">
        <f t="shared" si="86"/>
        <v>0</v>
      </c>
    </row>
    <row r="200" spans="2:20" ht="17" thickTop="1" x14ac:dyDescent="0.2">
      <c r="B200" s="250" t="s">
        <v>39</v>
      </c>
      <c r="C200" s="237"/>
      <c r="D200" s="237"/>
      <c r="E200" s="237"/>
      <c r="F200" s="237"/>
      <c r="G200" s="237"/>
      <c r="H200" s="239">
        <f>SUM(H188:H199)</f>
        <v>4000</v>
      </c>
      <c r="I200" s="240">
        <f t="shared" ref="I200:S200" si="88">SUM(I188:I199)</f>
        <v>1000</v>
      </c>
      <c r="J200" s="240">
        <f t="shared" si="88"/>
        <v>0</v>
      </c>
      <c r="K200" s="240">
        <f t="shared" si="88"/>
        <v>0</v>
      </c>
      <c r="L200" s="240">
        <f t="shared" si="88"/>
        <v>0</v>
      </c>
      <c r="M200" s="240">
        <f t="shared" si="88"/>
        <v>0</v>
      </c>
      <c r="N200" s="240">
        <f t="shared" si="88"/>
        <v>5200</v>
      </c>
      <c r="O200" s="240">
        <f t="shared" si="88"/>
        <v>0</v>
      </c>
      <c r="P200" s="240">
        <f t="shared" si="88"/>
        <v>0</v>
      </c>
      <c r="Q200" s="240">
        <f t="shared" si="88"/>
        <v>0</v>
      </c>
      <c r="R200" s="240">
        <f t="shared" si="88"/>
        <v>0</v>
      </c>
      <c r="S200" s="240">
        <f t="shared" si="88"/>
        <v>1000</v>
      </c>
      <c r="T200" s="251">
        <f>SUM(H200:S200)</f>
        <v>11200</v>
      </c>
    </row>
    <row r="201" spans="2:20" x14ac:dyDescent="0.2">
      <c r="H201" s="367"/>
      <c r="I201" s="368"/>
      <c r="J201" s="368"/>
      <c r="K201" s="368"/>
      <c r="L201" s="368"/>
      <c r="M201" s="368"/>
      <c r="N201" s="368"/>
      <c r="O201" s="368"/>
      <c r="P201" s="368"/>
      <c r="Q201" s="368"/>
      <c r="R201" s="368"/>
      <c r="S201" s="368"/>
      <c r="T201" s="381"/>
    </row>
    <row r="202" spans="2:20" ht="20" x14ac:dyDescent="0.2">
      <c r="B202" s="116" t="s">
        <v>41</v>
      </c>
      <c r="C202" s="327"/>
      <c r="D202" s="327"/>
      <c r="E202" s="327" t="str">
        <f>$E$3</f>
        <v>Year 4 (2023)</v>
      </c>
      <c r="F202" s="327"/>
      <c r="G202" s="327"/>
      <c r="H202" s="360" t="s">
        <v>127</v>
      </c>
      <c r="I202" s="361" t="s">
        <v>128</v>
      </c>
      <c r="J202" s="361" t="s">
        <v>129</v>
      </c>
      <c r="K202" s="361" t="s">
        <v>130</v>
      </c>
      <c r="L202" s="361" t="s">
        <v>131</v>
      </c>
      <c r="M202" s="361" t="s">
        <v>132</v>
      </c>
      <c r="N202" s="361" t="s">
        <v>133</v>
      </c>
      <c r="O202" s="361" t="s">
        <v>134</v>
      </c>
      <c r="P202" s="361" t="s">
        <v>135</v>
      </c>
      <c r="Q202" s="361" t="s">
        <v>136</v>
      </c>
      <c r="R202" s="361" t="s">
        <v>137</v>
      </c>
      <c r="S202" s="361" t="s">
        <v>138</v>
      </c>
      <c r="T202" s="362" t="s">
        <v>179</v>
      </c>
    </row>
    <row r="203" spans="2:20" x14ac:dyDescent="0.2">
      <c r="B203" s="401"/>
      <c r="C203" s="402"/>
      <c r="D203" s="402"/>
      <c r="E203" s="402"/>
      <c r="F203" s="402"/>
      <c r="G203" s="403" t="s">
        <v>57</v>
      </c>
      <c r="H203" s="363">
        <f>H$4</f>
        <v>37</v>
      </c>
      <c r="I203" s="364">
        <f t="shared" ref="I203:S203" si="89">I$4</f>
        <v>38</v>
      </c>
      <c r="J203" s="364">
        <f t="shared" si="89"/>
        <v>39</v>
      </c>
      <c r="K203" s="364">
        <f t="shared" si="89"/>
        <v>40</v>
      </c>
      <c r="L203" s="364">
        <f t="shared" si="89"/>
        <v>41</v>
      </c>
      <c r="M203" s="364">
        <f t="shared" si="89"/>
        <v>42</v>
      </c>
      <c r="N203" s="364">
        <f t="shared" si="89"/>
        <v>43</v>
      </c>
      <c r="O203" s="364">
        <f t="shared" si="89"/>
        <v>44</v>
      </c>
      <c r="P203" s="364">
        <f t="shared" si="89"/>
        <v>45</v>
      </c>
      <c r="Q203" s="364">
        <f t="shared" si="89"/>
        <v>46</v>
      </c>
      <c r="R203" s="364">
        <f t="shared" si="89"/>
        <v>47</v>
      </c>
      <c r="S203" s="364">
        <f t="shared" si="89"/>
        <v>48</v>
      </c>
      <c r="T203" s="405" t="str">
        <f>"Total for " &amp; $E$3</f>
        <v>Total for Year 4 (2023)</v>
      </c>
    </row>
    <row r="204" spans="2:20" x14ac:dyDescent="0.2">
      <c r="B204" s="307" t="s">
        <v>149</v>
      </c>
      <c r="E204" s="24" t="s">
        <v>42</v>
      </c>
      <c r="H204" s="367"/>
      <c r="I204" s="368"/>
      <c r="J204" s="368"/>
      <c r="K204" s="368"/>
      <c r="L204" s="368"/>
      <c r="M204" s="368"/>
      <c r="N204" s="368"/>
      <c r="O204" s="368"/>
      <c r="P204" s="368"/>
      <c r="Q204" s="368"/>
      <c r="R204" s="368"/>
      <c r="S204" s="368"/>
      <c r="T204" s="407"/>
    </row>
    <row r="205" spans="2:20" x14ac:dyDescent="0.2">
      <c r="B205" s="307"/>
      <c r="C205" t="str">
        <f>"Receivable days for "&amp;$B6</f>
        <v>Receivable days for Product Revenue</v>
      </c>
      <c r="E205" s="453">
        <f>'Year 3'!E205</f>
        <v>30</v>
      </c>
      <c r="H205" s="379">
        <f t="shared" ref="H205:S205" si="90">H$12*$E205/30</f>
        <v>27840</v>
      </c>
      <c r="I205" s="380">
        <f t="shared" si="90"/>
        <v>28800</v>
      </c>
      <c r="J205" s="380">
        <f t="shared" si="90"/>
        <v>29640</v>
      </c>
      <c r="K205" s="380">
        <f t="shared" si="90"/>
        <v>30600</v>
      </c>
      <c r="L205" s="380">
        <f t="shared" si="90"/>
        <v>31440</v>
      </c>
      <c r="M205" s="380">
        <f t="shared" si="90"/>
        <v>32400</v>
      </c>
      <c r="N205" s="380">
        <f t="shared" si="90"/>
        <v>33240</v>
      </c>
      <c r="O205" s="380">
        <f t="shared" si="90"/>
        <v>34200</v>
      </c>
      <c r="P205" s="380">
        <f t="shared" si="90"/>
        <v>35040</v>
      </c>
      <c r="Q205" s="380">
        <f t="shared" si="90"/>
        <v>36000</v>
      </c>
      <c r="R205" s="380">
        <f t="shared" si="90"/>
        <v>36840</v>
      </c>
      <c r="S205" s="380">
        <f t="shared" si="90"/>
        <v>37800</v>
      </c>
      <c r="T205" s="417">
        <f>SUM(H205:S205)</f>
        <v>393840</v>
      </c>
    </row>
    <row r="206" spans="2:20" x14ac:dyDescent="0.2">
      <c r="B206" s="307"/>
      <c r="C206" t="str">
        <f>"Receivable days for "&amp;$B14</f>
        <v>Receivable days for Service Revenue</v>
      </c>
      <c r="E206" s="453">
        <f>'Year 3'!E206</f>
        <v>0</v>
      </c>
      <c r="H206" s="379">
        <f t="shared" ref="H206:S206" si="91">H$20*$E206/30</f>
        <v>0</v>
      </c>
      <c r="I206" s="380">
        <f t="shared" si="91"/>
        <v>0</v>
      </c>
      <c r="J206" s="380">
        <f t="shared" si="91"/>
        <v>0</v>
      </c>
      <c r="K206" s="380">
        <f t="shared" si="91"/>
        <v>0</v>
      </c>
      <c r="L206" s="380">
        <f t="shared" si="91"/>
        <v>0</v>
      </c>
      <c r="M206" s="380">
        <f t="shared" si="91"/>
        <v>0</v>
      </c>
      <c r="N206" s="380">
        <f t="shared" si="91"/>
        <v>0</v>
      </c>
      <c r="O206" s="380">
        <f t="shared" si="91"/>
        <v>0</v>
      </c>
      <c r="P206" s="380">
        <f t="shared" si="91"/>
        <v>0</v>
      </c>
      <c r="Q206" s="380">
        <f t="shared" si="91"/>
        <v>0</v>
      </c>
      <c r="R206" s="380">
        <f t="shared" si="91"/>
        <v>0</v>
      </c>
      <c r="S206" s="380">
        <f t="shared" si="91"/>
        <v>0</v>
      </c>
      <c r="T206" s="417">
        <f t="shared" ref="T206:T208" si="92">SUM(H206:S206)</f>
        <v>0</v>
      </c>
    </row>
    <row r="207" spans="2:20" x14ac:dyDescent="0.2">
      <c r="B207" s="307"/>
      <c r="C207" t="str">
        <f>"Receivable days for "&amp;$B22</f>
        <v>Receivable days for Billable Hours Revenue</v>
      </c>
      <c r="E207" s="453">
        <f>'Year 3'!E207</f>
        <v>15</v>
      </c>
      <c r="H207" s="379">
        <f t="shared" ref="H207:S207" si="93">H$28*$E207/30</f>
        <v>11775</v>
      </c>
      <c r="I207" s="380">
        <f t="shared" si="93"/>
        <v>12300</v>
      </c>
      <c r="J207" s="380">
        <f t="shared" si="93"/>
        <v>12900</v>
      </c>
      <c r="K207" s="380">
        <f t="shared" si="93"/>
        <v>13425</v>
      </c>
      <c r="L207" s="380">
        <f t="shared" si="93"/>
        <v>14025</v>
      </c>
      <c r="M207" s="380">
        <f t="shared" si="93"/>
        <v>14550</v>
      </c>
      <c r="N207" s="380">
        <f t="shared" si="93"/>
        <v>15150</v>
      </c>
      <c r="O207" s="380">
        <f t="shared" si="93"/>
        <v>15675</v>
      </c>
      <c r="P207" s="380">
        <f t="shared" si="93"/>
        <v>16275</v>
      </c>
      <c r="Q207" s="380">
        <f t="shared" si="93"/>
        <v>16800</v>
      </c>
      <c r="R207" s="380">
        <f t="shared" si="93"/>
        <v>17400</v>
      </c>
      <c r="S207" s="380">
        <f t="shared" si="93"/>
        <v>17962.5</v>
      </c>
      <c r="T207" s="417">
        <f t="shared" si="92"/>
        <v>178237.5</v>
      </c>
    </row>
    <row r="208" spans="2:20" ht="17" thickBot="1" x14ac:dyDescent="0.25">
      <c r="B208" s="308"/>
      <c r="C208" t="str">
        <f>"Receivable days for "&amp;$B30</f>
        <v>Receivable days for Subscription Revenue</v>
      </c>
      <c r="E208" s="453">
        <f>'Year 3'!E208</f>
        <v>30</v>
      </c>
      <c r="H208" s="379">
        <f t="shared" ref="H208:S208" si="94">H$39*$E208/30</f>
        <v>894</v>
      </c>
      <c r="I208" s="380">
        <f t="shared" si="94"/>
        <v>894</v>
      </c>
      <c r="J208" s="380">
        <f t="shared" si="94"/>
        <v>894</v>
      </c>
      <c r="K208" s="380">
        <f t="shared" si="94"/>
        <v>894</v>
      </c>
      <c r="L208" s="380">
        <f t="shared" si="94"/>
        <v>894</v>
      </c>
      <c r="M208" s="380">
        <f t="shared" si="94"/>
        <v>894</v>
      </c>
      <c r="N208" s="380">
        <f t="shared" si="94"/>
        <v>894</v>
      </c>
      <c r="O208" s="380">
        <f t="shared" si="94"/>
        <v>894</v>
      </c>
      <c r="P208" s="380">
        <f t="shared" si="94"/>
        <v>894</v>
      </c>
      <c r="Q208" s="380">
        <f t="shared" si="94"/>
        <v>894</v>
      </c>
      <c r="R208" s="380">
        <f t="shared" si="94"/>
        <v>894</v>
      </c>
      <c r="S208" s="380">
        <f t="shared" si="94"/>
        <v>894</v>
      </c>
      <c r="T208" s="417">
        <f t="shared" si="92"/>
        <v>10728</v>
      </c>
    </row>
    <row r="209" spans="2:20" ht="17" thickTop="1" x14ac:dyDescent="0.2">
      <c r="B209" s="418" t="s">
        <v>151</v>
      </c>
      <c r="C209" s="419"/>
      <c r="D209" s="419"/>
      <c r="E209" s="419"/>
      <c r="F209" s="419"/>
      <c r="G209" s="420"/>
      <c r="H209" s="421">
        <f>SUM(H205:H208)</f>
        <v>40509</v>
      </c>
      <c r="I209" s="422">
        <f t="shared" ref="I209:S209" si="95">SUM(I205:I208)</f>
        <v>41994</v>
      </c>
      <c r="J209" s="422">
        <f t="shared" si="95"/>
        <v>43434</v>
      </c>
      <c r="K209" s="422">
        <f t="shared" si="95"/>
        <v>44919</v>
      </c>
      <c r="L209" s="422">
        <f t="shared" si="95"/>
        <v>46359</v>
      </c>
      <c r="M209" s="422">
        <f t="shared" si="95"/>
        <v>47844</v>
      </c>
      <c r="N209" s="422">
        <f t="shared" si="95"/>
        <v>49284</v>
      </c>
      <c r="O209" s="422">
        <f t="shared" si="95"/>
        <v>50769</v>
      </c>
      <c r="P209" s="422">
        <f t="shared" si="95"/>
        <v>52209</v>
      </c>
      <c r="Q209" s="422">
        <f t="shared" si="95"/>
        <v>53694</v>
      </c>
      <c r="R209" s="422">
        <f t="shared" si="95"/>
        <v>55134</v>
      </c>
      <c r="S209" s="422">
        <f t="shared" si="95"/>
        <v>56656.5</v>
      </c>
      <c r="T209" s="423">
        <f>SUM(H209:S209)</f>
        <v>582805.5</v>
      </c>
    </row>
    <row r="210" spans="2:20" x14ac:dyDescent="0.2">
      <c r="B210" s="308"/>
      <c r="C210" s="40"/>
      <c r="E210" s="44"/>
      <c r="H210" s="379"/>
      <c r="I210" s="380"/>
      <c r="J210" s="380"/>
      <c r="K210" s="380"/>
      <c r="L210" s="380"/>
      <c r="M210" s="380"/>
      <c r="N210" s="380"/>
      <c r="O210" s="380"/>
      <c r="P210" s="380"/>
      <c r="Q210" s="380"/>
      <c r="R210" s="380"/>
      <c r="S210" s="380"/>
      <c r="T210" s="417"/>
    </row>
    <row r="211" spans="2:20" x14ac:dyDescent="0.2">
      <c r="B211" s="307" t="s">
        <v>371</v>
      </c>
      <c r="E211" t="s">
        <v>373</v>
      </c>
      <c r="G211" s="13"/>
      <c r="H211" s="370"/>
      <c r="I211" s="371"/>
      <c r="J211" s="371"/>
      <c r="K211" s="371"/>
      <c r="L211" s="371"/>
      <c r="M211" s="371"/>
      <c r="N211" s="371"/>
      <c r="O211" s="371"/>
      <c r="P211" s="371"/>
      <c r="Q211" s="371"/>
      <c r="R211" s="371"/>
      <c r="S211" s="372"/>
      <c r="T211" s="410"/>
    </row>
    <row r="212" spans="2:20" ht="17" thickBot="1" x14ac:dyDescent="0.25">
      <c r="B212" s="307"/>
      <c r="C212" t="s">
        <v>372</v>
      </c>
      <c r="E212" s="454">
        <v>0.3</v>
      </c>
      <c r="G212" s="13" t="s">
        <v>375</v>
      </c>
      <c r="H212" s="460"/>
      <c r="I212" s="461"/>
      <c r="J212" s="461"/>
      <c r="K212" s="461"/>
      <c r="L212" s="461"/>
      <c r="M212" s="461"/>
      <c r="N212" s="461"/>
      <c r="O212" s="461"/>
      <c r="P212" s="461"/>
      <c r="Q212" s="461"/>
      <c r="R212" s="461"/>
      <c r="S212" s="461"/>
      <c r="T212" s="417" t="str">
        <f>IF(SUM($H$212:$S$212)=0,"",SUM($H$212:$S$212))</f>
        <v/>
      </c>
    </row>
    <row r="213" spans="2:20" ht="17" thickTop="1" x14ac:dyDescent="0.2">
      <c r="B213" s="418" t="s">
        <v>374</v>
      </c>
      <c r="C213" s="419"/>
      <c r="D213" s="419"/>
      <c r="E213" s="419"/>
      <c r="F213" s="419"/>
      <c r="G213" s="420"/>
      <c r="H213" s="421">
        <f>IF(H$212="",$E$212*H$12,"")</f>
        <v>8352</v>
      </c>
      <c r="I213" s="422">
        <f t="shared" ref="I213:S213" si="96">IF(I$212="",$E$212*I$12,"")</f>
        <v>8640</v>
      </c>
      <c r="J213" s="422">
        <f t="shared" si="96"/>
        <v>8892</v>
      </c>
      <c r="K213" s="422">
        <f t="shared" si="96"/>
        <v>9180</v>
      </c>
      <c r="L213" s="422">
        <f t="shared" si="96"/>
        <v>9432</v>
      </c>
      <c r="M213" s="422">
        <f t="shared" si="96"/>
        <v>9720</v>
      </c>
      <c r="N213" s="422">
        <f t="shared" si="96"/>
        <v>9972</v>
      </c>
      <c r="O213" s="422">
        <f t="shared" si="96"/>
        <v>10260</v>
      </c>
      <c r="P213" s="422">
        <f t="shared" si="96"/>
        <v>10512</v>
      </c>
      <c r="Q213" s="422">
        <f t="shared" si="96"/>
        <v>10800</v>
      </c>
      <c r="R213" s="422">
        <f t="shared" si="96"/>
        <v>11052</v>
      </c>
      <c r="S213" s="422">
        <f t="shared" si="96"/>
        <v>11340</v>
      </c>
      <c r="T213" s="423">
        <f>IFERROR(SUM(H213:S213)+T212,SUM(H213:S213))</f>
        <v>118152</v>
      </c>
    </row>
    <row r="214" spans="2:20" x14ac:dyDescent="0.2">
      <c r="B214" s="308"/>
      <c r="C214" s="40"/>
      <c r="E214" s="44"/>
      <c r="H214" s="379"/>
      <c r="I214" s="380"/>
      <c r="J214" s="380"/>
      <c r="K214" s="380"/>
      <c r="L214" s="380"/>
      <c r="M214" s="380"/>
      <c r="N214" s="380"/>
      <c r="O214" s="380"/>
      <c r="P214" s="380"/>
      <c r="Q214" s="380"/>
      <c r="R214" s="380"/>
      <c r="S214" s="380"/>
      <c r="T214" s="417"/>
    </row>
    <row r="215" spans="2:20" x14ac:dyDescent="0.2">
      <c r="B215" s="307" t="s">
        <v>150</v>
      </c>
      <c r="C215" s="40"/>
      <c r="E215" s="24" t="s">
        <v>42</v>
      </c>
      <c r="H215" s="379"/>
      <c r="I215" s="380"/>
      <c r="J215" s="380"/>
      <c r="K215" s="380"/>
      <c r="L215" s="380"/>
      <c r="M215" s="380"/>
      <c r="N215" s="380"/>
      <c r="O215" s="380"/>
      <c r="P215" s="380"/>
      <c r="Q215" s="380"/>
      <c r="R215" s="380"/>
      <c r="S215" s="380"/>
      <c r="T215" s="417"/>
    </row>
    <row r="216" spans="2:20" x14ac:dyDescent="0.2">
      <c r="B216" s="307"/>
      <c r="C216" t="str">
        <f>"Payable Days for "&amp;$C56</f>
        <v>Payable Days for Commission on Product Revenue</v>
      </c>
      <c r="E216" s="453">
        <f>'Year 3'!E216</f>
        <v>14</v>
      </c>
      <c r="H216" s="379">
        <f t="shared" ref="H216:S216" si="97">H56*$E216/30</f>
        <v>389.76</v>
      </c>
      <c r="I216" s="380">
        <f t="shared" si="97"/>
        <v>403.2</v>
      </c>
      <c r="J216" s="380">
        <f t="shared" si="97"/>
        <v>414.96</v>
      </c>
      <c r="K216" s="380">
        <f t="shared" si="97"/>
        <v>428.4</v>
      </c>
      <c r="L216" s="380">
        <f t="shared" si="97"/>
        <v>440.15999999999997</v>
      </c>
      <c r="M216" s="380">
        <f t="shared" si="97"/>
        <v>453.6</v>
      </c>
      <c r="N216" s="380">
        <f t="shared" si="97"/>
        <v>465.35999999999996</v>
      </c>
      <c r="O216" s="380">
        <f t="shared" si="97"/>
        <v>478.8</v>
      </c>
      <c r="P216" s="380">
        <f t="shared" si="97"/>
        <v>490.56000000000006</v>
      </c>
      <c r="Q216" s="380">
        <f t="shared" si="97"/>
        <v>504</v>
      </c>
      <c r="R216" s="380">
        <f t="shared" si="97"/>
        <v>515.76</v>
      </c>
      <c r="S216" s="380">
        <f t="shared" si="97"/>
        <v>529.20000000000005</v>
      </c>
      <c r="T216" s="417">
        <f t="shared" ref="T216:T219" si="98">SUM(H216:S216)</f>
        <v>5513.76</v>
      </c>
    </row>
    <row r="217" spans="2:20" x14ac:dyDescent="0.2">
      <c r="B217" s="307"/>
      <c r="C217" t="str">
        <f>"Payable Days for "&amp;$C57</f>
        <v>Payable Days for Commission on Service Revenue</v>
      </c>
      <c r="E217" s="453">
        <f>'Year 3'!E217</f>
        <v>14</v>
      </c>
      <c r="H217" s="379">
        <f t="shared" ref="H217:S217" si="99">H57*$E217/30</f>
        <v>7.0933333333333337</v>
      </c>
      <c r="I217" s="380">
        <f t="shared" si="99"/>
        <v>7.4666666666666668</v>
      </c>
      <c r="J217" s="380">
        <f t="shared" si="99"/>
        <v>7.7466666666666679</v>
      </c>
      <c r="K217" s="380">
        <f t="shared" si="99"/>
        <v>8.120000000000001</v>
      </c>
      <c r="L217" s="380">
        <f t="shared" si="99"/>
        <v>8.4</v>
      </c>
      <c r="M217" s="380">
        <f t="shared" si="99"/>
        <v>8.7733333333333334</v>
      </c>
      <c r="N217" s="380">
        <f t="shared" si="99"/>
        <v>9.1466666666666683</v>
      </c>
      <c r="O217" s="380">
        <f t="shared" si="99"/>
        <v>9.4266666666666676</v>
      </c>
      <c r="P217" s="380">
        <f t="shared" si="99"/>
        <v>9.8000000000000007</v>
      </c>
      <c r="Q217" s="380">
        <f t="shared" si="99"/>
        <v>10.080000000000002</v>
      </c>
      <c r="R217" s="380">
        <f t="shared" si="99"/>
        <v>10.453333333333335</v>
      </c>
      <c r="S217" s="380">
        <f t="shared" si="99"/>
        <v>10.826666666666666</v>
      </c>
      <c r="T217" s="417">
        <f t="shared" si="98"/>
        <v>107.33333333333333</v>
      </c>
    </row>
    <row r="218" spans="2:20" x14ac:dyDescent="0.2">
      <c r="B218" s="307"/>
      <c r="C218" t="str">
        <f>"Payable Days for "&amp;$C58</f>
        <v>Payable Days for Commission on Billable Hours Revenue</v>
      </c>
      <c r="E218" s="453">
        <f>'Year 3'!E218</f>
        <v>14</v>
      </c>
      <c r="H218" s="379">
        <f t="shared" ref="H218:S218" si="100">H58*$E218/30</f>
        <v>109.9</v>
      </c>
      <c r="I218" s="380">
        <f t="shared" si="100"/>
        <v>114.8</v>
      </c>
      <c r="J218" s="380">
        <f t="shared" si="100"/>
        <v>120.4</v>
      </c>
      <c r="K218" s="380">
        <f t="shared" si="100"/>
        <v>125.3</v>
      </c>
      <c r="L218" s="380">
        <f t="shared" si="100"/>
        <v>130.9</v>
      </c>
      <c r="M218" s="380">
        <f t="shared" si="100"/>
        <v>135.80000000000001</v>
      </c>
      <c r="N218" s="380">
        <f t="shared" si="100"/>
        <v>141.4</v>
      </c>
      <c r="O218" s="380">
        <f t="shared" si="100"/>
        <v>146.30000000000001</v>
      </c>
      <c r="P218" s="380">
        <f t="shared" si="100"/>
        <v>151.9</v>
      </c>
      <c r="Q218" s="380">
        <f t="shared" si="100"/>
        <v>156.80000000000001</v>
      </c>
      <c r="R218" s="380">
        <f t="shared" si="100"/>
        <v>162.4</v>
      </c>
      <c r="S218" s="380">
        <f t="shared" si="100"/>
        <v>167.65</v>
      </c>
      <c r="T218" s="417">
        <f t="shared" si="98"/>
        <v>1663.5500000000004</v>
      </c>
    </row>
    <row r="219" spans="2:20" x14ac:dyDescent="0.2">
      <c r="B219" s="307"/>
      <c r="C219" t="str">
        <f>"Payable Days for "&amp;$C59</f>
        <v>Payable Days for Commission on Subscription Revenue</v>
      </c>
      <c r="E219" s="453">
        <f>'Year 3'!E219</f>
        <v>14</v>
      </c>
      <c r="H219" s="379">
        <f t="shared" ref="H219:S219" si="101">H59*$E219/30</f>
        <v>16.687999999999999</v>
      </c>
      <c r="I219" s="380">
        <f t="shared" si="101"/>
        <v>16.687999999999999</v>
      </c>
      <c r="J219" s="380">
        <f t="shared" si="101"/>
        <v>16.687999999999999</v>
      </c>
      <c r="K219" s="380">
        <f t="shared" si="101"/>
        <v>16.687999999999999</v>
      </c>
      <c r="L219" s="380">
        <f t="shared" si="101"/>
        <v>16.687999999999999</v>
      </c>
      <c r="M219" s="380">
        <f t="shared" si="101"/>
        <v>16.687999999999999</v>
      </c>
      <c r="N219" s="380">
        <f t="shared" si="101"/>
        <v>16.687999999999999</v>
      </c>
      <c r="O219" s="380">
        <f t="shared" si="101"/>
        <v>16.687999999999999</v>
      </c>
      <c r="P219" s="380">
        <f t="shared" si="101"/>
        <v>16.687999999999999</v>
      </c>
      <c r="Q219" s="380">
        <f t="shared" si="101"/>
        <v>16.687999999999999</v>
      </c>
      <c r="R219" s="380">
        <f t="shared" si="101"/>
        <v>16.687999999999999</v>
      </c>
      <c r="S219" s="380">
        <f t="shared" si="101"/>
        <v>16.687999999999999</v>
      </c>
      <c r="T219" s="417">
        <f t="shared" si="98"/>
        <v>200.25599999999994</v>
      </c>
    </row>
    <row r="220" spans="2:20" x14ac:dyDescent="0.2">
      <c r="B220" s="308"/>
      <c r="C220" t="str">
        <f>"Payable Days for "&amp;$C70</f>
        <v>Payable Days for S&amp;M Expenses for Product Line</v>
      </c>
      <c r="E220" s="453">
        <f>'Year 3'!E220</f>
        <v>30</v>
      </c>
      <c r="H220" s="379">
        <f t="shared" ref="H220:S220" si="102">H70*$E220/30</f>
        <v>0</v>
      </c>
      <c r="I220" s="380">
        <f t="shared" si="102"/>
        <v>0</v>
      </c>
      <c r="J220" s="380">
        <f t="shared" si="102"/>
        <v>0</v>
      </c>
      <c r="K220" s="380">
        <f t="shared" si="102"/>
        <v>0</v>
      </c>
      <c r="L220" s="380">
        <f t="shared" si="102"/>
        <v>0</v>
      </c>
      <c r="M220" s="380">
        <f t="shared" si="102"/>
        <v>0</v>
      </c>
      <c r="N220" s="380">
        <f t="shared" si="102"/>
        <v>0</v>
      </c>
      <c r="O220" s="380">
        <f t="shared" si="102"/>
        <v>0</v>
      </c>
      <c r="P220" s="380">
        <f t="shared" si="102"/>
        <v>0</v>
      </c>
      <c r="Q220" s="380">
        <f t="shared" si="102"/>
        <v>0</v>
      </c>
      <c r="R220" s="380">
        <f t="shared" si="102"/>
        <v>0</v>
      </c>
      <c r="S220" s="380">
        <f t="shared" si="102"/>
        <v>0</v>
      </c>
      <c r="T220" s="417">
        <f>SUM(H220:S220)</f>
        <v>0</v>
      </c>
    </row>
    <row r="221" spans="2:20" x14ac:dyDescent="0.2">
      <c r="B221" s="308"/>
      <c r="C221" t="str">
        <f>"Payable Days for "&amp;$C71</f>
        <v>Payable Days for S&amp;M Expenses for Services Line</v>
      </c>
      <c r="E221" s="453">
        <f>'Year 3'!E221</f>
        <v>30</v>
      </c>
      <c r="H221" s="379">
        <f t="shared" ref="H221:S221" si="103">H71*$E221/30</f>
        <v>0</v>
      </c>
      <c r="I221" s="380">
        <f t="shared" si="103"/>
        <v>0</v>
      </c>
      <c r="J221" s="380">
        <f t="shared" si="103"/>
        <v>0</v>
      </c>
      <c r="K221" s="380">
        <f t="shared" si="103"/>
        <v>0</v>
      </c>
      <c r="L221" s="380">
        <f t="shared" si="103"/>
        <v>0</v>
      </c>
      <c r="M221" s="380">
        <f t="shared" si="103"/>
        <v>0</v>
      </c>
      <c r="N221" s="380">
        <f t="shared" si="103"/>
        <v>0</v>
      </c>
      <c r="O221" s="380">
        <f t="shared" si="103"/>
        <v>0</v>
      </c>
      <c r="P221" s="380">
        <f t="shared" si="103"/>
        <v>0</v>
      </c>
      <c r="Q221" s="380">
        <f t="shared" si="103"/>
        <v>0</v>
      </c>
      <c r="R221" s="380">
        <f t="shared" si="103"/>
        <v>0</v>
      </c>
      <c r="S221" s="380">
        <f t="shared" si="103"/>
        <v>0</v>
      </c>
      <c r="T221" s="417">
        <f t="shared" ref="T221:T245" si="104">SUM(H221:S221)</f>
        <v>0</v>
      </c>
    </row>
    <row r="222" spans="2:20" x14ac:dyDescent="0.2">
      <c r="B222" s="308"/>
      <c r="C222" t="str">
        <f>"Payable Days for "&amp;$C72</f>
        <v>Payable Days for S&amp;M Expenses for Billable Hours Line</v>
      </c>
      <c r="E222" s="453">
        <f>'Year 3'!E222</f>
        <v>0</v>
      </c>
      <c r="H222" s="379">
        <f t="shared" ref="H222:S222" si="105">H72*$E222/30</f>
        <v>0</v>
      </c>
      <c r="I222" s="380">
        <f t="shared" si="105"/>
        <v>0</v>
      </c>
      <c r="J222" s="380">
        <f t="shared" si="105"/>
        <v>0</v>
      </c>
      <c r="K222" s="380">
        <f t="shared" si="105"/>
        <v>0</v>
      </c>
      <c r="L222" s="380">
        <f t="shared" si="105"/>
        <v>0</v>
      </c>
      <c r="M222" s="380">
        <f t="shared" si="105"/>
        <v>0</v>
      </c>
      <c r="N222" s="380">
        <f t="shared" si="105"/>
        <v>0</v>
      </c>
      <c r="O222" s="380">
        <f t="shared" si="105"/>
        <v>0</v>
      </c>
      <c r="P222" s="380">
        <f t="shared" si="105"/>
        <v>0</v>
      </c>
      <c r="Q222" s="380">
        <f t="shared" si="105"/>
        <v>0</v>
      </c>
      <c r="R222" s="380">
        <f t="shared" si="105"/>
        <v>0</v>
      </c>
      <c r="S222" s="380">
        <f t="shared" si="105"/>
        <v>0</v>
      </c>
      <c r="T222" s="417">
        <f t="shared" si="104"/>
        <v>0</v>
      </c>
    </row>
    <row r="223" spans="2:20" x14ac:dyDescent="0.2">
      <c r="B223" s="308"/>
      <c r="C223" t="str">
        <f>"Payable Days for "&amp;$C73</f>
        <v>Payable Days for S&amp;M Expenses for Subscriptions Line</v>
      </c>
      <c r="E223" s="453">
        <f>'Year 3'!E223</f>
        <v>14</v>
      </c>
      <c r="H223" s="379">
        <f t="shared" ref="H223:S223" si="106">H73*$E223/30</f>
        <v>0</v>
      </c>
      <c r="I223" s="380">
        <f t="shared" si="106"/>
        <v>0</v>
      </c>
      <c r="J223" s="380">
        <f t="shared" si="106"/>
        <v>0</v>
      </c>
      <c r="K223" s="380">
        <f t="shared" si="106"/>
        <v>0</v>
      </c>
      <c r="L223" s="380">
        <f t="shared" si="106"/>
        <v>0</v>
      </c>
      <c r="M223" s="380">
        <f t="shared" si="106"/>
        <v>0</v>
      </c>
      <c r="N223" s="380">
        <f t="shared" si="106"/>
        <v>0</v>
      </c>
      <c r="O223" s="380">
        <f t="shared" si="106"/>
        <v>0</v>
      </c>
      <c r="P223" s="380">
        <f t="shared" si="106"/>
        <v>0</v>
      </c>
      <c r="Q223" s="380">
        <f t="shared" si="106"/>
        <v>0</v>
      </c>
      <c r="R223" s="380">
        <f t="shared" si="106"/>
        <v>0</v>
      </c>
      <c r="S223" s="380">
        <f t="shared" si="106"/>
        <v>0</v>
      </c>
      <c r="T223" s="417">
        <f t="shared" si="104"/>
        <v>0</v>
      </c>
    </row>
    <row r="224" spans="2:20" x14ac:dyDescent="0.2">
      <c r="B224" s="308"/>
      <c r="C224" t="str">
        <f t="shared" ref="C224:C242" si="107">"Payable Days for "&amp;$C121</f>
        <v>Payable Days for Advertising Campaigns</v>
      </c>
      <c r="E224" s="453">
        <f>'Year 3'!E224</f>
        <v>12</v>
      </c>
      <c r="H224" s="379">
        <f t="shared" ref="H224:S224" si="108">H121*$E224/30</f>
        <v>200</v>
      </c>
      <c r="I224" s="380">
        <f t="shared" si="108"/>
        <v>200</v>
      </c>
      <c r="J224" s="380">
        <f t="shared" si="108"/>
        <v>200</v>
      </c>
      <c r="K224" s="380">
        <f t="shared" si="108"/>
        <v>200</v>
      </c>
      <c r="L224" s="380">
        <f t="shared" si="108"/>
        <v>200</v>
      </c>
      <c r="M224" s="380">
        <f t="shared" si="108"/>
        <v>200</v>
      </c>
      <c r="N224" s="380">
        <f t="shared" si="108"/>
        <v>200</v>
      </c>
      <c r="O224" s="380">
        <f t="shared" si="108"/>
        <v>200</v>
      </c>
      <c r="P224" s="380">
        <f t="shared" si="108"/>
        <v>200</v>
      </c>
      <c r="Q224" s="380">
        <f t="shared" si="108"/>
        <v>200</v>
      </c>
      <c r="R224" s="380">
        <f t="shared" si="108"/>
        <v>200</v>
      </c>
      <c r="S224" s="380">
        <f t="shared" si="108"/>
        <v>200</v>
      </c>
      <c r="T224" s="417">
        <f t="shared" si="104"/>
        <v>2400</v>
      </c>
    </row>
    <row r="225" spans="2:20" x14ac:dyDescent="0.2">
      <c r="B225" s="308"/>
      <c r="C225" t="str">
        <f t="shared" si="107"/>
        <v>Payable Days for Car and Truck Expenses</v>
      </c>
      <c r="E225" s="453">
        <f>'Year 3'!E225</f>
        <v>12</v>
      </c>
      <c r="H225" s="379">
        <f t="shared" ref="H225:S225" si="109">H122*$E225/30</f>
        <v>240</v>
      </c>
      <c r="I225" s="380">
        <f t="shared" si="109"/>
        <v>240</v>
      </c>
      <c r="J225" s="380">
        <f t="shared" si="109"/>
        <v>240</v>
      </c>
      <c r="K225" s="380">
        <f t="shared" si="109"/>
        <v>240</v>
      </c>
      <c r="L225" s="380">
        <f t="shared" si="109"/>
        <v>240</v>
      </c>
      <c r="M225" s="380">
        <f t="shared" si="109"/>
        <v>240</v>
      </c>
      <c r="N225" s="380">
        <f t="shared" si="109"/>
        <v>240</v>
      </c>
      <c r="O225" s="380">
        <f t="shared" si="109"/>
        <v>240</v>
      </c>
      <c r="P225" s="380">
        <f t="shared" si="109"/>
        <v>240</v>
      </c>
      <c r="Q225" s="380">
        <f t="shared" si="109"/>
        <v>240</v>
      </c>
      <c r="R225" s="380">
        <f t="shared" si="109"/>
        <v>240</v>
      </c>
      <c r="S225" s="380">
        <f t="shared" si="109"/>
        <v>240</v>
      </c>
      <c r="T225" s="417">
        <f t="shared" si="104"/>
        <v>2880</v>
      </c>
    </row>
    <row r="226" spans="2:20" x14ac:dyDescent="0.2">
      <c r="B226" s="308"/>
      <c r="C226" t="str">
        <f t="shared" si="107"/>
        <v>Payable Days for Bank &amp; Merchant Fees</v>
      </c>
      <c r="E226" s="453">
        <f>'Year 3'!E226</f>
        <v>12</v>
      </c>
      <c r="H226" s="379">
        <f t="shared" ref="H226:S226" si="110">H123*$E226/30</f>
        <v>0</v>
      </c>
      <c r="I226" s="380">
        <f t="shared" si="110"/>
        <v>0</v>
      </c>
      <c r="J226" s="380">
        <f t="shared" si="110"/>
        <v>0</v>
      </c>
      <c r="K226" s="380">
        <f t="shared" si="110"/>
        <v>0</v>
      </c>
      <c r="L226" s="380">
        <f t="shared" si="110"/>
        <v>0</v>
      </c>
      <c r="M226" s="380">
        <f t="shared" si="110"/>
        <v>0</v>
      </c>
      <c r="N226" s="380">
        <f t="shared" si="110"/>
        <v>0</v>
      </c>
      <c r="O226" s="380">
        <f t="shared" si="110"/>
        <v>0</v>
      </c>
      <c r="P226" s="380">
        <f t="shared" si="110"/>
        <v>0</v>
      </c>
      <c r="Q226" s="380">
        <f t="shared" si="110"/>
        <v>0</v>
      </c>
      <c r="R226" s="380">
        <f t="shared" si="110"/>
        <v>0</v>
      </c>
      <c r="S226" s="380">
        <f t="shared" si="110"/>
        <v>0</v>
      </c>
      <c r="T226" s="417">
        <f t="shared" si="104"/>
        <v>0</v>
      </c>
    </row>
    <row r="227" spans="2:20" x14ac:dyDescent="0.2">
      <c r="B227" s="308"/>
      <c r="C227" t="str">
        <f t="shared" si="107"/>
        <v>Payable Days for Conferences &amp; Seminars</v>
      </c>
      <c r="E227" s="453">
        <f>'Year 3'!E227</f>
        <v>12</v>
      </c>
      <c r="H227" s="379">
        <f t="shared" ref="H227:S227" si="111">H124*$E227/30</f>
        <v>0</v>
      </c>
      <c r="I227" s="380">
        <f t="shared" si="111"/>
        <v>0</v>
      </c>
      <c r="J227" s="380">
        <f t="shared" si="111"/>
        <v>0</v>
      </c>
      <c r="K227" s="380">
        <f t="shared" si="111"/>
        <v>0</v>
      </c>
      <c r="L227" s="380">
        <f t="shared" si="111"/>
        <v>0</v>
      </c>
      <c r="M227" s="380">
        <f t="shared" si="111"/>
        <v>0</v>
      </c>
      <c r="N227" s="380">
        <f t="shared" si="111"/>
        <v>0</v>
      </c>
      <c r="O227" s="380">
        <f t="shared" si="111"/>
        <v>0</v>
      </c>
      <c r="P227" s="380">
        <f t="shared" si="111"/>
        <v>0</v>
      </c>
      <c r="Q227" s="380">
        <f t="shared" si="111"/>
        <v>0</v>
      </c>
      <c r="R227" s="380">
        <f t="shared" si="111"/>
        <v>0</v>
      </c>
      <c r="S227" s="380">
        <f t="shared" si="111"/>
        <v>0</v>
      </c>
      <c r="T227" s="417">
        <f t="shared" si="104"/>
        <v>0</v>
      </c>
    </row>
    <row r="228" spans="2:20" x14ac:dyDescent="0.2">
      <c r="B228" s="308"/>
      <c r="C228" t="str">
        <f t="shared" si="107"/>
        <v>Payable Days for Dues and Subscriptions</v>
      </c>
      <c r="E228" s="453">
        <f>'Year 3'!E228</f>
        <v>12</v>
      </c>
      <c r="H228" s="379">
        <f t="shared" ref="H228:S228" si="112">H125*$E228/30</f>
        <v>80</v>
      </c>
      <c r="I228" s="380">
        <f t="shared" si="112"/>
        <v>80</v>
      </c>
      <c r="J228" s="380">
        <f t="shared" si="112"/>
        <v>80</v>
      </c>
      <c r="K228" s="380">
        <f t="shared" si="112"/>
        <v>80</v>
      </c>
      <c r="L228" s="380">
        <f t="shared" si="112"/>
        <v>80</v>
      </c>
      <c r="M228" s="380">
        <f t="shared" si="112"/>
        <v>80</v>
      </c>
      <c r="N228" s="380">
        <f t="shared" si="112"/>
        <v>80</v>
      </c>
      <c r="O228" s="380">
        <f t="shared" si="112"/>
        <v>80</v>
      </c>
      <c r="P228" s="380">
        <f t="shared" si="112"/>
        <v>80</v>
      </c>
      <c r="Q228" s="380">
        <f t="shared" si="112"/>
        <v>80</v>
      </c>
      <c r="R228" s="380">
        <f t="shared" si="112"/>
        <v>80</v>
      </c>
      <c r="S228" s="380">
        <f t="shared" si="112"/>
        <v>80</v>
      </c>
      <c r="T228" s="417">
        <f t="shared" si="104"/>
        <v>960</v>
      </c>
    </row>
    <row r="229" spans="2:20" x14ac:dyDescent="0.2">
      <c r="B229" s="308"/>
      <c r="C229" t="str">
        <f t="shared" si="107"/>
        <v>Payable Days for Miscellaneous</v>
      </c>
      <c r="E229" s="453">
        <f>'Year 3'!E229</f>
        <v>12</v>
      </c>
      <c r="H229" s="379">
        <f t="shared" ref="H229:S229" si="113">H126*$E229/30</f>
        <v>0</v>
      </c>
      <c r="I229" s="380">
        <f t="shared" si="113"/>
        <v>0</v>
      </c>
      <c r="J229" s="380">
        <f t="shared" si="113"/>
        <v>0</v>
      </c>
      <c r="K229" s="380">
        <f t="shared" si="113"/>
        <v>0</v>
      </c>
      <c r="L229" s="380">
        <f t="shared" si="113"/>
        <v>0</v>
      </c>
      <c r="M229" s="380">
        <f t="shared" si="113"/>
        <v>0</v>
      </c>
      <c r="N229" s="380">
        <f t="shared" si="113"/>
        <v>0</v>
      </c>
      <c r="O229" s="380">
        <f t="shared" si="113"/>
        <v>0</v>
      </c>
      <c r="P229" s="380">
        <f t="shared" si="113"/>
        <v>0</v>
      </c>
      <c r="Q229" s="380">
        <f t="shared" si="113"/>
        <v>0</v>
      </c>
      <c r="R229" s="380">
        <f t="shared" si="113"/>
        <v>0</v>
      </c>
      <c r="S229" s="380">
        <f t="shared" si="113"/>
        <v>0</v>
      </c>
      <c r="T229" s="417">
        <f t="shared" si="104"/>
        <v>0</v>
      </c>
    </row>
    <row r="230" spans="2:20" x14ac:dyDescent="0.2">
      <c r="B230" s="308"/>
      <c r="C230" t="str">
        <f t="shared" si="107"/>
        <v>Payable Days for Insurance (Liability and Property)</v>
      </c>
      <c r="E230" s="453">
        <f>'Year 3'!E230</f>
        <v>12</v>
      </c>
      <c r="H230" s="379">
        <f t="shared" ref="H230:S230" si="114">H127*$E230/30</f>
        <v>0</v>
      </c>
      <c r="I230" s="380">
        <f t="shared" si="114"/>
        <v>0</v>
      </c>
      <c r="J230" s="380">
        <f t="shared" si="114"/>
        <v>0</v>
      </c>
      <c r="K230" s="380">
        <f t="shared" si="114"/>
        <v>0</v>
      </c>
      <c r="L230" s="380">
        <f t="shared" si="114"/>
        <v>0</v>
      </c>
      <c r="M230" s="380">
        <f t="shared" si="114"/>
        <v>0</v>
      </c>
      <c r="N230" s="380">
        <f t="shared" si="114"/>
        <v>0</v>
      </c>
      <c r="O230" s="380">
        <f t="shared" si="114"/>
        <v>0</v>
      </c>
      <c r="P230" s="380">
        <f t="shared" si="114"/>
        <v>0</v>
      </c>
      <c r="Q230" s="380">
        <f t="shared" si="114"/>
        <v>0</v>
      </c>
      <c r="R230" s="380">
        <f t="shared" si="114"/>
        <v>0</v>
      </c>
      <c r="S230" s="380">
        <f t="shared" si="114"/>
        <v>0</v>
      </c>
      <c r="T230" s="417">
        <f t="shared" si="104"/>
        <v>0</v>
      </c>
    </row>
    <row r="231" spans="2:20" x14ac:dyDescent="0.2">
      <c r="B231" s="308"/>
      <c r="C231" t="str">
        <f t="shared" si="107"/>
        <v>Payable Days for Licenses/Fees/Permits</v>
      </c>
      <c r="E231" s="453">
        <f>'Year 3'!E231</f>
        <v>12</v>
      </c>
      <c r="H231" s="379">
        <f t="shared" ref="H231:S231" si="115">H128*$E231/30</f>
        <v>0</v>
      </c>
      <c r="I231" s="380">
        <f t="shared" si="115"/>
        <v>0</v>
      </c>
      <c r="J231" s="380">
        <f t="shared" si="115"/>
        <v>0</v>
      </c>
      <c r="K231" s="380">
        <f t="shared" si="115"/>
        <v>0</v>
      </c>
      <c r="L231" s="380">
        <f t="shared" si="115"/>
        <v>0</v>
      </c>
      <c r="M231" s="380">
        <f t="shared" si="115"/>
        <v>0</v>
      </c>
      <c r="N231" s="380">
        <f t="shared" si="115"/>
        <v>0</v>
      </c>
      <c r="O231" s="380">
        <f t="shared" si="115"/>
        <v>0</v>
      </c>
      <c r="P231" s="380">
        <f t="shared" si="115"/>
        <v>0</v>
      </c>
      <c r="Q231" s="380">
        <f t="shared" si="115"/>
        <v>0</v>
      </c>
      <c r="R231" s="380">
        <f t="shared" si="115"/>
        <v>0</v>
      </c>
      <c r="S231" s="380">
        <f t="shared" si="115"/>
        <v>0</v>
      </c>
      <c r="T231" s="417">
        <f t="shared" si="104"/>
        <v>0</v>
      </c>
    </row>
    <row r="232" spans="2:20" x14ac:dyDescent="0.2">
      <c r="B232" s="308"/>
      <c r="C232" t="str">
        <f t="shared" si="107"/>
        <v>Payable Days for Legal and Professional Fees</v>
      </c>
      <c r="E232" s="453">
        <f>'Year 3'!E232</f>
        <v>12</v>
      </c>
      <c r="H232" s="379">
        <f t="shared" ref="H232:S232" si="116">H129*$E232/30</f>
        <v>0</v>
      </c>
      <c r="I232" s="380">
        <f t="shared" si="116"/>
        <v>0</v>
      </c>
      <c r="J232" s="380">
        <f t="shared" si="116"/>
        <v>0</v>
      </c>
      <c r="K232" s="380">
        <f t="shared" si="116"/>
        <v>0</v>
      </c>
      <c r="L232" s="380">
        <f t="shared" si="116"/>
        <v>0</v>
      </c>
      <c r="M232" s="380">
        <f t="shared" si="116"/>
        <v>0</v>
      </c>
      <c r="N232" s="380">
        <f t="shared" si="116"/>
        <v>0</v>
      </c>
      <c r="O232" s="380">
        <f t="shared" si="116"/>
        <v>0</v>
      </c>
      <c r="P232" s="380">
        <f t="shared" si="116"/>
        <v>0</v>
      </c>
      <c r="Q232" s="380">
        <f t="shared" si="116"/>
        <v>0</v>
      </c>
      <c r="R232" s="380">
        <f t="shared" si="116"/>
        <v>0</v>
      </c>
      <c r="S232" s="380">
        <f t="shared" si="116"/>
        <v>0</v>
      </c>
      <c r="T232" s="417">
        <f t="shared" si="104"/>
        <v>0</v>
      </c>
    </row>
    <row r="233" spans="2:20" x14ac:dyDescent="0.2">
      <c r="B233" s="308"/>
      <c r="C233" t="str">
        <f t="shared" si="107"/>
        <v>Payable Days for Office Expenses &amp; Supplies</v>
      </c>
      <c r="E233" s="453">
        <f>'Year 3'!E233</f>
        <v>12</v>
      </c>
      <c r="H233" s="379">
        <f t="shared" ref="H233:S233" si="117">H130*$E233/30</f>
        <v>0</v>
      </c>
      <c r="I233" s="380">
        <f t="shared" si="117"/>
        <v>0</v>
      </c>
      <c r="J233" s="380">
        <f t="shared" si="117"/>
        <v>0</v>
      </c>
      <c r="K233" s="380">
        <f t="shared" si="117"/>
        <v>0</v>
      </c>
      <c r="L233" s="380">
        <f t="shared" si="117"/>
        <v>0</v>
      </c>
      <c r="M233" s="380">
        <f t="shared" si="117"/>
        <v>0</v>
      </c>
      <c r="N233" s="380">
        <f t="shared" si="117"/>
        <v>0</v>
      </c>
      <c r="O233" s="380">
        <f t="shared" si="117"/>
        <v>0</v>
      </c>
      <c r="P233" s="380">
        <f t="shared" si="117"/>
        <v>0</v>
      </c>
      <c r="Q233" s="380">
        <f t="shared" si="117"/>
        <v>0</v>
      </c>
      <c r="R233" s="380">
        <f t="shared" si="117"/>
        <v>0</v>
      </c>
      <c r="S233" s="380">
        <f t="shared" si="117"/>
        <v>0</v>
      </c>
      <c r="T233" s="417">
        <f t="shared" si="104"/>
        <v>0</v>
      </c>
    </row>
    <row r="234" spans="2:20" x14ac:dyDescent="0.2">
      <c r="B234" s="308"/>
      <c r="C234" t="str">
        <f t="shared" si="107"/>
        <v>Payable Days for Postage and Delivery</v>
      </c>
      <c r="E234" s="453">
        <f>'Year 3'!E234</f>
        <v>12</v>
      </c>
      <c r="H234" s="379">
        <f t="shared" ref="H234:S234" si="118">H131*$E234/30</f>
        <v>80</v>
      </c>
      <c r="I234" s="380">
        <f t="shared" si="118"/>
        <v>80</v>
      </c>
      <c r="J234" s="380">
        <f t="shared" si="118"/>
        <v>80</v>
      </c>
      <c r="K234" s="380">
        <f t="shared" si="118"/>
        <v>80</v>
      </c>
      <c r="L234" s="380">
        <f t="shared" si="118"/>
        <v>80</v>
      </c>
      <c r="M234" s="380">
        <f t="shared" si="118"/>
        <v>80</v>
      </c>
      <c r="N234" s="380">
        <f t="shared" si="118"/>
        <v>80</v>
      </c>
      <c r="O234" s="380">
        <f t="shared" si="118"/>
        <v>80</v>
      </c>
      <c r="P234" s="380">
        <f t="shared" si="118"/>
        <v>80</v>
      </c>
      <c r="Q234" s="380">
        <f t="shared" si="118"/>
        <v>80</v>
      </c>
      <c r="R234" s="380">
        <f t="shared" si="118"/>
        <v>80</v>
      </c>
      <c r="S234" s="380">
        <f t="shared" si="118"/>
        <v>80</v>
      </c>
      <c r="T234" s="417">
        <f t="shared" si="104"/>
        <v>960</v>
      </c>
    </row>
    <row r="235" spans="2:20" x14ac:dyDescent="0.2">
      <c r="B235" s="308"/>
      <c r="C235" t="str">
        <f t="shared" si="107"/>
        <v>Payable Days for Rent (on business property)</v>
      </c>
      <c r="E235" s="453">
        <f>'Year 3'!E235</f>
        <v>12</v>
      </c>
      <c r="H235" s="379">
        <f t="shared" ref="H235:S235" si="119">H132*$E235/30</f>
        <v>1200</v>
      </c>
      <c r="I235" s="380">
        <f t="shared" si="119"/>
        <v>1200</v>
      </c>
      <c r="J235" s="380">
        <f t="shared" si="119"/>
        <v>1200</v>
      </c>
      <c r="K235" s="380">
        <f t="shared" si="119"/>
        <v>1200</v>
      </c>
      <c r="L235" s="380">
        <f t="shared" si="119"/>
        <v>1200</v>
      </c>
      <c r="M235" s="380">
        <f t="shared" si="119"/>
        <v>1200</v>
      </c>
      <c r="N235" s="380">
        <f t="shared" si="119"/>
        <v>1200</v>
      </c>
      <c r="O235" s="380">
        <f t="shared" si="119"/>
        <v>1200</v>
      </c>
      <c r="P235" s="380">
        <f t="shared" si="119"/>
        <v>1200</v>
      </c>
      <c r="Q235" s="380">
        <f t="shared" si="119"/>
        <v>1200</v>
      </c>
      <c r="R235" s="380">
        <f t="shared" si="119"/>
        <v>1200</v>
      </c>
      <c r="S235" s="380">
        <f t="shared" si="119"/>
        <v>1200</v>
      </c>
      <c r="T235" s="417">
        <f t="shared" si="104"/>
        <v>14400</v>
      </c>
    </row>
    <row r="236" spans="2:20" x14ac:dyDescent="0.2">
      <c r="B236" s="308"/>
      <c r="C236" t="str">
        <f t="shared" si="107"/>
        <v>Payable Days for Rent of Vehicles and Equipment</v>
      </c>
      <c r="E236" s="453">
        <f>'Year 3'!E236</f>
        <v>12</v>
      </c>
      <c r="H236" s="379">
        <f t="shared" ref="H236:S236" si="120">H133*$E236/30</f>
        <v>296</v>
      </c>
      <c r="I236" s="380">
        <f t="shared" si="120"/>
        <v>296</v>
      </c>
      <c r="J236" s="380">
        <f t="shared" si="120"/>
        <v>296</v>
      </c>
      <c r="K236" s="380">
        <f t="shared" si="120"/>
        <v>296</v>
      </c>
      <c r="L236" s="380">
        <f t="shared" si="120"/>
        <v>296</v>
      </c>
      <c r="M236" s="380">
        <f t="shared" si="120"/>
        <v>296</v>
      </c>
      <c r="N236" s="380">
        <f t="shared" si="120"/>
        <v>296</v>
      </c>
      <c r="O236" s="380">
        <f t="shared" si="120"/>
        <v>296</v>
      </c>
      <c r="P236" s="380">
        <f t="shared" si="120"/>
        <v>296</v>
      </c>
      <c r="Q236" s="380">
        <f t="shared" si="120"/>
        <v>296</v>
      </c>
      <c r="R236" s="380">
        <f t="shared" si="120"/>
        <v>296</v>
      </c>
      <c r="S236" s="380">
        <f t="shared" si="120"/>
        <v>296</v>
      </c>
      <c r="T236" s="417">
        <f t="shared" si="104"/>
        <v>3552</v>
      </c>
    </row>
    <row r="237" spans="2:20" x14ac:dyDescent="0.2">
      <c r="B237" s="308"/>
      <c r="C237" t="str">
        <f t="shared" si="107"/>
        <v>Payable Days for Taxes-Other</v>
      </c>
      <c r="E237" s="453">
        <f>'Year 3'!E237</f>
        <v>12</v>
      </c>
      <c r="H237" s="379">
        <f t="shared" ref="H237:S237" si="121">H134*$E237/30</f>
        <v>0</v>
      </c>
      <c r="I237" s="380">
        <f t="shared" si="121"/>
        <v>0</v>
      </c>
      <c r="J237" s="380">
        <f t="shared" si="121"/>
        <v>0</v>
      </c>
      <c r="K237" s="380">
        <f t="shared" si="121"/>
        <v>0</v>
      </c>
      <c r="L237" s="380">
        <f t="shared" si="121"/>
        <v>0</v>
      </c>
      <c r="M237" s="380">
        <f t="shared" si="121"/>
        <v>0</v>
      </c>
      <c r="N237" s="380">
        <f t="shared" si="121"/>
        <v>0</v>
      </c>
      <c r="O237" s="380">
        <f t="shared" si="121"/>
        <v>0</v>
      </c>
      <c r="P237" s="380">
        <f t="shared" si="121"/>
        <v>0</v>
      </c>
      <c r="Q237" s="380">
        <f t="shared" si="121"/>
        <v>0</v>
      </c>
      <c r="R237" s="380">
        <f t="shared" si="121"/>
        <v>0</v>
      </c>
      <c r="S237" s="380">
        <f t="shared" si="121"/>
        <v>0</v>
      </c>
      <c r="T237" s="417">
        <f t="shared" si="104"/>
        <v>0</v>
      </c>
    </row>
    <row r="238" spans="2:20" x14ac:dyDescent="0.2">
      <c r="B238" s="308"/>
      <c r="C238" t="str">
        <f t="shared" si="107"/>
        <v>Payable Days for Telephone and Communications</v>
      </c>
      <c r="E238" s="453">
        <f>'Year 3'!E238</f>
        <v>12</v>
      </c>
      <c r="H238" s="379">
        <f t="shared" ref="H238:S238" si="122">H135*$E238/30</f>
        <v>0</v>
      </c>
      <c r="I238" s="380">
        <f t="shared" si="122"/>
        <v>0</v>
      </c>
      <c r="J238" s="380">
        <f t="shared" si="122"/>
        <v>0</v>
      </c>
      <c r="K238" s="380">
        <f t="shared" si="122"/>
        <v>0</v>
      </c>
      <c r="L238" s="380">
        <f t="shared" si="122"/>
        <v>0</v>
      </c>
      <c r="M238" s="380">
        <f t="shared" si="122"/>
        <v>0</v>
      </c>
      <c r="N238" s="380">
        <f t="shared" si="122"/>
        <v>0</v>
      </c>
      <c r="O238" s="380">
        <f t="shared" si="122"/>
        <v>0</v>
      </c>
      <c r="P238" s="380">
        <f t="shared" si="122"/>
        <v>0</v>
      </c>
      <c r="Q238" s="380">
        <f t="shared" si="122"/>
        <v>0</v>
      </c>
      <c r="R238" s="380">
        <f t="shared" si="122"/>
        <v>0</v>
      </c>
      <c r="S238" s="380">
        <f t="shared" si="122"/>
        <v>0</v>
      </c>
      <c r="T238" s="417">
        <f t="shared" si="104"/>
        <v>0</v>
      </c>
    </row>
    <row r="239" spans="2:20" x14ac:dyDescent="0.2">
      <c r="B239" s="308"/>
      <c r="C239" t="str">
        <f t="shared" si="107"/>
        <v>Payable Days for Travel</v>
      </c>
      <c r="E239" s="453">
        <f>'Year 3'!E239</f>
        <v>12</v>
      </c>
      <c r="H239" s="379">
        <f t="shared" ref="H239:S239" si="123">H136*$E239/30</f>
        <v>0</v>
      </c>
      <c r="I239" s="380">
        <f t="shared" si="123"/>
        <v>0</v>
      </c>
      <c r="J239" s="380">
        <f t="shared" si="123"/>
        <v>0</v>
      </c>
      <c r="K239" s="380">
        <f t="shared" si="123"/>
        <v>0</v>
      </c>
      <c r="L239" s="380">
        <f t="shared" si="123"/>
        <v>0</v>
      </c>
      <c r="M239" s="380">
        <f t="shared" si="123"/>
        <v>0</v>
      </c>
      <c r="N239" s="380">
        <f t="shared" si="123"/>
        <v>0</v>
      </c>
      <c r="O239" s="380">
        <f t="shared" si="123"/>
        <v>0</v>
      </c>
      <c r="P239" s="380">
        <f t="shared" si="123"/>
        <v>0</v>
      </c>
      <c r="Q239" s="380">
        <f t="shared" si="123"/>
        <v>0</v>
      </c>
      <c r="R239" s="380">
        <f t="shared" si="123"/>
        <v>0</v>
      </c>
      <c r="S239" s="380">
        <f t="shared" si="123"/>
        <v>0</v>
      </c>
      <c r="T239" s="417">
        <f t="shared" si="104"/>
        <v>0</v>
      </c>
    </row>
    <row r="240" spans="2:20" x14ac:dyDescent="0.2">
      <c r="B240" s="308"/>
      <c r="C240" t="str">
        <f t="shared" si="107"/>
        <v>Payable Days for IT services (infrastructure, security etc)</v>
      </c>
      <c r="E240" s="453">
        <f>'Year 3'!E240</f>
        <v>12</v>
      </c>
      <c r="H240" s="379">
        <f t="shared" ref="H240:S240" si="124">H137*$E240/30</f>
        <v>0</v>
      </c>
      <c r="I240" s="380">
        <f t="shared" si="124"/>
        <v>0</v>
      </c>
      <c r="J240" s="380">
        <f t="shared" si="124"/>
        <v>0</v>
      </c>
      <c r="K240" s="380">
        <f t="shared" si="124"/>
        <v>0</v>
      </c>
      <c r="L240" s="380">
        <f t="shared" si="124"/>
        <v>0</v>
      </c>
      <c r="M240" s="380">
        <f t="shared" si="124"/>
        <v>0</v>
      </c>
      <c r="N240" s="380">
        <f t="shared" si="124"/>
        <v>0</v>
      </c>
      <c r="O240" s="380">
        <f t="shared" si="124"/>
        <v>0</v>
      </c>
      <c r="P240" s="380">
        <f t="shared" si="124"/>
        <v>0</v>
      </c>
      <c r="Q240" s="380">
        <f t="shared" si="124"/>
        <v>0</v>
      </c>
      <c r="R240" s="380">
        <f t="shared" si="124"/>
        <v>0</v>
      </c>
      <c r="S240" s="380">
        <f t="shared" si="124"/>
        <v>0</v>
      </c>
      <c r="T240" s="417">
        <f t="shared" si="104"/>
        <v>0</v>
      </c>
    </row>
    <row r="241" spans="2:20" x14ac:dyDescent="0.2">
      <c r="B241" s="308"/>
      <c r="C241" t="str">
        <f t="shared" si="107"/>
        <v>Payable Days for Utilities</v>
      </c>
      <c r="E241" s="453">
        <f>'Year 3'!E241</f>
        <v>12</v>
      </c>
      <c r="H241" s="379">
        <f t="shared" ref="H241:S241" si="125">H138*$E241/30</f>
        <v>60</v>
      </c>
      <c r="I241" s="380">
        <f t="shared" si="125"/>
        <v>60</v>
      </c>
      <c r="J241" s="380">
        <f t="shared" si="125"/>
        <v>60</v>
      </c>
      <c r="K241" s="380">
        <f t="shared" si="125"/>
        <v>60</v>
      </c>
      <c r="L241" s="380">
        <f t="shared" si="125"/>
        <v>60</v>
      </c>
      <c r="M241" s="380">
        <f t="shared" si="125"/>
        <v>60</v>
      </c>
      <c r="N241" s="380">
        <f t="shared" si="125"/>
        <v>60</v>
      </c>
      <c r="O241" s="380">
        <f t="shared" si="125"/>
        <v>60</v>
      </c>
      <c r="P241" s="380">
        <f t="shared" si="125"/>
        <v>60</v>
      </c>
      <c r="Q241" s="380">
        <f t="shared" si="125"/>
        <v>60</v>
      </c>
      <c r="R241" s="380">
        <f t="shared" si="125"/>
        <v>60</v>
      </c>
      <c r="S241" s="380">
        <f t="shared" si="125"/>
        <v>60</v>
      </c>
      <c r="T241" s="417">
        <f t="shared" si="104"/>
        <v>720</v>
      </c>
    </row>
    <row r="242" spans="2:20" x14ac:dyDescent="0.2">
      <c r="B242" s="308"/>
      <c r="C242" t="str">
        <f t="shared" si="107"/>
        <v>Payable Days for Others</v>
      </c>
      <c r="E242" s="453">
        <f>'Year 3'!E242</f>
        <v>12</v>
      </c>
      <c r="H242" s="379">
        <f t="shared" ref="H242:S242" si="126">H139*$E242/30</f>
        <v>0</v>
      </c>
      <c r="I242" s="380">
        <f t="shared" si="126"/>
        <v>0</v>
      </c>
      <c r="J242" s="380">
        <f t="shared" si="126"/>
        <v>0</v>
      </c>
      <c r="K242" s="380">
        <f t="shared" si="126"/>
        <v>0</v>
      </c>
      <c r="L242" s="380">
        <f t="shared" si="126"/>
        <v>0</v>
      </c>
      <c r="M242" s="380">
        <f t="shared" si="126"/>
        <v>0</v>
      </c>
      <c r="N242" s="380">
        <f t="shared" si="126"/>
        <v>0</v>
      </c>
      <c r="O242" s="380">
        <f t="shared" si="126"/>
        <v>0</v>
      </c>
      <c r="P242" s="380">
        <f t="shared" si="126"/>
        <v>0</v>
      </c>
      <c r="Q242" s="380">
        <f t="shared" si="126"/>
        <v>0</v>
      </c>
      <c r="R242" s="380">
        <f t="shared" si="126"/>
        <v>0</v>
      </c>
      <c r="S242" s="380">
        <f t="shared" si="126"/>
        <v>0</v>
      </c>
      <c r="T242" s="417">
        <f t="shared" si="104"/>
        <v>0</v>
      </c>
    </row>
    <row r="243" spans="2:20" x14ac:dyDescent="0.2">
      <c r="B243" s="308"/>
      <c r="C243" t="str">
        <f>"Payable Days for "&amp;$B86</f>
        <v>Payable Days for Employee Wages</v>
      </c>
      <c r="E243" s="453">
        <f>'Year 3'!E243</f>
        <v>30</v>
      </c>
      <c r="H243" s="379">
        <f t="shared" ref="H243:S243" si="127">H$102*$E243/30</f>
        <v>26773.4656</v>
      </c>
      <c r="I243" s="380">
        <f t="shared" si="127"/>
        <v>26773.4656</v>
      </c>
      <c r="J243" s="380">
        <f t="shared" si="127"/>
        <v>26773.4656</v>
      </c>
      <c r="K243" s="380">
        <f t="shared" si="127"/>
        <v>26773.4656</v>
      </c>
      <c r="L243" s="380">
        <f t="shared" si="127"/>
        <v>26773.4656</v>
      </c>
      <c r="M243" s="380">
        <f t="shared" si="127"/>
        <v>26773.4656</v>
      </c>
      <c r="N243" s="380">
        <f t="shared" si="127"/>
        <v>26773.4656</v>
      </c>
      <c r="O243" s="380">
        <f t="shared" si="127"/>
        <v>26773.4656</v>
      </c>
      <c r="P243" s="380">
        <f t="shared" si="127"/>
        <v>26773.4656</v>
      </c>
      <c r="Q243" s="380">
        <f t="shared" si="127"/>
        <v>26773.4656</v>
      </c>
      <c r="R243" s="380">
        <f t="shared" si="127"/>
        <v>26773.4656</v>
      </c>
      <c r="S243" s="380">
        <f t="shared" si="127"/>
        <v>26773.4656</v>
      </c>
      <c r="T243" s="417">
        <f t="shared" si="104"/>
        <v>321281.58720000001</v>
      </c>
    </row>
    <row r="244" spans="2:20" x14ac:dyDescent="0.2">
      <c r="B244" s="308"/>
      <c r="C244" t="str">
        <f>"Payable Days for "&amp;$B104</f>
        <v>Payable Days for Payroll Taxes and Benefits</v>
      </c>
      <c r="E244" s="453">
        <f>'Year 3'!E244</f>
        <v>60</v>
      </c>
      <c r="H244" s="379">
        <f t="shared" ref="H244:S244" si="128">H$113*$E244/30</f>
        <v>16859.511718400001</v>
      </c>
      <c r="I244" s="380">
        <f t="shared" si="128"/>
        <v>16859.511718400001</v>
      </c>
      <c r="J244" s="380">
        <f t="shared" si="128"/>
        <v>16859.511718400001</v>
      </c>
      <c r="K244" s="380">
        <f t="shared" si="128"/>
        <v>16859.511718400001</v>
      </c>
      <c r="L244" s="380">
        <f t="shared" si="128"/>
        <v>16859.511718400001</v>
      </c>
      <c r="M244" s="380">
        <f t="shared" si="128"/>
        <v>16859.511718400001</v>
      </c>
      <c r="N244" s="380">
        <f t="shared" si="128"/>
        <v>16859.511718400001</v>
      </c>
      <c r="O244" s="380">
        <f t="shared" si="128"/>
        <v>16859.511718400001</v>
      </c>
      <c r="P244" s="380">
        <f t="shared" si="128"/>
        <v>16859.511718400001</v>
      </c>
      <c r="Q244" s="380">
        <f t="shared" si="128"/>
        <v>16859.511718400001</v>
      </c>
      <c r="R244" s="380">
        <f t="shared" si="128"/>
        <v>16859.511718400001</v>
      </c>
      <c r="S244" s="380">
        <f t="shared" si="128"/>
        <v>16859.511718400001</v>
      </c>
      <c r="T244" s="417">
        <f t="shared" si="104"/>
        <v>202314.1406208</v>
      </c>
    </row>
    <row r="245" spans="2:20" ht="17" thickBot="1" x14ac:dyDescent="0.25">
      <c r="B245" s="308"/>
      <c r="C245" t="str">
        <f>"Payable Days for "&amp;$C159</f>
        <v xml:space="preserve">Payable Days for </v>
      </c>
      <c r="E245" s="453">
        <f>'Year 3'!E245</f>
        <v>90</v>
      </c>
      <c r="H245" s="379">
        <f t="shared" ref="H245:S245" si="129">H$166*$E245/30</f>
        <v>0</v>
      </c>
      <c r="I245" s="380">
        <f t="shared" si="129"/>
        <v>0</v>
      </c>
      <c r="J245" s="380">
        <f t="shared" si="129"/>
        <v>0</v>
      </c>
      <c r="K245" s="380">
        <f t="shared" si="129"/>
        <v>0</v>
      </c>
      <c r="L245" s="380">
        <f t="shared" si="129"/>
        <v>0</v>
      </c>
      <c r="M245" s="380">
        <f t="shared" si="129"/>
        <v>0</v>
      </c>
      <c r="N245" s="380">
        <f t="shared" si="129"/>
        <v>0</v>
      </c>
      <c r="O245" s="380">
        <f t="shared" si="129"/>
        <v>0</v>
      </c>
      <c r="P245" s="380">
        <f t="shared" si="129"/>
        <v>0</v>
      </c>
      <c r="Q245" s="380">
        <f t="shared" si="129"/>
        <v>0</v>
      </c>
      <c r="R245" s="380">
        <f t="shared" si="129"/>
        <v>0</v>
      </c>
      <c r="S245" s="380">
        <f t="shared" si="129"/>
        <v>0</v>
      </c>
      <c r="T245" s="417">
        <f t="shared" si="104"/>
        <v>0</v>
      </c>
    </row>
    <row r="246" spans="2:20" ht="17" thickTop="1" x14ac:dyDescent="0.2">
      <c r="B246" s="418" t="s">
        <v>152</v>
      </c>
      <c r="C246" s="419"/>
      <c r="D246" s="419"/>
      <c r="E246" s="419"/>
      <c r="F246" s="419"/>
      <c r="G246" s="420"/>
      <c r="H246" s="421">
        <f>SUM(H216:H245)</f>
        <v>46312.418651733329</v>
      </c>
      <c r="I246" s="422">
        <f t="shared" ref="I246:S246" si="130">SUM(I216:I245)</f>
        <v>46331.131985066662</v>
      </c>
      <c r="J246" s="422">
        <f t="shared" si="130"/>
        <v>46348.771985066662</v>
      </c>
      <c r="K246" s="422">
        <f t="shared" si="130"/>
        <v>46367.485318399995</v>
      </c>
      <c r="L246" s="422">
        <f t="shared" si="130"/>
        <v>46385.125318400002</v>
      </c>
      <c r="M246" s="422">
        <f t="shared" si="130"/>
        <v>46403.838651733335</v>
      </c>
      <c r="N246" s="422">
        <f t="shared" si="130"/>
        <v>46421.571985066665</v>
      </c>
      <c r="O246" s="422">
        <f t="shared" si="130"/>
        <v>46440.191985066667</v>
      </c>
      <c r="P246" s="422">
        <f t="shared" si="130"/>
        <v>46457.925318399997</v>
      </c>
      <c r="Q246" s="422">
        <f t="shared" si="130"/>
        <v>46476.5453184</v>
      </c>
      <c r="R246" s="422">
        <f t="shared" si="130"/>
        <v>46494.27865173333</v>
      </c>
      <c r="S246" s="422">
        <f t="shared" si="130"/>
        <v>46513.341985066669</v>
      </c>
      <c r="T246" s="423">
        <f>SUM(H246:S246)</f>
        <v>556952.62715413328</v>
      </c>
    </row>
    <row r="247" spans="2:20" ht="17" thickBot="1" x14ac:dyDescent="0.25">
      <c r="B247" s="308"/>
      <c r="H247" s="367"/>
      <c r="I247" s="368"/>
      <c r="J247" s="368"/>
      <c r="K247" s="368"/>
      <c r="L247" s="368"/>
      <c r="M247" s="368"/>
      <c r="N247" s="368"/>
      <c r="O247" s="368"/>
      <c r="P247" s="368"/>
      <c r="Q247" s="368"/>
      <c r="R247" s="368"/>
      <c r="S247" s="368"/>
      <c r="T247" s="407"/>
    </row>
    <row r="248" spans="2:20" ht="17" thickTop="1" x14ac:dyDescent="0.2">
      <c r="B248" s="250" t="s">
        <v>41</v>
      </c>
      <c r="C248" s="237"/>
      <c r="D248" s="237"/>
      <c r="E248" s="237"/>
      <c r="F248" s="237"/>
      <c r="G248" s="237"/>
      <c r="H248" s="239">
        <f>H209+IF(H212="",H213,H212)-H246</f>
        <v>2548.5813482666708</v>
      </c>
      <c r="I248" s="240">
        <f t="shared" ref="I248:S248" si="131">I209+IF(I212="",I213,I212)-I246</f>
        <v>4302.8680149333377</v>
      </c>
      <c r="J248" s="240">
        <f t="shared" si="131"/>
        <v>5977.2280149333383</v>
      </c>
      <c r="K248" s="240">
        <f t="shared" si="131"/>
        <v>7731.5146816000051</v>
      </c>
      <c r="L248" s="240">
        <f t="shared" si="131"/>
        <v>9405.8746815999984</v>
      </c>
      <c r="M248" s="240">
        <f t="shared" si="131"/>
        <v>11160.161348266665</v>
      </c>
      <c r="N248" s="240">
        <f t="shared" si="131"/>
        <v>12834.428014933335</v>
      </c>
      <c r="O248" s="240">
        <f t="shared" si="131"/>
        <v>14588.808014933333</v>
      </c>
      <c r="P248" s="240">
        <f t="shared" si="131"/>
        <v>16263.074681600003</v>
      </c>
      <c r="Q248" s="240">
        <f t="shared" si="131"/>
        <v>18017.4546816</v>
      </c>
      <c r="R248" s="240">
        <f t="shared" si="131"/>
        <v>19691.72134826667</v>
      </c>
      <c r="S248" s="240">
        <f t="shared" si="131"/>
        <v>21483.158014933331</v>
      </c>
      <c r="T248" s="251">
        <f>SUM(H248:S248)</f>
        <v>144004.87284586672</v>
      </c>
    </row>
    <row r="249" spans="2:20" x14ac:dyDescent="0.2">
      <c r="H249" s="367"/>
      <c r="I249" s="368"/>
      <c r="J249" s="368"/>
      <c r="K249" s="368"/>
      <c r="L249" s="368"/>
      <c r="M249" s="368"/>
      <c r="N249" s="368"/>
      <c r="O249" s="368"/>
      <c r="P249" s="368"/>
      <c r="Q249" s="368"/>
      <c r="R249" s="368"/>
      <c r="S249" s="368"/>
      <c r="T249" s="381"/>
    </row>
    <row r="250" spans="2:20" ht="20" x14ac:dyDescent="0.2">
      <c r="B250" s="116" t="s">
        <v>52</v>
      </c>
      <c r="C250" s="327"/>
      <c r="D250" s="327"/>
      <c r="E250" s="327" t="str">
        <f>$E$3</f>
        <v>Year 4 (2023)</v>
      </c>
      <c r="F250" s="327"/>
      <c r="G250" s="327"/>
      <c r="H250" s="360" t="s">
        <v>127</v>
      </c>
      <c r="I250" s="361" t="s">
        <v>128</v>
      </c>
      <c r="J250" s="361" t="s">
        <v>129</v>
      </c>
      <c r="K250" s="361" t="s">
        <v>130</v>
      </c>
      <c r="L250" s="361" t="s">
        <v>131</v>
      </c>
      <c r="M250" s="361" t="s">
        <v>132</v>
      </c>
      <c r="N250" s="361" t="s">
        <v>133</v>
      </c>
      <c r="O250" s="361" t="s">
        <v>134</v>
      </c>
      <c r="P250" s="361" t="s">
        <v>135</v>
      </c>
      <c r="Q250" s="361" t="s">
        <v>136</v>
      </c>
      <c r="R250" s="361" t="s">
        <v>137</v>
      </c>
      <c r="S250" s="361" t="s">
        <v>138</v>
      </c>
      <c r="T250" s="362" t="s">
        <v>179</v>
      </c>
    </row>
    <row r="251" spans="2:20" x14ac:dyDescent="0.2">
      <c r="B251" s="401"/>
      <c r="C251" s="402"/>
      <c r="D251" s="402"/>
      <c r="E251" s="402"/>
      <c r="F251" s="402"/>
      <c r="G251" s="403" t="s">
        <v>57</v>
      </c>
      <c r="H251" s="363">
        <f>H$4</f>
        <v>37</v>
      </c>
      <c r="I251" s="364">
        <f t="shared" ref="I251:S251" si="132">I$4</f>
        <v>38</v>
      </c>
      <c r="J251" s="364">
        <f t="shared" si="132"/>
        <v>39</v>
      </c>
      <c r="K251" s="364">
        <f t="shared" si="132"/>
        <v>40</v>
      </c>
      <c r="L251" s="364">
        <f t="shared" si="132"/>
        <v>41</v>
      </c>
      <c r="M251" s="364">
        <f t="shared" si="132"/>
        <v>42</v>
      </c>
      <c r="N251" s="364">
        <f t="shared" si="132"/>
        <v>43</v>
      </c>
      <c r="O251" s="364">
        <f t="shared" si="132"/>
        <v>44</v>
      </c>
      <c r="P251" s="364">
        <f t="shared" si="132"/>
        <v>45</v>
      </c>
      <c r="Q251" s="364">
        <f t="shared" si="132"/>
        <v>46</v>
      </c>
      <c r="R251" s="364">
        <f t="shared" si="132"/>
        <v>47</v>
      </c>
      <c r="S251" s="364">
        <f t="shared" si="132"/>
        <v>48</v>
      </c>
      <c r="T251" s="405" t="str">
        <f>"Total for " &amp; $E$3</f>
        <v>Total for Year 4 (2023)</v>
      </c>
    </row>
    <row r="252" spans="2:20" x14ac:dyDescent="0.2">
      <c r="B252" s="307" t="s">
        <v>146</v>
      </c>
      <c r="G252" s="15"/>
      <c r="H252" s="398"/>
      <c r="I252" s="399"/>
      <c r="J252" s="399"/>
      <c r="K252" s="399"/>
      <c r="L252" s="399"/>
      <c r="M252" s="399"/>
      <c r="N252" s="399"/>
      <c r="O252" s="399"/>
      <c r="P252" s="399"/>
      <c r="Q252" s="399"/>
      <c r="R252" s="399"/>
      <c r="S252" s="399"/>
      <c r="T252" s="432"/>
    </row>
    <row r="253" spans="2:20" x14ac:dyDescent="0.2">
      <c r="B253" s="308"/>
      <c r="C253" t="s">
        <v>23</v>
      </c>
      <c r="D253" s="5"/>
      <c r="E253" s="7"/>
      <c r="F253" s="7"/>
      <c r="G253" s="5"/>
      <c r="H253" s="379">
        <f>H$183</f>
        <v>-3456.6507925333331</v>
      </c>
      <c r="I253" s="380">
        <f t="shared" ref="I253:S253" si="133">I$183</f>
        <v>-2053.2841258666663</v>
      </c>
      <c r="J253" s="380">
        <f t="shared" si="133"/>
        <v>-3082.614125866668</v>
      </c>
      <c r="K253" s="380">
        <f t="shared" si="133"/>
        <v>727.13587413333187</v>
      </c>
      <c r="L253" s="380">
        <f>L$183</f>
        <v>2103.3558741333304</v>
      </c>
      <c r="M253" s="380">
        <f t="shared" si="133"/>
        <v>3507.5558741333298</v>
      </c>
      <c r="N253" s="380">
        <f t="shared" si="133"/>
        <v>4888.1025407999987</v>
      </c>
      <c r="O253" s="380">
        <f t="shared" si="133"/>
        <v>6283.642540799995</v>
      </c>
      <c r="P253" s="380">
        <f t="shared" si="133"/>
        <v>7668.5225407999969</v>
      </c>
      <c r="Q253" s="380">
        <f t="shared" si="133"/>
        <v>9084.0625407999942</v>
      </c>
      <c r="R253" s="380">
        <f t="shared" si="133"/>
        <v>10468.942540799995</v>
      </c>
      <c r="S253" s="380">
        <f t="shared" si="133"/>
        <v>11914.009207466666</v>
      </c>
      <c r="T253" s="417">
        <f t="shared" ref="T253:T257" si="134">SUM(H253:S253)</f>
        <v>48052.780489599972</v>
      </c>
    </row>
    <row r="254" spans="2:20" x14ac:dyDescent="0.2">
      <c r="B254" s="308"/>
      <c r="C254" t="s">
        <v>147</v>
      </c>
      <c r="D254" s="5"/>
      <c r="E254" s="7"/>
      <c r="F254" s="7"/>
      <c r="G254" s="5"/>
      <c r="H254" s="379">
        <f>H$155</f>
        <v>3.3333333333333335</v>
      </c>
      <c r="I254" s="380">
        <f t="shared" ref="I254:S254" si="135">I$155</f>
        <v>4.166666666666667</v>
      </c>
      <c r="J254" s="380">
        <f t="shared" si="135"/>
        <v>4.166666666666667</v>
      </c>
      <c r="K254" s="380">
        <f t="shared" si="135"/>
        <v>4.166666666666667</v>
      </c>
      <c r="L254" s="380">
        <f t="shared" si="135"/>
        <v>4.166666666666667</v>
      </c>
      <c r="M254" s="380">
        <f t="shared" si="135"/>
        <v>4.166666666666667</v>
      </c>
      <c r="N254" s="380">
        <f t="shared" si="135"/>
        <v>8.5</v>
      </c>
      <c r="O254" s="380">
        <f t="shared" si="135"/>
        <v>8.5</v>
      </c>
      <c r="P254" s="380">
        <f t="shared" si="135"/>
        <v>8.5</v>
      </c>
      <c r="Q254" s="380">
        <f t="shared" si="135"/>
        <v>8.5</v>
      </c>
      <c r="R254" s="380">
        <f t="shared" si="135"/>
        <v>8.5</v>
      </c>
      <c r="S254" s="380">
        <f t="shared" si="135"/>
        <v>9.3333333333333339</v>
      </c>
      <c r="T254" s="417">
        <f t="shared" si="134"/>
        <v>76</v>
      </c>
    </row>
    <row r="255" spans="2:20" x14ac:dyDescent="0.2">
      <c r="B255" s="308"/>
      <c r="C255" t="s">
        <v>153</v>
      </c>
      <c r="D255" s="5"/>
      <c r="E255" s="7"/>
      <c r="F255" s="7"/>
      <c r="G255" s="5"/>
      <c r="H255" s="379">
        <f>H246-G246</f>
        <v>46312.418651733329</v>
      </c>
      <c r="I255" s="380">
        <f t="shared" ref="I255:S255" si="136">I246-H246</f>
        <v>18.713333333333139</v>
      </c>
      <c r="J255" s="380">
        <f t="shared" si="136"/>
        <v>17.639999999999418</v>
      </c>
      <c r="K255" s="380">
        <f t="shared" si="136"/>
        <v>18.713333333333139</v>
      </c>
      <c r="L255" s="380">
        <f t="shared" si="136"/>
        <v>17.640000000006694</v>
      </c>
      <c r="M255" s="380">
        <f t="shared" si="136"/>
        <v>18.713333333333139</v>
      </c>
      <c r="N255" s="380">
        <f t="shared" si="136"/>
        <v>17.733333333329938</v>
      </c>
      <c r="O255" s="380">
        <f t="shared" si="136"/>
        <v>18.620000000002619</v>
      </c>
      <c r="P255" s="380">
        <f t="shared" si="136"/>
        <v>17.733333333329938</v>
      </c>
      <c r="Q255" s="380">
        <f t="shared" si="136"/>
        <v>18.620000000002619</v>
      </c>
      <c r="R255" s="380">
        <f t="shared" si="136"/>
        <v>17.733333333329938</v>
      </c>
      <c r="S255" s="380">
        <f t="shared" si="136"/>
        <v>19.06333333333896</v>
      </c>
      <c r="T255" s="417">
        <f t="shared" si="134"/>
        <v>46513.341985066669</v>
      </c>
    </row>
    <row r="256" spans="2:20" ht="17" thickBot="1" x14ac:dyDescent="0.25">
      <c r="B256" s="308"/>
      <c r="C256" t="s">
        <v>148</v>
      </c>
      <c r="H256" s="379">
        <f t="shared" ref="H256:S256" si="137">H$200</f>
        <v>4000</v>
      </c>
      <c r="I256" s="380">
        <f t="shared" si="137"/>
        <v>1000</v>
      </c>
      <c r="J256" s="380">
        <f t="shared" si="137"/>
        <v>0</v>
      </c>
      <c r="K256" s="380">
        <f t="shared" si="137"/>
        <v>0</v>
      </c>
      <c r="L256" s="380">
        <f t="shared" si="137"/>
        <v>0</v>
      </c>
      <c r="M256" s="380">
        <f t="shared" si="137"/>
        <v>0</v>
      </c>
      <c r="N256" s="380">
        <f t="shared" si="137"/>
        <v>5200</v>
      </c>
      <c r="O256" s="380">
        <f t="shared" si="137"/>
        <v>0</v>
      </c>
      <c r="P256" s="380">
        <f t="shared" si="137"/>
        <v>0</v>
      </c>
      <c r="Q256" s="380">
        <f t="shared" si="137"/>
        <v>0</v>
      </c>
      <c r="R256" s="380">
        <f t="shared" si="137"/>
        <v>0</v>
      </c>
      <c r="S256" s="380">
        <f t="shared" si="137"/>
        <v>1000</v>
      </c>
      <c r="T256" s="417">
        <f t="shared" si="134"/>
        <v>11200</v>
      </c>
    </row>
    <row r="257" spans="2:20" ht="17" thickTop="1" x14ac:dyDescent="0.2">
      <c r="B257" s="250" t="s">
        <v>146</v>
      </c>
      <c r="C257" s="237"/>
      <c r="D257" s="237"/>
      <c r="E257" s="237"/>
      <c r="F257" s="237"/>
      <c r="G257" s="237"/>
      <c r="H257" s="167">
        <f>H253+H254+H255-H256</f>
        <v>38859.10119253333</v>
      </c>
      <c r="I257" s="167">
        <f t="shared" ref="I257:S257" si="138">I253+I254+I255-I256</f>
        <v>-3030.4041258666666</v>
      </c>
      <c r="J257" s="167">
        <f t="shared" si="138"/>
        <v>-3060.8074592000021</v>
      </c>
      <c r="K257" s="167">
        <f t="shared" si="138"/>
        <v>750.01587413333164</v>
      </c>
      <c r="L257" s="167">
        <f t="shared" si="138"/>
        <v>2125.1625408000036</v>
      </c>
      <c r="M257" s="167">
        <f t="shared" si="138"/>
        <v>3530.4358741333294</v>
      </c>
      <c r="N257" s="167">
        <f t="shared" si="138"/>
        <v>-285.66412586667138</v>
      </c>
      <c r="O257" s="167">
        <f t="shared" si="138"/>
        <v>6310.7625407999976</v>
      </c>
      <c r="P257" s="167">
        <f t="shared" si="138"/>
        <v>7694.7558741333269</v>
      </c>
      <c r="Q257" s="167">
        <f t="shared" si="138"/>
        <v>9111.1825407999968</v>
      </c>
      <c r="R257" s="167">
        <f t="shared" si="138"/>
        <v>10495.175874133325</v>
      </c>
      <c r="S257" s="167">
        <f t="shared" si="138"/>
        <v>10942.405874133339</v>
      </c>
      <c r="T257" s="167">
        <f t="shared" si="134"/>
        <v>83442.122474666627</v>
      </c>
    </row>
    <row r="258" spans="2:20" x14ac:dyDescent="0.2">
      <c r="B258" s="428"/>
      <c r="C258" s="5"/>
      <c r="D258" s="5"/>
      <c r="E258" s="7"/>
      <c r="F258" s="7"/>
      <c r="G258" s="5"/>
      <c r="H258" s="393"/>
      <c r="I258" s="394"/>
      <c r="J258" s="394"/>
      <c r="K258" s="394"/>
      <c r="L258" s="394"/>
      <c r="M258" s="394"/>
      <c r="N258" s="394"/>
      <c r="O258" s="394"/>
      <c r="P258" s="394"/>
      <c r="Q258" s="394"/>
      <c r="R258" s="394"/>
      <c r="S258" s="394"/>
      <c r="T258" s="430"/>
    </row>
    <row r="259" spans="2:20" x14ac:dyDescent="0.2">
      <c r="B259" s="307" t="s">
        <v>140</v>
      </c>
      <c r="G259" s="15"/>
      <c r="H259" s="398"/>
      <c r="I259" s="399"/>
      <c r="J259" s="399"/>
      <c r="K259" s="399"/>
      <c r="L259" s="399"/>
      <c r="M259" s="399"/>
      <c r="N259" s="399"/>
      <c r="O259" s="399"/>
      <c r="P259" s="399"/>
      <c r="Q259" s="399"/>
      <c r="R259" s="399"/>
      <c r="S259" s="399"/>
      <c r="T259" s="432"/>
    </row>
    <row r="260" spans="2:20" x14ac:dyDescent="0.2">
      <c r="B260" s="308"/>
      <c r="C260" s="24" t="s">
        <v>23</v>
      </c>
      <c r="D260" s="5"/>
      <c r="E260" s="7"/>
      <c r="F260" s="7"/>
      <c r="G260" s="5"/>
      <c r="H260" s="379">
        <f t="shared" ref="H260:T260" si="139">H183</f>
        <v>-3456.6507925333331</v>
      </c>
      <c r="I260" s="380">
        <f t="shared" si="139"/>
        <v>-2053.2841258666663</v>
      </c>
      <c r="J260" s="380">
        <f t="shared" si="139"/>
        <v>-3082.614125866668</v>
      </c>
      <c r="K260" s="380">
        <f t="shared" si="139"/>
        <v>727.13587413333187</v>
      </c>
      <c r="L260" s="380">
        <f t="shared" si="139"/>
        <v>2103.3558741333304</v>
      </c>
      <c r="M260" s="380">
        <f t="shared" si="139"/>
        <v>3507.5558741333298</v>
      </c>
      <c r="N260" s="380">
        <f t="shared" si="139"/>
        <v>4888.1025407999987</v>
      </c>
      <c r="O260" s="380">
        <f t="shared" si="139"/>
        <v>6283.642540799995</v>
      </c>
      <c r="P260" s="380">
        <f t="shared" si="139"/>
        <v>7668.5225407999969</v>
      </c>
      <c r="Q260" s="380">
        <f t="shared" si="139"/>
        <v>9084.0625407999942</v>
      </c>
      <c r="R260" s="380">
        <f t="shared" si="139"/>
        <v>10468.942540799995</v>
      </c>
      <c r="S260" s="380">
        <f t="shared" si="139"/>
        <v>11914.009207466666</v>
      </c>
      <c r="T260" s="417">
        <f t="shared" si="139"/>
        <v>48052.780489599972</v>
      </c>
    </row>
    <row r="261" spans="2:20" x14ac:dyDescent="0.2">
      <c r="B261" s="308"/>
      <c r="C261" s="24" t="s">
        <v>45</v>
      </c>
      <c r="H261" s="379">
        <f t="shared" ref="H261:T261" si="140">H155</f>
        <v>3.3333333333333335</v>
      </c>
      <c r="I261" s="380">
        <f t="shared" si="140"/>
        <v>4.166666666666667</v>
      </c>
      <c r="J261" s="380">
        <f t="shared" si="140"/>
        <v>4.166666666666667</v>
      </c>
      <c r="K261" s="380">
        <f t="shared" si="140"/>
        <v>4.166666666666667</v>
      </c>
      <c r="L261" s="380">
        <f t="shared" si="140"/>
        <v>4.166666666666667</v>
      </c>
      <c r="M261" s="380">
        <f t="shared" si="140"/>
        <v>4.166666666666667</v>
      </c>
      <c r="N261" s="380">
        <f t="shared" si="140"/>
        <v>8.5</v>
      </c>
      <c r="O261" s="380">
        <f t="shared" si="140"/>
        <v>8.5</v>
      </c>
      <c r="P261" s="380">
        <f t="shared" si="140"/>
        <v>8.5</v>
      </c>
      <c r="Q261" s="380">
        <f t="shared" si="140"/>
        <v>8.5</v>
      </c>
      <c r="R261" s="380">
        <f t="shared" si="140"/>
        <v>8.5</v>
      </c>
      <c r="S261" s="380">
        <f t="shared" si="140"/>
        <v>9.3333333333333339</v>
      </c>
      <c r="T261" s="417">
        <f t="shared" si="140"/>
        <v>76</v>
      </c>
    </row>
    <row r="262" spans="2:20" ht="17" thickBot="1" x14ac:dyDescent="0.25">
      <c r="B262" s="308"/>
      <c r="C262" s="24" t="s">
        <v>46</v>
      </c>
      <c r="H262" s="379">
        <f t="shared" ref="H262:S262" si="141">H248-G248</f>
        <v>2548.5813482666708</v>
      </c>
      <c r="I262" s="380">
        <f t="shared" si="141"/>
        <v>1754.2866666666669</v>
      </c>
      <c r="J262" s="380">
        <f t="shared" si="141"/>
        <v>1674.3600000000006</v>
      </c>
      <c r="K262" s="380">
        <f t="shared" si="141"/>
        <v>1754.2866666666669</v>
      </c>
      <c r="L262" s="380">
        <f t="shared" si="141"/>
        <v>1674.3599999999933</v>
      </c>
      <c r="M262" s="380">
        <f t="shared" si="141"/>
        <v>1754.2866666666669</v>
      </c>
      <c r="N262" s="380">
        <f t="shared" si="141"/>
        <v>1674.2666666666701</v>
      </c>
      <c r="O262" s="380">
        <f t="shared" si="141"/>
        <v>1754.3799999999974</v>
      </c>
      <c r="P262" s="380">
        <f t="shared" si="141"/>
        <v>1674.2666666666701</v>
      </c>
      <c r="Q262" s="380">
        <f t="shared" si="141"/>
        <v>1754.3799999999974</v>
      </c>
      <c r="R262" s="380">
        <f t="shared" si="141"/>
        <v>1674.2666666666701</v>
      </c>
      <c r="S262" s="380">
        <f t="shared" si="141"/>
        <v>1791.436666666661</v>
      </c>
      <c r="T262" s="417">
        <f t="shared" ref="T262:T268" si="142">SUM(H262:S262)</f>
        <v>21483.158014933331</v>
      </c>
    </row>
    <row r="263" spans="2:20" ht="17" thickTop="1" x14ac:dyDescent="0.2">
      <c r="B263" s="250" t="s">
        <v>141</v>
      </c>
      <c r="C263" s="237"/>
      <c r="D263" s="237"/>
      <c r="E263" s="237"/>
      <c r="F263" s="237"/>
      <c r="G263" s="237"/>
      <c r="H263" s="167">
        <f>H260+H261-H262</f>
        <v>-6001.8988074666704</v>
      </c>
      <c r="I263" s="167">
        <f t="shared" ref="I263:S263" si="143">I260+I261-I262</f>
        <v>-3803.4041258666666</v>
      </c>
      <c r="J263" s="167">
        <f t="shared" si="143"/>
        <v>-4752.8074592000021</v>
      </c>
      <c r="K263" s="167">
        <f t="shared" si="143"/>
        <v>-1022.9841258666684</v>
      </c>
      <c r="L263" s="167">
        <f t="shared" si="143"/>
        <v>433.16254080000363</v>
      </c>
      <c r="M263" s="167">
        <f t="shared" si="143"/>
        <v>1757.4358741333294</v>
      </c>
      <c r="N263" s="167">
        <f t="shared" si="143"/>
        <v>3222.3358741333286</v>
      </c>
      <c r="O263" s="167">
        <f t="shared" si="143"/>
        <v>4537.7625407999976</v>
      </c>
      <c r="P263" s="167">
        <f t="shared" si="143"/>
        <v>6002.7558741333269</v>
      </c>
      <c r="Q263" s="167">
        <f t="shared" si="143"/>
        <v>7338.1825407999968</v>
      </c>
      <c r="R263" s="167">
        <f t="shared" si="143"/>
        <v>8803.1758741333251</v>
      </c>
      <c r="S263" s="167">
        <f t="shared" si="143"/>
        <v>10131.905874133339</v>
      </c>
      <c r="T263" s="167">
        <f t="shared" si="142"/>
        <v>26645.622474666641</v>
      </c>
    </row>
    <row r="264" spans="2:20" x14ac:dyDescent="0.2">
      <c r="B264" s="428"/>
      <c r="C264" s="5"/>
      <c r="D264" s="5"/>
      <c r="E264" s="7"/>
      <c r="F264" s="7"/>
      <c r="G264" s="5"/>
      <c r="H264" s="393"/>
      <c r="I264" s="394"/>
      <c r="J264" s="394"/>
      <c r="K264" s="394"/>
      <c r="L264" s="394"/>
      <c r="M264" s="394"/>
      <c r="N264" s="394"/>
      <c r="O264" s="394"/>
      <c r="P264" s="394"/>
      <c r="Q264" s="394"/>
      <c r="R264" s="394"/>
      <c r="S264" s="394"/>
      <c r="T264" s="430"/>
    </row>
    <row r="265" spans="2:20" x14ac:dyDescent="0.2">
      <c r="B265" s="307" t="s">
        <v>142</v>
      </c>
      <c r="C265" s="5"/>
      <c r="D265" s="5"/>
      <c r="E265" s="7"/>
      <c r="F265" s="7"/>
      <c r="G265" s="5"/>
      <c r="H265" s="393"/>
      <c r="I265" s="394"/>
      <c r="J265" s="394"/>
      <c r="K265" s="394"/>
      <c r="L265" s="394"/>
      <c r="M265" s="394"/>
      <c r="N265" s="394"/>
      <c r="O265" s="394"/>
      <c r="P265" s="394"/>
      <c r="Q265" s="394"/>
      <c r="R265" s="394"/>
      <c r="S265" s="394"/>
      <c r="T265" s="430"/>
    </row>
    <row r="266" spans="2:20" x14ac:dyDescent="0.2">
      <c r="B266" s="308"/>
      <c r="C266" t="s">
        <v>47</v>
      </c>
      <c r="H266" s="382">
        <f t="shared" ref="H266:S266" si="144">H200</f>
        <v>4000</v>
      </c>
      <c r="I266" s="383">
        <f t="shared" si="144"/>
        <v>1000</v>
      </c>
      <c r="J266" s="383">
        <f t="shared" si="144"/>
        <v>0</v>
      </c>
      <c r="K266" s="383">
        <f t="shared" si="144"/>
        <v>0</v>
      </c>
      <c r="L266" s="383">
        <f t="shared" si="144"/>
        <v>0</v>
      </c>
      <c r="M266" s="383">
        <f t="shared" si="144"/>
        <v>0</v>
      </c>
      <c r="N266" s="383">
        <f t="shared" si="144"/>
        <v>5200</v>
      </c>
      <c r="O266" s="383">
        <f t="shared" si="144"/>
        <v>0</v>
      </c>
      <c r="P266" s="383">
        <f t="shared" si="144"/>
        <v>0</v>
      </c>
      <c r="Q266" s="383">
        <f t="shared" si="144"/>
        <v>0</v>
      </c>
      <c r="R266" s="383">
        <f t="shared" si="144"/>
        <v>0</v>
      </c>
      <c r="S266" s="383">
        <f t="shared" si="144"/>
        <v>1000</v>
      </c>
      <c r="T266" s="425">
        <f t="shared" si="142"/>
        <v>11200</v>
      </c>
    </row>
    <row r="267" spans="2:20" ht="17" thickBot="1" x14ac:dyDescent="0.25">
      <c r="B267" s="308"/>
      <c r="C267" s="457" t="s">
        <v>43</v>
      </c>
      <c r="D267" s="457"/>
      <c r="E267" s="457"/>
      <c r="F267" s="457"/>
      <c r="G267" s="457"/>
      <c r="H267" s="458">
        <v>0</v>
      </c>
      <c r="I267" s="459">
        <v>0</v>
      </c>
      <c r="J267" s="459">
        <v>0</v>
      </c>
      <c r="K267" s="459">
        <v>0</v>
      </c>
      <c r="L267" s="459">
        <v>0</v>
      </c>
      <c r="M267" s="459">
        <v>0</v>
      </c>
      <c r="N267" s="459">
        <v>0</v>
      </c>
      <c r="O267" s="459">
        <v>0</v>
      </c>
      <c r="P267" s="459">
        <v>0</v>
      </c>
      <c r="Q267" s="459">
        <v>0</v>
      </c>
      <c r="R267" s="459">
        <v>0</v>
      </c>
      <c r="S267" s="459">
        <v>0</v>
      </c>
      <c r="T267" s="417">
        <f t="shared" si="142"/>
        <v>0</v>
      </c>
    </row>
    <row r="268" spans="2:20" ht="17" thickTop="1" x14ac:dyDescent="0.2">
      <c r="B268" s="250" t="s">
        <v>144</v>
      </c>
      <c r="C268" s="237"/>
      <c r="D268" s="237"/>
      <c r="E268" s="237"/>
      <c r="F268" s="237"/>
      <c r="G268" s="237"/>
      <c r="H268" s="167">
        <f>-H266+H267</f>
        <v>-4000</v>
      </c>
      <c r="I268" s="167">
        <f t="shared" ref="I268:S268" si="145">-I266+I267</f>
        <v>-1000</v>
      </c>
      <c r="J268" s="167">
        <f t="shared" si="145"/>
        <v>0</v>
      </c>
      <c r="K268" s="167">
        <f t="shared" si="145"/>
        <v>0</v>
      </c>
      <c r="L268" s="167">
        <f t="shared" si="145"/>
        <v>0</v>
      </c>
      <c r="M268" s="167">
        <f t="shared" si="145"/>
        <v>0</v>
      </c>
      <c r="N268" s="167">
        <f t="shared" si="145"/>
        <v>-5200</v>
      </c>
      <c r="O268" s="167">
        <f t="shared" si="145"/>
        <v>0</v>
      </c>
      <c r="P268" s="167">
        <f t="shared" si="145"/>
        <v>0</v>
      </c>
      <c r="Q268" s="167">
        <f t="shared" si="145"/>
        <v>0</v>
      </c>
      <c r="R268" s="167">
        <f t="shared" si="145"/>
        <v>0</v>
      </c>
      <c r="S268" s="167">
        <f t="shared" si="145"/>
        <v>-1000</v>
      </c>
      <c r="T268" s="167">
        <f t="shared" si="142"/>
        <v>-11200</v>
      </c>
    </row>
    <row r="269" spans="2:20" x14ac:dyDescent="0.2">
      <c r="B269" s="428"/>
      <c r="C269" s="5"/>
      <c r="D269" s="5"/>
      <c r="E269" s="7"/>
      <c r="F269" s="7"/>
      <c r="G269" s="5"/>
      <c r="H269" s="393"/>
      <c r="I269" s="394"/>
      <c r="J269" s="394"/>
      <c r="K269" s="394"/>
      <c r="L269" s="394"/>
      <c r="M269" s="394"/>
      <c r="N269" s="394"/>
      <c r="O269" s="394"/>
      <c r="P269" s="394"/>
      <c r="Q269" s="394"/>
      <c r="R269" s="394"/>
      <c r="S269" s="394"/>
      <c r="T269" s="430"/>
    </row>
    <row r="270" spans="2:20" x14ac:dyDescent="0.2">
      <c r="B270" s="307" t="s">
        <v>143</v>
      </c>
      <c r="C270" s="5"/>
      <c r="D270" s="5"/>
      <c r="E270" s="7"/>
      <c r="F270" s="7"/>
      <c r="G270" s="5"/>
      <c r="H270" s="393"/>
      <c r="I270" s="394"/>
      <c r="J270" s="394"/>
      <c r="K270" s="394"/>
      <c r="L270" s="394"/>
      <c r="M270" s="394"/>
      <c r="N270" s="394"/>
      <c r="O270" s="394"/>
      <c r="P270" s="394"/>
      <c r="Q270" s="394"/>
      <c r="R270" s="394"/>
      <c r="S270" s="394"/>
      <c r="T270" s="430"/>
    </row>
    <row r="271" spans="2:20" x14ac:dyDescent="0.2">
      <c r="B271" s="308"/>
      <c r="C271" s="457" t="s">
        <v>44</v>
      </c>
      <c r="D271" s="457"/>
      <c r="E271" s="457"/>
      <c r="F271" s="457"/>
      <c r="G271" s="457"/>
      <c r="H271" s="458">
        <v>0</v>
      </c>
      <c r="I271" s="459">
        <v>0</v>
      </c>
      <c r="J271" s="459">
        <v>0</v>
      </c>
      <c r="K271" s="459">
        <v>0</v>
      </c>
      <c r="L271" s="459">
        <v>0</v>
      </c>
      <c r="M271" s="459">
        <v>0</v>
      </c>
      <c r="N271" s="459">
        <v>0</v>
      </c>
      <c r="O271" s="459">
        <v>0</v>
      </c>
      <c r="P271" s="459">
        <v>0</v>
      </c>
      <c r="Q271" s="459">
        <v>0</v>
      </c>
      <c r="R271" s="459">
        <v>0</v>
      </c>
      <c r="S271" s="459">
        <v>0</v>
      </c>
      <c r="T271" s="417">
        <f t="shared" ref="T271:T283" si="146">SUM(H271:S271)</f>
        <v>0</v>
      </c>
    </row>
    <row r="272" spans="2:20" x14ac:dyDescent="0.2">
      <c r="B272" s="308"/>
      <c r="C272" t="s">
        <v>123</v>
      </c>
      <c r="H272" s="379">
        <f>IFERROR(INDEX('Financing Schedule'!$C$13:$E$17,MATCH(H$251,'Financing Schedule'!$B$13:$B$17,FALSE),3),0)</f>
        <v>0</v>
      </c>
      <c r="I272" s="380">
        <f>IFERROR(INDEX('Financing Schedule'!$C$13:$E$17,MATCH(I$251,'Financing Schedule'!$B$13:$B$17,FALSE),3),0)</f>
        <v>0</v>
      </c>
      <c r="J272" s="380">
        <f>IFERROR(INDEX('Financing Schedule'!$C$13:$E$17,MATCH(J$251,'Financing Schedule'!$B$13:$B$17,FALSE),3),0)</f>
        <v>0</v>
      </c>
      <c r="K272" s="380">
        <f>IFERROR(INDEX('Financing Schedule'!$C$13:$E$17,MATCH(K$251,'Financing Schedule'!$B$13:$B$17,FALSE),3),0)</f>
        <v>0</v>
      </c>
      <c r="L272" s="380">
        <f>IFERROR(INDEX('Financing Schedule'!$C$13:$E$17,MATCH(L$251,'Financing Schedule'!$B$13:$B$17,FALSE),3),0)</f>
        <v>0</v>
      </c>
      <c r="M272" s="380">
        <f>IFERROR(INDEX('Financing Schedule'!$C$13:$E$17,MATCH(M$251,'Financing Schedule'!$B$13:$B$17,FALSE),3),0)</f>
        <v>0</v>
      </c>
      <c r="N272" s="380">
        <f>IFERROR(INDEX('Financing Schedule'!$C$13:$E$17,MATCH(N$251,'Financing Schedule'!$B$13:$B$17,FALSE),3),0)</f>
        <v>0</v>
      </c>
      <c r="O272" s="380">
        <f>IFERROR(INDEX('Financing Schedule'!$C$13:$E$17,MATCH(O$251,'Financing Schedule'!$B$13:$B$17,FALSE),3),0)</f>
        <v>0</v>
      </c>
      <c r="P272" s="380">
        <f>IFERROR(INDEX('Financing Schedule'!$C$13:$E$17,MATCH(P$251,'Financing Schedule'!$B$13:$B$17,FALSE),3),0)</f>
        <v>0</v>
      </c>
      <c r="Q272" s="380">
        <f>IFERROR(INDEX('Financing Schedule'!$C$13:$E$17,MATCH(Q$251,'Financing Schedule'!$B$13:$B$17,FALSE),3),0)</f>
        <v>0</v>
      </c>
      <c r="R272" s="380">
        <f>IFERROR(INDEX('Financing Schedule'!$C$13:$E$17,MATCH(R$251,'Financing Schedule'!$B$13:$B$17,FALSE),3),0)</f>
        <v>0</v>
      </c>
      <c r="S272" s="380">
        <f>IFERROR(INDEX('Financing Schedule'!$C$13:$E$17,MATCH(S$251,'Financing Schedule'!$B$13:$B$17,FALSE),3),0)</f>
        <v>0</v>
      </c>
      <c r="T272" s="417">
        <f>SUM(H272:S272)</f>
        <v>0</v>
      </c>
    </row>
    <row r="273" spans="2:20" x14ac:dyDescent="0.2">
      <c r="B273" s="308"/>
      <c r="C273" s="457" t="s">
        <v>122</v>
      </c>
      <c r="D273" s="457"/>
      <c r="E273" s="457"/>
      <c r="F273" s="457"/>
      <c r="G273" s="457"/>
      <c r="H273" s="458">
        <v>0</v>
      </c>
      <c r="I273" s="459">
        <v>0</v>
      </c>
      <c r="J273" s="459">
        <v>0</v>
      </c>
      <c r="K273" s="459">
        <v>0</v>
      </c>
      <c r="L273" s="459">
        <v>0</v>
      </c>
      <c r="M273" s="459">
        <v>0</v>
      </c>
      <c r="N273" s="459">
        <v>0</v>
      </c>
      <c r="O273" s="459">
        <v>0</v>
      </c>
      <c r="P273" s="459">
        <v>0</v>
      </c>
      <c r="Q273" s="459">
        <v>0</v>
      </c>
      <c r="R273" s="459">
        <v>0</v>
      </c>
      <c r="S273" s="459">
        <v>0</v>
      </c>
      <c r="T273" s="417">
        <f>SUM(H273:S273)</f>
        <v>0</v>
      </c>
    </row>
    <row r="274" spans="2:20" x14ac:dyDescent="0.2">
      <c r="B274" s="308"/>
      <c r="C274" t="s">
        <v>125</v>
      </c>
      <c r="H274" s="379">
        <f>IFERROR(INDEX('Financing Schedule'!$H$13:$L$17,MATCH(H$251,'Financing Schedule'!$G$13:$G$17,FALSE),3),0)</f>
        <v>0</v>
      </c>
      <c r="I274" s="380">
        <f>IFERROR(INDEX('Financing Schedule'!$H$13:$L$17,MATCH(I$251,'Financing Schedule'!$G$13:$G$17,FALSE),3),0)</f>
        <v>0</v>
      </c>
      <c r="J274" s="380">
        <f>IFERROR(INDEX('Financing Schedule'!$H$13:$L$17,MATCH(J$251,'Financing Schedule'!$G$13:$G$17,FALSE),3),0)</f>
        <v>0</v>
      </c>
      <c r="K274" s="380">
        <f>IFERROR(INDEX('Financing Schedule'!$H$13:$L$17,MATCH(K$251,'Financing Schedule'!$G$13:$G$17,FALSE),3),0)</f>
        <v>0</v>
      </c>
      <c r="L274" s="380">
        <f>IFERROR(INDEX('Financing Schedule'!$H$13:$L$17,MATCH(L$251,'Financing Schedule'!$G$13:$G$17,FALSE),3),0)</f>
        <v>0</v>
      </c>
      <c r="M274" s="380">
        <f>IFERROR(INDEX('Financing Schedule'!$H$13:$L$17,MATCH(M$251,'Financing Schedule'!$G$13:$G$17,FALSE),3),0)</f>
        <v>0</v>
      </c>
      <c r="N274" s="380">
        <f>IFERROR(INDEX('Financing Schedule'!$H$13:$L$17,MATCH(N$251,'Financing Schedule'!$G$13:$G$17,FALSE),3),0)</f>
        <v>0</v>
      </c>
      <c r="O274" s="380">
        <f>IFERROR(INDEX('Financing Schedule'!$H$13:$L$17,MATCH(O$251,'Financing Schedule'!$G$13:$G$17,FALSE),3),0)</f>
        <v>0</v>
      </c>
      <c r="P274" s="380">
        <f>IFERROR(INDEX('Financing Schedule'!$H$13:$L$17,MATCH(P$251,'Financing Schedule'!$G$13:$G$17,FALSE),3),0)</f>
        <v>0</v>
      </c>
      <c r="Q274" s="380">
        <f>IFERROR(INDEX('Financing Schedule'!$H$13:$L$17,MATCH(Q$251,'Financing Schedule'!$G$13:$G$17,FALSE),3),0)</f>
        <v>0</v>
      </c>
      <c r="R274" s="380">
        <f>IFERROR(INDEX('Financing Schedule'!$H$13:$L$17,MATCH(R$251,'Financing Schedule'!$G$13:$G$17,FALSE),3),0)</f>
        <v>0</v>
      </c>
      <c r="S274" s="380">
        <f>IFERROR(INDEX('Financing Schedule'!$H$13:$L$17,MATCH(S$251,'Financing Schedule'!$G$13:$G$17,FALSE),3),0)</f>
        <v>0</v>
      </c>
      <c r="T274" s="417">
        <f>SUM(H274:S274)</f>
        <v>0</v>
      </c>
    </row>
    <row r="275" spans="2:20" x14ac:dyDescent="0.2">
      <c r="B275" s="308"/>
      <c r="C275" t="s">
        <v>126</v>
      </c>
      <c r="H275" s="379"/>
      <c r="I275" s="380"/>
      <c r="J275" s="380"/>
      <c r="K275" s="380"/>
      <c r="L275" s="380"/>
      <c r="M275" s="380"/>
      <c r="N275" s="380"/>
      <c r="O275" s="380"/>
      <c r="P275" s="380"/>
      <c r="Q275" s="380"/>
      <c r="R275" s="380"/>
      <c r="S275" s="380"/>
      <c r="T275" s="417"/>
    </row>
    <row r="276" spans="2:20" x14ac:dyDescent="0.2">
      <c r="B276" s="308"/>
      <c r="D276" s="457" t="s">
        <v>156</v>
      </c>
      <c r="E276" s="457"/>
      <c r="F276" s="457"/>
      <c r="G276" s="457"/>
      <c r="H276" s="458">
        <v>0</v>
      </c>
      <c r="I276" s="459">
        <v>0</v>
      </c>
      <c r="J276" s="459">
        <v>0</v>
      </c>
      <c r="K276" s="459">
        <v>0</v>
      </c>
      <c r="L276" s="459">
        <v>0</v>
      </c>
      <c r="M276" s="459">
        <v>0</v>
      </c>
      <c r="N276" s="459">
        <v>0</v>
      </c>
      <c r="O276" s="459">
        <v>0</v>
      </c>
      <c r="P276" s="459">
        <v>0</v>
      </c>
      <c r="Q276" s="459">
        <v>0</v>
      </c>
      <c r="R276" s="459">
        <v>0</v>
      </c>
      <c r="S276" s="459">
        <v>0</v>
      </c>
      <c r="T276" s="417">
        <f>SUM(H276:S276)</f>
        <v>0</v>
      </c>
    </row>
    <row r="277" spans="2:20" x14ac:dyDescent="0.2">
      <c r="B277" s="308"/>
      <c r="D277" t="s">
        <v>158</v>
      </c>
      <c r="H277" s="379">
        <f>IFERROR(IF(AND(H$251&gt;'Financing Schedule'!$G13,H$251&lt;='Financing Schedule'!$G13+'Financing Schedule'!$L13),'Financing Schedule'!$I13,0),0)</f>
        <v>0</v>
      </c>
      <c r="I277" s="380">
        <f>IFERROR(IF(AND(I$251&gt;'Financing Schedule'!$G13,I$251&lt;='Financing Schedule'!$G13+'Financing Schedule'!$L13),'Financing Schedule'!$I13,0),0)</f>
        <v>0</v>
      </c>
      <c r="J277" s="380">
        <f>IFERROR(IF(AND(J$251&gt;'Financing Schedule'!$G13,J$251&lt;='Financing Schedule'!$G13+'Financing Schedule'!$L13),'Financing Schedule'!$I13,0),0)</f>
        <v>0</v>
      </c>
      <c r="K277" s="380">
        <f>IFERROR(IF(AND(K$251&gt;'Financing Schedule'!$G13,K$251&lt;='Financing Schedule'!$G13+'Financing Schedule'!$L13),'Financing Schedule'!$I13,0),0)</f>
        <v>0</v>
      </c>
      <c r="L277" s="380">
        <f>IFERROR(IF(AND(L$251&gt;'Financing Schedule'!$G13,L$251&lt;='Financing Schedule'!$G13+'Financing Schedule'!$L13),'Financing Schedule'!$I13,0),0)</f>
        <v>0</v>
      </c>
      <c r="M277" s="380">
        <f>IFERROR(IF(AND(M$251&gt;'Financing Schedule'!$G13,M$251&lt;='Financing Schedule'!$G13+'Financing Schedule'!$L13),'Financing Schedule'!$I13,0),0)</f>
        <v>0</v>
      </c>
      <c r="N277" s="380">
        <f>IFERROR(IF(AND(N$251&gt;'Financing Schedule'!$G13,N$251&lt;='Financing Schedule'!$G13+'Financing Schedule'!$L13),'Financing Schedule'!$I13,0),0)</f>
        <v>0</v>
      </c>
      <c r="O277" s="380">
        <f>IFERROR(IF(AND(O$251&gt;'Financing Schedule'!$G13,O$251&lt;='Financing Schedule'!$G13+'Financing Schedule'!$L13),'Financing Schedule'!$I13,0),0)</f>
        <v>0</v>
      </c>
      <c r="P277" s="380">
        <f>IFERROR(IF(AND(P$251&gt;'Financing Schedule'!$G13,P$251&lt;='Financing Schedule'!$G13+'Financing Schedule'!$L13),'Financing Schedule'!$I13,0),0)</f>
        <v>0</v>
      </c>
      <c r="Q277" s="380">
        <f>IFERROR(IF(AND(Q$251&gt;'Financing Schedule'!$G13,Q$251&lt;='Financing Schedule'!$G13+'Financing Schedule'!$L13),'Financing Schedule'!$I13,0),0)</f>
        <v>0</v>
      </c>
      <c r="R277" s="380">
        <f>IFERROR(IF(AND(R$251&gt;'Financing Schedule'!$G13,R$251&lt;='Financing Schedule'!$G13+'Financing Schedule'!$L13),'Financing Schedule'!$I13,0),0)</f>
        <v>0</v>
      </c>
      <c r="S277" s="380">
        <f>IFERROR(IF(AND(S$251&gt;'Financing Schedule'!$G13,S$251&lt;='Financing Schedule'!$G13+'Financing Schedule'!$L13),'Financing Schedule'!$I13,0),0)</f>
        <v>0</v>
      </c>
      <c r="T277" s="417">
        <f>SUM(H277:S277)</f>
        <v>0</v>
      </c>
    </row>
    <row r="278" spans="2:20" x14ac:dyDescent="0.2">
      <c r="B278" s="308"/>
      <c r="D278" t="s">
        <v>159</v>
      </c>
      <c r="H278" s="379">
        <f>IFERROR(IF(AND(H$251&gt;'Financing Schedule'!$G14,H$251&lt;='Financing Schedule'!$G14+'Financing Schedule'!$L14),'Financing Schedule'!$I14,0),0)</f>
        <v>0</v>
      </c>
      <c r="I278" s="380">
        <f>IFERROR(IF(AND(I$251&gt;'Financing Schedule'!$G14,I$251&lt;='Financing Schedule'!$G14+'Financing Schedule'!$L14),'Financing Schedule'!$I14,0),0)</f>
        <v>0</v>
      </c>
      <c r="J278" s="380">
        <f>IFERROR(IF(AND(J$251&gt;'Financing Schedule'!$G14,J$251&lt;='Financing Schedule'!$G14+'Financing Schedule'!$L14),'Financing Schedule'!$I14,0),0)</f>
        <v>0</v>
      </c>
      <c r="K278" s="380">
        <f>IFERROR(IF(AND(K$251&gt;'Financing Schedule'!$G14,K$251&lt;='Financing Schedule'!$G14+'Financing Schedule'!$L14),'Financing Schedule'!$I14,0),0)</f>
        <v>0</v>
      </c>
      <c r="L278" s="380">
        <f>IFERROR(IF(AND(L$251&gt;'Financing Schedule'!$G14,L$251&lt;='Financing Schedule'!$G14+'Financing Schedule'!$L14),'Financing Schedule'!$I14,0),0)</f>
        <v>0</v>
      </c>
      <c r="M278" s="380">
        <f>IFERROR(IF(AND(M$251&gt;'Financing Schedule'!$G14,M$251&lt;='Financing Schedule'!$G14+'Financing Schedule'!$L14),'Financing Schedule'!$I14,0),0)</f>
        <v>0</v>
      </c>
      <c r="N278" s="380">
        <f>IFERROR(IF(AND(N$251&gt;'Financing Schedule'!$G14,N$251&lt;='Financing Schedule'!$G14+'Financing Schedule'!$L14),'Financing Schedule'!$I14,0),0)</f>
        <v>0</v>
      </c>
      <c r="O278" s="380">
        <f>IFERROR(IF(AND(O$251&gt;'Financing Schedule'!$G14,O$251&lt;='Financing Schedule'!$G14+'Financing Schedule'!$L14),'Financing Schedule'!$I14,0),0)</f>
        <v>0</v>
      </c>
      <c r="P278" s="380">
        <f>IFERROR(IF(AND(P$251&gt;'Financing Schedule'!$G14,P$251&lt;='Financing Schedule'!$G14+'Financing Schedule'!$L14),'Financing Schedule'!$I14,0),0)</f>
        <v>0</v>
      </c>
      <c r="Q278" s="380">
        <f>IFERROR(IF(AND(Q$251&gt;'Financing Schedule'!$G14,Q$251&lt;='Financing Schedule'!$G14+'Financing Schedule'!$L14),'Financing Schedule'!$I14,0),0)</f>
        <v>0</v>
      </c>
      <c r="R278" s="380">
        <f>IFERROR(IF(AND(R$251&gt;'Financing Schedule'!$G14,R$251&lt;='Financing Schedule'!$G14+'Financing Schedule'!$L14),'Financing Schedule'!$I14,0),0)</f>
        <v>0</v>
      </c>
      <c r="S278" s="380">
        <f>IFERROR(IF(AND(S$251&gt;'Financing Schedule'!$G14,S$251&lt;='Financing Schedule'!$G14+'Financing Schedule'!$L14),'Financing Schedule'!$I14,0),0)</f>
        <v>0</v>
      </c>
      <c r="T278" s="417">
        <f t="shared" ref="T278:T281" si="147">SUM(H278:S278)</f>
        <v>0</v>
      </c>
    </row>
    <row r="279" spans="2:20" x14ac:dyDescent="0.2">
      <c r="B279" s="308"/>
      <c r="D279" t="s">
        <v>160</v>
      </c>
      <c r="H279" s="379">
        <f>IFERROR(IF(AND(H$251&gt;'Financing Schedule'!$G15,H$251&lt;='Financing Schedule'!$G15+'Financing Schedule'!$L15),'Financing Schedule'!$I15,0),0)</f>
        <v>0</v>
      </c>
      <c r="I279" s="380">
        <f>IFERROR(IF(AND(I$251&gt;'Financing Schedule'!$G15,I$251&lt;='Financing Schedule'!$G15+'Financing Schedule'!$L15),'Financing Schedule'!$I15,0),0)</f>
        <v>0</v>
      </c>
      <c r="J279" s="380">
        <f>IFERROR(IF(AND(J$251&gt;'Financing Schedule'!$G15,J$251&lt;='Financing Schedule'!$G15+'Financing Schedule'!$L15),'Financing Schedule'!$I15,0),0)</f>
        <v>0</v>
      </c>
      <c r="K279" s="380">
        <f>IFERROR(IF(AND(K$251&gt;'Financing Schedule'!$G15,K$251&lt;='Financing Schedule'!$G15+'Financing Schedule'!$L15),'Financing Schedule'!$I15,0),0)</f>
        <v>0</v>
      </c>
      <c r="L279" s="380">
        <f>IFERROR(IF(AND(L$251&gt;'Financing Schedule'!$G15,L$251&lt;='Financing Schedule'!$G15+'Financing Schedule'!$L15),'Financing Schedule'!$I15,0),0)</f>
        <v>0</v>
      </c>
      <c r="M279" s="380">
        <f>IFERROR(IF(AND(M$251&gt;'Financing Schedule'!$G15,M$251&lt;='Financing Schedule'!$G15+'Financing Schedule'!$L15),'Financing Schedule'!$I15,0),0)</f>
        <v>0</v>
      </c>
      <c r="N279" s="380">
        <f>IFERROR(IF(AND(N$251&gt;'Financing Schedule'!$G15,N$251&lt;='Financing Schedule'!$G15+'Financing Schedule'!$L15),'Financing Schedule'!$I15,0),0)</f>
        <v>0</v>
      </c>
      <c r="O279" s="380">
        <f>IFERROR(IF(AND(O$251&gt;'Financing Schedule'!$G15,O$251&lt;='Financing Schedule'!$G15+'Financing Schedule'!$L15),'Financing Schedule'!$I15,0),0)</f>
        <v>0</v>
      </c>
      <c r="P279" s="380">
        <f>IFERROR(IF(AND(P$251&gt;'Financing Schedule'!$G15,P$251&lt;='Financing Schedule'!$G15+'Financing Schedule'!$L15),'Financing Schedule'!$I15,0),0)</f>
        <v>0</v>
      </c>
      <c r="Q279" s="380">
        <f>IFERROR(IF(AND(Q$251&gt;'Financing Schedule'!$G15,Q$251&lt;='Financing Schedule'!$G15+'Financing Schedule'!$L15),'Financing Schedule'!$I15,0),0)</f>
        <v>0</v>
      </c>
      <c r="R279" s="380">
        <f>IFERROR(IF(AND(R$251&gt;'Financing Schedule'!$G15,R$251&lt;='Financing Schedule'!$G15+'Financing Schedule'!$L15),'Financing Schedule'!$I15,0),0)</f>
        <v>0</v>
      </c>
      <c r="S279" s="380">
        <f>IFERROR(IF(AND(S$251&gt;'Financing Schedule'!$G15,S$251&lt;='Financing Schedule'!$G15+'Financing Schedule'!$L15),'Financing Schedule'!$I15,0),0)</f>
        <v>0</v>
      </c>
      <c r="T279" s="417">
        <f t="shared" si="147"/>
        <v>0</v>
      </c>
    </row>
    <row r="280" spans="2:20" x14ac:dyDescent="0.2">
      <c r="B280" s="308"/>
      <c r="D280" t="s">
        <v>161</v>
      </c>
      <c r="H280" s="379">
        <f>IFERROR(IF(AND(H$251&gt;'Financing Schedule'!$G16,H$251&lt;='Financing Schedule'!$G16+'Financing Schedule'!$L16),'Financing Schedule'!$I16,0),0)</f>
        <v>0</v>
      </c>
      <c r="I280" s="380">
        <f>IFERROR(IF(AND(I$251&gt;'Financing Schedule'!$G16,I$251&lt;='Financing Schedule'!$G16+'Financing Schedule'!$L16),'Financing Schedule'!$I16,0),0)</f>
        <v>0</v>
      </c>
      <c r="J280" s="380">
        <f>IFERROR(IF(AND(J$251&gt;'Financing Schedule'!$G16,J$251&lt;='Financing Schedule'!$G16+'Financing Schedule'!$L16),'Financing Schedule'!$I16,0),0)</f>
        <v>0</v>
      </c>
      <c r="K280" s="380">
        <f>IFERROR(IF(AND(K$251&gt;'Financing Schedule'!$G16,K$251&lt;='Financing Schedule'!$G16+'Financing Schedule'!$L16),'Financing Schedule'!$I16,0),0)</f>
        <v>0</v>
      </c>
      <c r="L280" s="380">
        <f>IFERROR(IF(AND(L$251&gt;'Financing Schedule'!$G16,L$251&lt;='Financing Schedule'!$G16+'Financing Schedule'!$L16),'Financing Schedule'!$I16,0),0)</f>
        <v>0</v>
      </c>
      <c r="M280" s="380">
        <f>IFERROR(IF(AND(M$251&gt;'Financing Schedule'!$G16,M$251&lt;='Financing Schedule'!$G16+'Financing Schedule'!$L16),'Financing Schedule'!$I16,0),0)</f>
        <v>0</v>
      </c>
      <c r="N280" s="380">
        <f>IFERROR(IF(AND(N$251&gt;'Financing Schedule'!$G16,N$251&lt;='Financing Schedule'!$G16+'Financing Schedule'!$L16),'Financing Schedule'!$I16,0),0)</f>
        <v>0</v>
      </c>
      <c r="O280" s="380">
        <f>IFERROR(IF(AND(O$251&gt;'Financing Schedule'!$G16,O$251&lt;='Financing Schedule'!$G16+'Financing Schedule'!$L16),'Financing Schedule'!$I16,0),0)</f>
        <v>0</v>
      </c>
      <c r="P280" s="380">
        <f>IFERROR(IF(AND(P$251&gt;'Financing Schedule'!$G16,P$251&lt;='Financing Schedule'!$G16+'Financing Schedule'!$L16),'Financing Schedule'!$I16,0),0)</f>
        <v>0</v>
      </c>
      <c r="Q280" s="380">
        <f>IFERROR(IF(AND(Q$251&gt;'Financing Schedule'!$G16,Q$251&lt;='Financing Schedule'!$G16+'Financing Schedule'!$L16),'Financing Schedule'!$I16,0),0)</f>
        <v>0</v>
      </c>
      <c r="R280" s="380">
        <f>IFERROR(IF(AND(R$251&gt;'Financing Schedule'!$G16,R$251&lt;='Financing Schedule'!$G16+'Financing Schedule'!$L16),'Financing Schedule'!$I16,0),0)</f>
        <v>0</v>
      </c>
      <c r="S280" s="380">
        <f>IFERROR(IF(AND(S$251&gt;'Financing Schedule'!$G16,S$251&lt;='Financing Schedule'!$G16+'Financing Schedule'!$L16),'Financing Schedule'!$I16,0),0)</f>
        <v>0</v>
      </c>
      <c r="T280" s="417">
        <f t="shared" si="147"/>
        <v>0</v>
      </c>
    </row>
    <row r="281" spans="2:20" ht="17" thickBot="1" x14ac:dyDescent="0.25">
      <c r="B281" s="308"/>
      <c r="D281" t="s">
        <v>162</v>
      </c>
      <c r="H281" s="379">
        <f>IFERROR(IF(AND(H$251&gt;'Financing Schedule'!$G17,H$251&lt;='Financing Schedule'!$G17+'Financing Schedule'!$L17),'Financing Schedule'!$I17,0),0)</f>
        <v>0</v>
      </c>
      <c r="I281" s="380">
        <f>IFERROR(IF(AND(I$251&gt;'Financing Schedule'!$G17,I$251&lt;='Financing Schedule'!$G17+'Financing Schedule'!$L17),'Financing Schedule'!$I17,0),0)</f>
        <v>0</v>
      </c>
      <c r="J281" s="380">
        <f>IFERROR(IF(AND(J$251&gt;'Financing Schedule'!$G17,J$251&lt;='Financing Schedule'!$G17+'Financing Schedule'!$L17),'Financing Schedule'!$I17,0),0)</f>
        <v>0</v>
      </c>
      <c r="K281" s="380">
        <f>IFERROR(IF(AND(K$251&gt;'Financing Schedule'!$G17,K$251&lt;='Financing Schedule'!$G17+'Financing Schedule'!$L17),'Financing Schedule'!$I17,0),0)</f>
        <v>0</v>
      </c>
      <c r="L281" s="380">
        <f>IFERROR(IF(AND(L$251&gt;'Financing Schedule'!$G17,L$251&lt;='Financing Schedule'!$G17+'Financing Schedule'!$L17),'Financing Schedule'!$I17,0),0)</f>
        <v>0</v>
      </c>
      <c r="M281" s="380">
        <f>IFERROR(IF(AND(M$251&gt;'Financing Schedule'!$G17,M$251&lt;='Financing Schedule'!$G17+'Financing Schedule'!$L17),'Financing Schedule'!$I17,0),0)</f>
        <v>0</v>
      </c>
      <c r="N281" s="380">
        <f>IFERROR(IF(AND(N$251&gt;'Financing Schedule'!$G17,N$251&lt;='Financing Schedule'!$G17+'Financing Schedule'!$L17),'Financing Schedule'!$I17,0),0)</f>
        <v>0</v>
      </c>
      <c r="O281" s="380">
        <f>IFERROR(IF(AND(O$251&gt;'Financing Schedule'!$G17,O$251&lt;='Financing Schedule'!$G17+'Financing Schedule'!$L17),'Financing Schedule'!$I17,0),0)</f>
        <v>0</v>
      </c>
      <c r="P281" s="380">
        <f>IFERROR(IF(AND(P$251&gt;'Financing Schedule'!$G17,P$251&lt;='Financing Schedule'!$G17+'Financing Schedule'!$L17),'Financing Schedule'!$I17,0),0)</f>
        <v>0</v>
      </c>
      <c r="Q281" s="380">
        <f>IFERROR(IF(AND(Q$251&gt;'Financing Schedule'!$G17,Q$251&lt;='Financing Schedule'!$G17+'Financing Schedule'!$L17),'Financing Schedule'!$I17,0),0)</f>
        <v>0</v>
      </c>
      <c r="R281" s="380">
        <f>IFERROR(IF(AND(R$251&gt;'Financing Schedule'!$G17,R$251&lt;='Financing Schedule'!$G17+'Financing Schedule'!$L17),'Financing Schedule'!$I17,0),0)</f>
        <v>0</v>
      </c>
      <c r="S281" s="380">
        <f>IFERROR(IF(AND(S$251&gt;'Financing Schedule'!$G17,S$251&lt;='Financing Schedule'!$G17+'Financing Schedule'!$L17),'Financing Schedule'!$I17,0),0)</f>
        <v>0</v>
      </c>
      <c r="T281" s="417">
        <f t="shared" si="147"/>
        <v>0</v>
      </c>
    </row>
    <row r="282" spans="2:20" ht="18" thickTop="1" thickBot="1" x14ac:dyDescent="0.25">
      <c r="B282" s="308"/>
      <c r="C282" s="41" t="s">
        <v>124</v>
      </c>
      <c r="D282" s="42"/>
      <c r="E282" s="41"/>
      <c r="F282" s="43"/>
      <c r="G282" s="42"/>
      <c r="H282" s="391">
        <f>SUM(H276:H281)</f>
        <v>0</v>
      </c>
      <c r="I282" s="392">
        <f t="shared" ref="I282:S282" si="148">SUM(I276:I281)</f>
        <v>0</v>
      </c>
      <c r="J282" s="392">
        <f t="shared" si="148"/>
        <v>0</v>
      </c>
      <c r="K282" s="392">
        <f t="shared" si="148"/>
        <v>0</v>
      </c>
      <c r="L282" s="392">
        <f t="shared" si="148"/>
        <v>0</v>
      </c>
      <c r="M282" s="392">
        <f t="shared" si="148"/>
        <v>0</v>
      </c>
      <c r="N282" s="392">
        <f t="shared" si="148"/>
        <v>0</v>
      </c>
      <c r="O282" s="392">
        <f t="shared" si="148"/>
        <v>0</v>
      </c>
      <c r="P282" s="392">
        <f t="shared" si="148"/>
        <v>0</v>
      </c>
      <c r="Q282" s="392">
        <f t="shared" si="148"/>
        <v>0</v>
      </c>
      <c r="R282" s="392">
        <f t="shared" si="148"/>
        <v>0</v>
      </c>
      <c r="S282" s="392">
        <f t="shared" si="148"/>
        <v>0</v>
      </c>
      <c r="T282" s="433">
        <f>SUM(H282:S282)</f>
        <v>0</v>
      </c>
    </row>
    <row r="283" spans="2:20" ht="17" thickTop="1" x14ac:dyDescent="0.2">
      <c r="B283" s="250" t="s">
        <v>145</v>
      </c>
      <c r="C283" s="237"/>
      <c r="D283" s="237"/>
      <c r="E283" s="237"/>
      <c r="F283" s="237"/>
      <c r="G283" s="237"/>
      <c r="H283" s="167">
        <f t="shared" ref="H283:S283" si="149">SUM(H271,H272,H274)-SUM(H273,H$282)</f>
        <v>0</v>
      </c>
      <c r="I283" s="167">
        <f t="shared" si="149"/>
        <v>0</v>
      </c>
      <c r="J283" s="167">
        <f t="shared" si="149"/>
        <v>0</v>
      </c>
      <c r="K283" s="167">
        <f t="shared" si="149"/>
        <v>0</v>
      </c>
      <c r="L283" s="167">
        <f t="shared" si="149"/>
        <v>0</v>
      </c>
      <c r="M283" s="167">
        <f t="shared" si="149"/>
        <v>0</v>
      </c>
      <c r="N283" s="167">
        <f t="shared" si="149"/>
        <v>0</v>
      </c>
      <c r="O283" s="167">
        <f t="shared" si="149"/>
        <v>0</v>
      </c>
      <c r="P283" s="167">
        <f t="shared" si="149"/>
        <v>0</v>
      </c>
      <c r="Q283" s="167">
        <f t="shared" si="149"/>
        <v>0</v>
      </c>
      <c r="R283" s="167">
        <f t="shared" si="149"/>
        <v>0</v>
      </c>
      <c r="S283" s="167">
        <f t="shared" si="149"/>
        <v>0</v>
      </c>
      <c r="T283" s="167">
        <f t="shared" si="146"/>
        <v>0</v>
      </c>
    </row>
    <row r="284" spans="2:20" x14ac:dyDescent="0.2">
      <c r="B284" s="428"/>
      <c r="C284" s="5"/>
      <c r="D284" s="5"/>
      <c r="E284" s="7"/>
      <c r="F284" s="7"/>
      <c r="G284" s="5"/>
      <c r="H284" s="393"/>
      <c r="I284" s="394"/>
      <c r="J284" s="394"/>
      <c r="K284" s="394"/>
      <c r="L284" s="394"/>
      <c r="M284" s="394"/>
      <c r="N284" s="394"/>
      <c r="O284" s="394"/>
      <c r="P284" s="394"/>
      <c r="Q284" s="394"/>
      <c r="R284" s="394"/>
      <c r="S284" s="394"/>
      <c r="T284" s="430"/>
    </row>
    <row r="285" spans="2:20" x14ac:dyDescent="0.2">
      <c r="B285" s="308" t="s">
        <v>50</v>
      </c>
      <c r="H285" s="379">
        <f>'Year 3'!$S$287</f>
        <v>-892560.59293333313</v>
      </c>
      <c r="I285" s="380">
        <f t="shared" ref="I285:S285" si="150">H287</f>
        <v>-902562.49174079974</v>
      </c>
      <c r="J285" s="380">
        <f t="shared" si="150"/>
        <v>-907365.89586666645</v>
      </c>
      <c r="K285" s="380">
        <f t="shared" si="150"/>
        <v>-912118.70332586649</v>
      </c>
      <c r="L285" s="380">
        <f t="shared" si="150"/>
        <v>-913141.68745173316</v>
      </c>
      <c r="M285" s="380">
        <f t="shared" si="150"/>
        <v>-912708.52491093311</v>
      </c>
      <c r="N285" s="380">
        <f t="shared" si="150"/>
        <v>-910951.08903679973</v>
      </c>
      <c r="O285" s="380">
        <f t="shared" si="150"/>
        <v>-912928.75316266646</v>
      </c>
      <c r="P285" s="380">
        <f t="shared" si="150"/>
        <v>-908390.99062186643</v>
      </c>
      <c r="Q285" s="380">
        <f t="shared" si="150"/>
        <v>-902388.23474773311</v>
      </c>
      <c r="R285" s="380">
        <f t="shared" si="150"/>
        <v>-895050.05220693315</v>
      </c>
      <c r="S285" s="380">
        <f t="shared" si="150"/>
        <v>-886246.87633279979</v>
      </c>
      <c r="T285" s="417">
        <f>H285</f>
        <v>-892560.59293333313</v>
      </c>
    </row>
    <row r="286" spans="2:20" x14ac:dyDescent="0.2">
      <c r="B286" s="308"/>
      <c r="C286" s="24" t="s">
        <v>49</v>
      </c>
      <c r="H286" s="379">
        <f t="shared" ref="H286:T286" si="151">H263+H268+H283</f>
        <v>-10001.89880746667</v>
      </c>
      <c r="I286" s="380">
        <f t="shared" si="151"/>
        <v>-4803.4041258666666</v>
      </c>
      <c r="J286" s="380">
        <f t="shared" si="151"/>
        <v>-4752.8074592000021</v>
      </c>
      <c r="K286" s="380">
        <f t="shared" si="151"/>
        <v>-1022.9841258666684</v>
      </c>
      <c r="L286" s="380">
        <f t="shared" si="151"/>
        <v>433.16254080000363</v>
      </c>
      <c r="M286" s="380">
        <f t="shared" si="151"/>
        <v>1757.4358741333294</v>
      </c>
      <c r="N286" s="380">
        <f t="shared" si="151"/>
        <v>-1977.6641258666714</v>
      </c>
      <c r="O286" s="380">
        <f t="shared" si="151"/>
        <v>4537.7625407999976</v>
      </c>
      <c r="P286" s="380">
        <f t="shared" si="151"/>
        <v>6002.7558741333269</v>
      </c>
      <c r="Q286" s="380">
        <f t="shared" si="151"/>
        <v>7338.1825407999968</v>
      </c>
      <c r="R286" s="380">
        <f t="shared" si="151"/>
        <v>8803.1758741333251</v>
      </c>
      <c r="S286" s="380">
        <f t="shared" si="151"/>
        <v>9131.9058741333392</v>
      </c>
      <c r="T286" s="417">
        <f t="shared" si="151"/>
        <v>15445.622474666641</v>
      </c>
    </row>
    <row r="287" spans="2:20" ht="17" thickBot="1" x14ac:dyDescent="0.25">
      <c r="B287" s="308" t="s">
        <v>51</v>
      </c>
      <c r="H287" s="379">
        <f>H285+H286</f>
        <v>-902562.49174079974</v>
      </c>
      <c r="I287" s="380">
        <f t="shared" ref="I287:T287" si="152">I285+I286</f>
        <v>-907365.89586666645</v>
      </c>
      <c r="J287" s="380">
        <f t="shared" si="152"/>
        <v>-912118.70332586649</v>
      </c>
      <c r="K287" s="380">
        <f t="shared" si="152"/>
        <v>-913141.68745173316</v>
      </c>
      <c r="L287" s="380">
        <f t="shared" si="152"/>
        <v>-912708.52491093311</v>
      </c>
      <c r="M287" s="380">
        <f t="shared" si="152"/>
        <v>-910951.08903679973</v>
      </c>
      <c r="N287" s="380">
        <f t="shared" si="152"/>
        <v>-912928.75316266646</v>
      </c>
      <c r="O287" s="380">
        <f t="shared" si="152"/>
        <v>-908390.99062186643</v>
      </c>
      <c r="P287" s="380">
        <f t="shared" si="152"/>
        <v>-902388.23474773311</v>
      </c>
      <c r="Q287" s="380">
        <f t="shared" si="152"/>
        <v>-895050.05220693315</v>
      </c>
      <c r="R287" s="380">
        <f t="shared" si="152"/>
        <v>-886246.87633279979</v>
      </c>
      <c r="S287" s="380">
        <f t="shared" si="152"/>
        <v>-877114.97045866644</v>
      </c>
      <c r="T287" s="417">
        <f t="shared" si="152"/>
        <v>-877114.97045866644</v>
      </c>
    </row>
    <row r="288" spans="2:20" ht="17" thickTop="1" x14ac:dyDescent="0.2">
      <c r="B288" s="250" t="s">
        <v>54</v>
      </c>
      <c r="C288" s="237"/>
      <c r="D288" s="237"/>
      <c r="E288" s="237"/>
      <c r="F288" s="237"/>
      <c r="G288" s="237"/>
      <c r="H288" s="167">
        <f>H287</f>
        <v>-902562.49174079974</v>
      </c>
      <c r="I288" s="167">
        <f t="shared" ref="I288:T288" si="153">I287</f>
        <v>-907365.89586666645</v>
      </c>
      <c r="J288" s="167">
        <f t="shared" si="153"/>
        <v>-912118.70332586649</v>
      </c>
      <c r="K288" s="167">
        <f t="shared" si="153"/>
        <v>-913141.68745173316</v>
      </c>
      <c r="L288" s="167">
        <f t="shared" si="153"/>
        <v>-912708.52491093311</v>
      </c>
      <c r="M288" s="167">
        <f t="shared" si="153"/>
        <v>-910951.08903679973</v>
      </c>
      <c r="N288" s="167">
        <f t="shared" si="153"/>
        <v>-912928.75316266646</v>
      </c>
      <c r="O288" s="167">
        <f t="shared" si="153"/>
        <v>-908390.99062186643</v>
      </c>
      <c r="P288" s="167">
        <f t="shared" si="153"/>
        <v>-902388.23474773311</v>
      </c>
      <c r="Q288" s="167">
        <f t="shared" si="153"/>
        <v>-895050.05220693315</v>
      </c>
      <c r="R288" s="167">
        <f t="shared" si="153"/>
        <v>-886246.87633279979</v>
      </c>
      <c r="S288" s="167">
        <f t="shared" si="153"/>
        <v>-877114.97045866644</v>
      </c>
      <c r="T288" s="167">
        <f t="shared" si="153"/>
        <v>-877114.97045866644</v>
      </c>
    </row>
    <row r="289" spans="2:20" ht="17" thickBot="1" x14ac:dyDescent="0.25">
      <c r="B289" s="308"/>
      <c r="H289" s="367"/>
      <c r="I289" s="368"/>
      <c r="J289" s="368"/>
      <c r="K289" s="368"/>
      <c r="L289" s="368"/>
      <c r="M289" s="368"/>
      <c r="N289" s="368"/>
      <c r="O289" s="368"/>
      <c r="P289" s="368"/>
      <c r="Q289" s="368"/>
      <c r="R289" s="368"/>
      <c r="S289" s="368"/>
      <c r="T289" s="407"/>
    </row>
    <row r="290" spans="2:20" ht="17" thickTop="1" x14ac:dyDescent="0.2">
      <c r="B290" s="250" t="s">
        <v>48</v>
      </c>
      <c r="C290" s="237"/>
      <c r="D290" s="237"/>
      <c r="E290" s="237"/>
      <c r="F290" s="237"/>
      <c r="G290" s="237"/>
      <c r="H290" s="239">
        <f>IF(H288&lt;0,ABS(H288),0)</f>
        <v>902562.49174079974</v>
      </c>
      <c r="I290" s="240">
        <f t="shared" ref="I290:T290" si="154">IF(I288&lt;0,ABS(I288),0)</f>
        <v>907365.89586666645</v>
      </c>
      <c r="J290" s="240">
        <f t="shared" si="154"/>
        <v>912118.70332586649</v>
      </c>
      <c r="K290" s="240">
        <f t="shared" si="154"/>
        <v>913141.68745173316</v>
      </c>
      <c r="L290" s="240">
        <f t="shared" si="154"/>
        <v>912708.52491093311</v>
      </c>
      <c r="M290" s="240">
        <f t="shared" si="154"/>
        <v>910951.08903679973</v>
      </c>
      <c r="N290" s="240">
        <f t="shared" si="154"/>
        <v>912928.75316266646</v>
      </c>
      <c r="O290" s="240">
        <f t="shared" si="154"/>
        <v>908390.99062186643</v>
      </c>
      <c r="P290" s="240">
        <f t="shared" si="154"/>
        <v>902388.23474773311</v>
      </c>
      <c r="Q290" s="240">
        <f t="shared" si="154"/>
        <v>895050.05220693315</v>
      </c>
      <c r="R290" s="240">
        <f t="shared" si="154"/>
        <v>886246.87633279979</v>
      </c>
      <c r="S290" s="240">
        <f t="shared" si="154"/>
        <v>877114.97045866644</v>
      </c>
      <c r="T290" s="251">
        <f t="shared" si="154"/>
        <v>877114.97045866644</v>
      </c>
    </row>
  </sheetData>
  <mergeCells count="10">
    <mergeCell ref="C170:C171"/>
    <mergeCell ref="D1:H1"/>
    <mergeCell ref="C172:C173"/>
    <mergeCell ref="C174:C175"/>
    <mergeCell ref="C176:C177"/>
    <mergeCell ref="E85:E86"/>
    <mergeCell ref="G85:G86"/>
    <mergeCell ref="E103:E104"/>
    <mergeCell ref="F103:G104"/>
    <mergeCell ref="F168:G169"/>
  </mergeCells>
  <conditionalFormatting sqref="H257:T257">
    <cfRule type="cellIs" dxfId="10" priority="1" operator="lessThan">
      <formula>0</formula>
    </cfRule>
  </conditionalFormatting>
  <conditionalFormatting sqref="H263:T263">
    <cfRule type="cellIs" dxfId="9" priority="2" operator="lessThan">
      <formula>0</formula>
    </cfRule>
  </conditionalFormatting>
  <conditionalFormatting sqref="H268:T268">
    <cfRule type="cellIs" dxfId="8" priority="3" operator="lessThan">
      <formula>0</formula>
    </cfRule>
  </conditionalFormatting>
  <conditionalFormatting sqref="H283:T283">
    <cfRule type="cellIs" dxfId="7" priority="4" operator="lessThan">
      <formula>0</formula>
    </cfRule>
  </conditionalFormatting>
  <conditionalFormatting sqref="H288:T288">
    <cfRule type="cellIs" dxfId="6" priority="5" operator="lessThan">
      <formula>0</formula>
    </cfRule>
  </conditionalFormatting>
  <dataValidations count="1">
    <dataValidation type="list" showInputMessage="1" showErrorMessage="1" sqref="E170 E178:E179 E174 E176 E172" xr:uid="{00000000-0002-0000-0500-000000000000}">
      <formula1>$A$301:$A$304</formula1>
    </dataValidation>
  </dataValidations>
  <hyperlinks>
    <hyperlink ref="B1" location="Introduction!A1" display="Return to Introduction Page" xr:uid="{00000000-0004-0000-0500-000000000000}"/>
  </hyperlinks>
  <pageMargins left="0.7" right="0.7" top="0.75" bottom="0.75" header="0.3" footer="0.3"/>
  <pageSetup paperSize="9" orientation="portrait" horizontalDpi="0" verticalDpi="0"/>
  <drawing r:id="rId1"/>
  <extLst>
    <ext xmlns:x14="http://schemas.microsoft.com/office/spreadsheetml/2009/9/main" uri="{CCE6A557-97BC-4b89-ADB6-D9C93CAAB3DF}">
      <x14:dataValidations xmlns:xm="http://schemas.microsoft.com/office/excel/2006/main" count="1">
        <x14:dataValidation type="list" showInputMessage="1" showErrorMessage="1" xr:uid="{00000000-0002-0000-0500-000001000000}">
          <x14:formula1>
            <xm:f>Introduction!$A$301:$A$304</xm:f>
          </x14:formula1>
          <xm:sqref>E181</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290"/>
  <sheetViews>
    <sheetView showGridLines="0" workbookViewId="0">
      <pane xSplit="7" topLeftCell="H1" activePane="topRight" state="frozen"/>
      <selection pane="topRight" activeCell="H10" sqref="H10"/>
    </sheetView>
  </sheetViews>
  <sheetFormatPr baseColWidth="10" defaultColWidth="11.1640625" defaultRowHeight="16" x14ac:dyDescent="0.2"/>
  <cols>
    <col min="1" max="1" width="7" style="25" customWidth="1"/>
    <col min="2" max="2" width="11" style="309" customWidth="1"/>
    <col min="3" max="3" width="18.83203125" customWidth="1"/>
    <col min="4" max="4" width="27.6640625" customWidth="1"/>
    <col min="5" max="5" width="15.33203125" customWidth="1"/>
    <col min="6" max="7" width="13.83203125" customWidth="1"/>
    <col min="8" max="20" width="19.83203125" customWidth="1"/>
    <col min="21" max="26" width="11" customWidth="1"/>
    <col min="27" max="27" width="13.33203125" customWidth="1"/>
  </cols>
  <sheetData>
    <row r="1" spans="1:20" ht="25" x14ac:dyDescent="0.25">
      <c r="A1" s="56"/>
      <c r="B1" s="108" t="s">
        <v>88</v>
      </c>
      <c r="C1" s="108"/>
      <c r="D1" s="495"/>
      <c r="E1" s="495"/>
      <c r="F1" s="495"/>
      <c r="G1" s="495"/>
      <c r="H1" s="495"/>
      <c r="I1" s="309" t="str">
        <f>"tip: input your assumptions and forecast parameters for "&amp; $E$3&amp;" on the left or in the lightly green highlighted cells below."</f>
        <v>tip: input your assumptions and forecast parameters for Year 5 (2024) on the left or in the lightly green highlighted cells below.</v>
      </c>
      <c r="J1" s="47"/>
    </row>
    <row r="2" spans="1:20" x14ac:dyDescent="0.2">
      <c r="B2" s="304"/>
      <c r="C2" s="108"/>
    </row>
    <row r="3" spans="1:20" ht="20" x14ac:dyDescent="0.2">
      <c r="B3" s="116" t="s">
        <v>0</v>
      </c>
      <c r="C3" s="327"/>
      <c r="D3" s="327"/>
      <c r="E3" s="327" t="str">
        <f>"Year 5 ("&amp;'Financing Schedule'!$D$5+4&amp;")"</f>
        <v>Year 5 (2024)</v>
      </c>
      <c r="F3" s="327"/>
      <c r="G3" s="327"/>
      <c r="H3" s="360" t="s">
        <v>127</v>
      </c>
      <c r="I3" s="361" t="s">
        <v>128</v>
      </c>
      <c r="J3" s="361" t="s">
        <v>129</v>
      </c>
      <c r="K3" s="361" t="s">
        <v>130</v>
      </c>
      <c r="L3" s="361" t="s">
        <v>131</v>
      </c>
      <c r="M3" s="361" t="s">
        <v>132</v>
      </c>
      <c r="N3" s="361" t="s">
        <v>133</v>
      </c>
      <c r="O3" s="361" t="s">
        <v>134</v>
      </c>
      <c r="P3" s="361" t="s">
        <v>135</v>
      </c>
      <c r="Q3" s="361" t="s">
        <v>136</v>
      </c>
      <c r="R3" s="361" t="s">
        <v>137</v>
      </c>
      <c r="S3" s="361" t="s">
        <v>138</v>
      </c>
      <c r="T3" s="362" t="s">
        <v>179</v>
      </c>
    </row>
    <row r="4" spans="1:20" x14ac:dyDescent="0.2">
      <c r="B4" s="401"/>
      <c r="C4" s="402"/>
      <c r="D4" s="402"/>
      <c r="E4" s="402"/>
      <c r="F4" s="402"/>
      <c r="G4" s="403" t="s">
        <v>57</v>
      </c>
      <c r="H4" s="363">
        <v>49</v>
      </c>
      <c r="I4" s="364">
        <f t="shared" ref="I4:S4" si="0">H4+1</f>
        <v>50</v>
      </c>
      <c r="J4" s="364">
        <f t="shared" si="0"/>
        <v>51</v>
      </c>
      <c r="K4" s="364">
        <f t="shared" si="0"/>
        <v>52</v>
      </c>
      <c r="L4" s="364">
        <f t="shared" si="0"/>
        <v>53</v>
      </c>
      <c r="M4" s="364">
        <f t="shared" si="0"/>
        <v>54</v>
      </c>
      <c r="N4" s="364">
        <f t="shared" si="0"/>
        <v>55</v>
      </c>
      <c r="O4" s="364">
        <f t="shared" si="0"/>
        <v>56</v>
      </c>
      <c r="P4" s="364">
        <f t="shared" si="0"/>
        <v>57</v>
      </c>
      <c r="Q4" s="364">
        <f t="shared" si="0"/>
        <v>58</v>
      </c>
      <c r="R4" s="364">
        <f t="shared" si="0"/>
        <v>59</v>
      </c>
      <c r="S4" s="364">
        <f t="shared" si="0"/>
        <v>60</v>
      </c>
      <c r="T4" s="405" t="str">
        <f>"Total for " &amp; $E$3</f>
        <v>Total for Year 5 (2024)</v>
      </c>
    </row>
    <row r="5" spans="1:20" x14ac:dyDescent="0.2">
      <c r="B5" s="308"/>
      <c r="H5" s="365"/>
      <c r="I5" s="366"/>
      <c r="J5" s="366"/>
      <c r="K5" s="366"/>
      <c r="L5" s="366"/>
      <c r="M5" s="366"/>
      <c r="N5" s="366"/>
      <c r="O5" s="366"/>
      <c r="P5" s="366"/>
      <c r="Q5" s="366"/>
      <c r="R5" s="366"/>
      <c r="S5" s="366"/>
      <c r="T5" s="406"/>
    </row>
    <row r="6" spans="1:20" x14ac:dyDescent="0.2">
      <c r="B6" s="307" t="str">
        <f>'Year 4'!B6</f>
        <v>Product Revenue</v>
      </c>
      <c r="C6" s="9"/>
      <c r="D6" s="11"/>
      <c r="E6" s="12"/>
      <c r="H6" s="367"/>
      <c r="I6" s="368"/>
      <c r="J6" s="368"/>
      <c r="K6" s="368"/>
      <c r="L6" s="368"/>
      <c r="M6" s="368"/>
      <c r="N6" s="368"/>
      <c r="O6" s="368"/>
      <c r="P6" s="368"/>
      <c r="Q6" s="368"/>
      <c r="R6" s="368"/>
      <c r="S6" s="368"/>
      <c r="T6" s="407"/>
    </row>
    <row r="7" spans="1:20" x14ac:dyDescent="0.2">
      <c r="B7" s="308"/>
      <c r="C7" t="s">
        <v>188</v>
      </c>
      <c r="E7" s="452">
        <f>'Year 4'!E7</f>
        <v>120</v>
      </c>
      <c r="G7" s="13"/>
      <c r="H7" s="367"/>
      <c r="I7" s="369"/>
      <c r="J7" s="369"/>
      <c r="K7" s="369"/>
      <c r="L7" s="369"/>
      <c r="M7" s="369"/>
      <c r="N7" s="369"/>
      <c r="O7" s="369"/>
      <c r="P7" s="369"/>
      <c r="Q7" s="369"/>
      <c r="R7" s="369"/>
      <c r="S7" s="369"/>
      <c r="T7" s="408"/>
    </row>
    <row r="8" spans="1:20" x14ac:dyDescent="0.2">
      <c r="B8" s="308"/>
      <c r="C8" t="s">
        <v>189</v>
      </c>
      <c r="E8" s="453">
        <f>IF('Year 4'!S11="",'Year 4'!S10,'Year 4'!S11)</f>
        <v>315</v>
      </c>
      <c r="H8" s="367"/>
      <c r="I8" s="368"/>
      <c r="J8" s="368"/>
      <c r="K8" s="368"/>
      <c r="L8" s="368"/>
      <c r="M8" s="368"/>
      <c r="N8" s="368"/>
      <c r="O8" s="368"/>
      <c r="P8" s="368"/>
      <c r="Q8" s="368"/>
      <c r="R8" s="368"/>
      <c r="S8" s="368"/>
      <c r="T8" s="409"/>
    </row>
    <row r="9" spans="1:20" x14ac:dyDescent="0.2">
      <c r="B9" s="308"/>
      <c r="C9" t="str">
        <f>$E$3&amp;" Sales Growth"</f>
        <v>Year 5 (2024) Sales Growth</v>
      </c>
      <c r="E9" s="454">
        <v>0.4</v>
      </c>
      <c r="G9" s="13"/>
      <c r="H9" s="370"/>
      <c r="I9" s="371"/>
      <c r="J9" s="371"/>
      <c r="K9" s="371"/>
      <c r="L9" s="371"/>
      <c r="M9" s="371"/>
      <c r="N9" s="371"/>
      <c r="O9" s="371"/>
      <c r="P9" s="371"/>
      <c r="Q9" s="371"/>
      <c r="R9" s="371"/>
      <c r="S9" s="372"/>
      <c r="T9" s="410"/>
    </row>
    <row r="10" spans="1:20" x14ac:dyDescent="0.2">
      <c r="B10" s="307" t="s">
        <v>262</v>
      </c>
      <c r="G10" s="13"/>
      <c r="H10" s="455"/>
      <c r="I10" s="456"/>
      <c r="J10" s="456"/>
      <c r="K10" s="456"/>
      <c r="L10" s="456"/>
      <c r="M10" s="456"/>
      <c r="N10" s="456"/>
      <c r="O10" s="456"/>
      <c r="P10" s="456"/>
      <c r="Q10" s="456"/>
      <c r="R10" s="456"/>
      <c r="S10" s="456"/>
      <c r="T10" s="410" t="str">
        <f>IF(SUM(H10:S10)=0,"",SUM(H10:S10))</f>
        <v/>
      </c>
    </row>
    <row r="11" spans="1:20" ht="17" thickBot="1" x14ac:dyDescent="0.25">
      <c r="B11" s="307" t="s">
        <v>294</v>
      </c>
      <c r="H11" s="370">
        <f>IFERROR(IF(H10="",ROUNDDOWN($E8+((H$4-$H$4+1)/12)*($S11-$E8),0),""),"")</f>
        <v>325</v>
      </c>
      <c r="I11" s="371">
        <f t="shared" ref="I11:R11" si="1">IFERROR(IF(I10="",ROUNDDOWN($E$8+((I$4-$H$4+1)/12)*($S11-$E$8),0),""),"")</f>
        <v>336</v>
      </c>
      <c r="J11" s="371">
        <f t="shared" si="1"/>
        <v>346</v>
      </c>
      <c r="K11" s="371">
        <f t="shared" si="1"/>
        <v>357</v>
      </c>
      <c r="L11" s="371">
        <f t="shared" si="1"/>
        <v>367</v>
      </c>
      <c r="M11" s="371">
        <f t="shared" si="1"/>
        <v>378</v>
      </c>
      <c r="N11" s="371">
        <f t="shared" si="1"/>
        <v>388</v>
      </c>
      <c r="O11" s="371">
        <f t="shared" si="1"/>
        <v>399</v>
      </c>
      <c r="P11" s="371">
        <f t="shared" si="1"/>
        <v>409</v>
      </c>
      <c r="Q11" s="371">
        <f t="shared" si="1"/>
        <v>420</v>
      </c>
      <c r="R11" s="371">
        <f t="shared" si="1"/>
        <v>430</v>
      </c>
      <c r="S11" s="371">
        <f>IFERROR(IF(S10="",ROUNDDOWN($E8*(1+$E9),0),""),"")</f>
        <v>441</v>
      </c>
      <c r="T11" s="410">
        <f>IF(SUM(H11:S11)=0,"",SUM(H11:S11))</f>
        <v>4596</v>
      </c>
    </row>
    <row r="12" spans="1:20" ht="17" thickTop="1" x14ac:dyDescent="0.2">
      <c r="B12" s="418" t="s">
        <v>257</v>
      </c>
      <c r="C12" s="419"/>
      <c r="D12" s="419"/>
      <c r="E12" s="419"/>
      <c r="F12" s="419"/>
      <c r="G12" s="420"/>
      <c r="H12" s="421">
        <f>IF(H11="",H10*$E7,H11*$E7)</f>
        <v>39000</v>
      </c>
      <c r="I12" s="422">
        <f>IF(I11="",I10*$E7,I11*$E7)</f>
        <v>40320</v>
      </c>
      <c r="J12" s="422">
        <f t="shared" ref="J12:S12" si="2">IF(J11="",J10*$E7,J11*$E7)</f>
        <v>41520</v>
      </c>
      <c r="K12" s="422">
        <f t="shared" si="2"/>
        <v>42840</v>
      </c>
      <c r="L12" s="422">
        <f t="shared" si="2"/>
        <v>44040</v>
      </c>
      <c r="M12" s="422">
        <f t="shared" si="2"/>
        <v>45360</v>
      </c>
      <c r="N12" s="422">
        <f t="shared" si="2"/>
        <v>46560</v>
      </c>
      <c r="O12" s="422">
        <f t="shared" si="2"/>
        <v>47880</v>
      </c>
      <c r="P12" s="422">
        <f t="shared" si="2"/>
        <v>49080</v>
      </c>
      <c r="Q12" s="422">
        <f t="shared" si="2"/>
        <v>50400</v>
      </c>
      <c r="R12" s="422">
        <f t="shared" si="2"/>
        <v>51600</v>
      </c>
      <c r="S12" s="422">
        <f t="shared" si="2"/>
        <v>52920</v>
      </c>
      <c r="T12" s="423">
        <f>SUM(H12:S12)</f>
        <v>551520</v>
      </c>
    </row>
    <row r="13" spans="1:20" x14ac:dyDescent="0.2">
      <c r="B13" s="308"/>
      <c r="G13" s="14"/>
      <c r="H13" s="373"/>
      <c r="I13" s="374"/>
      <c r="J13" s="374"/>
      <c r="K13" s="374"/>
      <c r="L13" s="374"/>
      <c r="M13" s="374"/>
      <c r="N13" s="374"/>
      <c r="O13" s="374"/>
      <c r="P13" s="374"/>
      <c r="Q13" s="374"/>
      <c r="R13" s="374"/>
      <c r="S13" s="374"/>
      <c r="T13" s="411"/>
    </row>
    <row r="14" spans="1:20" x14ac:dyDescent="0.2">
      <c r="B14" s="307" t="str">
        <f>'Year 4'!B14</f>
        <v>Service Revenue</v>
      </c>
      <c r="C14" s="9"/>
      <c r="D14" s="11"/>
      <c r="E14" s="58"/>
      <c r="H14" s="367"/>
      <c r="I14" s="368"/>
      <c r="J14" s="368"/>
      <c r="K14" s="368"/>
      <c r="L14" s="368"/>
      <c r="M14" s="368"/>
      <c r="N14" s="368"/>
      <c r="O14" s="368"/>
      <c r="P14" s="368"/>
      <c r="Q14" s="368"/>
      <c r="R14" s="368"/>
      <c r="S14" s="368"/>
      <c r="T14" s="407"/>
    </row>
    <row r="15" spans="1:20" x14ac:dyDescent="0.2">
      <c r="B15" s="308"/>
      <c r="C15" t="s">
        <v>255</v>
      </c>
      <c r="E15" s="452">
        <f>'Year 4'!E15</f>
        <v>10</v>
      </c>
      <c r="G15" s="13"/>
      <c r="H15" s="367"/>
      <c r="I15" s="369"/>
      <c r="J15" s="369"/>
      <c r="K15" s="369"/>
      <c r="L15" s="369"/>
      <c r="M15" s="369"/>
      <c r="N15" s="369"/>
      <c r="O15" s="369"/>
      <c r="P15" s="369"/>
      <c r="Q15" s="369"/>
      <c r="R15" s="369"/>
      <c r="S15" s="369"/>
      <c r="T15" s="408"/>
    </row>
    <row r="16" spans="1:20" x14ac:dyDescent="0.2">
      <c r="B16" s="308"/>
      <c r="C16" t="s">
        <v>256</v>
      </c>
      <c r="E16" s="453">
        <f>IF('Year 4'!S19="",'Year 4'!S18,'Year 4'!S19)</f>
        <v>116</v>
      </c>
      <c r="F16" t="s">
        <v>14</v>
      </c>
      <c r="H16" s="367"/>
      <c r="I16" s="368"/>
      <c r="J16" s="368"/>
      <c r="K16" s="368"/>
      <c r="L16" s="368"/>
      <c r="M16" s="368"/>
      <c r="N16" s="368"/>
      <c r="O16" s="368"/>
      <c r="P16" s="368"/>
      <c r="Q16" s="368"/>
      <c r="R16" s="368"/>
      <c r="S16" s="368"/>
      <c r="T16" s="409"/>
    </row>
    <row r="17" spans="2:20" x14ac:dyDescent="0.2">
      <c r="B17" s="308"/>
      <c r="C17" t="str">
        <f>$E$3&amp;" Sales Growth"</f>
        <v>Year 5 (2024) Sales Growth</v>
      </c>
      <c r="E17" s="454">
        <v>0.6</v>
      </c>
      <c r="G17" s="13"/>
      <c r="H17" s="370"/>
      <c r="I17" s="371"/>
      <c r="J17" s="371"/>
      <c r="K17" s="371"/>
      <c r="L17" s="371"/>
      <c r="M17" s="371"/>
      <c r="N17" s="371"/>
      <c r="O17" s="371"/>
      <c r="P17" s="371"/>
      <c r="Q17" s="371"/>
      <c r="R17" s="371"/>
      <c r="S17" s="372"/>
      <c r="T17" s="410"/>
    </row>
    <row r="18" spans="2:20" x14ac:dyDescent="0.2">
      <c r="B18" s="307" t="s">
        <v>260</v>
      </c>
      <c r="G18" s="13"/>
      <c r="H18" s="455"/>
      <c r="I18" s="456"/>
      <c r="J18" s="456"/>
      <c r="K18" s="456"/>
      <c r="L18" s="456"/>
      <c r="M18" s="456"/>
      <c r="N18" s="456"/>
      <c r="O18" s="456"/>
      <c r="P18" s="456"/>
      <c r="Q18" s="456"/>
      <c r="R18" s="456"/>
      <c r="S18" s="456"/>
      <c r="T18" s="410" t="str">
        <f>IF(SUM(H18:S18)=0,"",SUM(H18:S18))</f>
        <v/>
      </c>
    </row>
    <row r="19" spans="2:20" ht="17" thickBot="1" x14ac:dyDescent="0.25">
      <c r="B19" s="307" t="s">
        <v>263</v>
      </c>
      <c r="H19" s="370">
        <f>IFERROR(IF(H18="",ROUNDDOWN($E16+((H$4-$H$4+1)/12)*($S19-$E16),0),""),"")</f>
        <v>121</v>
      </c>
      <c r="I19" s="371">
        <f t="shared" ref="I19:R19" si="3">IFERROR(IF(I18="",ROUNDDOWN($E16+((I$4-$H$4+1)/12)*($S19-$E16),0),""),"")</f>
        <v>127</v>
      </c>
      <c r="J19" s="371">
        <f t="shared" si="3"/>
        <v>133</v>
      </c>
      <c r="K19" s="371">
        <f t="shared" si="3"/>
        <v>139</v>
      </c>
      <c r="L19" s="371">
        <f t="shared" si="3"/>
        <v>144</v>
      </c>
      <c r="M19" s="371">
        <f t="shared" si="3"/>
        <v>150</v>
      </c>
      <c r="N19" s="371">
        <f t="shared" si="3"/>
        <v>156</v>
      </c>
      <c r="O19" s="371">
        <f t="shared" si="3"/>
        <v>162</v>
      </c>
      <c r="P19" s="371">
        <f t="shared" si="3"/>
        <v>167</v>
      </c>
      <c r="Q19" s="371">
        <f t="shared" si="3"/>
        <v>173</v>
      </c>
      <c r="R19" s="371">
        <f t="shared" si="3"/>
        <v>179</v>
      </c>
      <c r="S19" s="371">
        <f>IFERROR(IF(S18="",ROUNDDOWN($E16*(1+$E17),0),""),"")</f>
        <v>185</v>
      </c>
      <c r="T19" s="410">
        <f>IF(SUM(H19:S19)=0,"",SUM(H19:S19))</f>
        <v>1836</v>
      </c>
    </row>
    <row r="20" spans="2:20" ht="17" thickTop="1" x14ac:dyDescent="0.2">
      <c r="B20" s="418" t="s">
        <v>258</v>
      </c>
      <c r="C20" s="419"/>
      <c r="D20" s="419"/>
      <c r="E20" s="419"/>
      <c r="F20" s="419"/>
      <c r="G20" s="420"/>
      <c r="H20" s="421">
        <f>IF(H19="",H18*$E15,H19*$E15)</f>
        <v>1210</v>
      </c>
      <c r="I20" s="422">
        <f>IF(I19="",I18*$E15,I19*$E15)</f>
        <v>1270</v>
      </c>
      <c r="J20" s="422">
        <f t="shared" ref="J20:S20" si="4">IF(J19="",J18*$E15,J19*$E15)</f>
        <v>1330</v>
      </c>
      <c r="K20" s="422">
        <f t="shared" si="4"/>
        <v>1390</v>
      </c>
      <c r="L20" s="422">
        <f t="shared" si="4"/>
        <v>1440</v>
      </c>
      <c r="M20" s="422">
        <f t="shared" si="4"/>
        <v>1500</v>
      </c>
      <c r="N20" s="422">
        <f t="shared" si="4"/>
        <v>1560</v>
      </c>
      <c r="O20" s="422">
        <f t="shared" si="4"/>
        <v>1620</v>
      </c>
      <c r="P20" s="422">
        <f t="shared" si="4"/>
        <v>1670</v>
      </c>
      <c r="Q20" s="422">
        <f t="shared" si="4"/>
        <v>1730</v>
      </c>
      <c r="R20" s="422">
        <f t="shared" si="4"/>
        <v>1790</v>
      </c>
      <c r="S20" s="422">
        <f t="shared" si="4"/>
        <v>1850</v>
      </c>
      <c r="T20" s="423">
        <f>SUM(H20:S20)</f>
        <v>18360</v>
      </c>
    </row>
    <row r="21" spans="2:20" x14ac:dyDescent="0.2">
      <c r="B21" s="307"/>
      <c r="E21" s="15"/>
      <c r="G21" s="13"/>
      <c r="H21" s="367"/>
      <c r="I21" s="368"/>
      <c r="J21" s="368"/>
      <c r="K21" s="368"/>
      <c r="L21" s="368"/>
      <c r="M21" s="368"/>
      <c r="N21" s="368"/>
      <c r="O21" s="368"/>
      <c r="P21" s="368"/>
      <c r="Q21" s="368"/>
      <c r="R21" s="368"/>
      <c r="S21" s="368"/>
      <c r="T21" s="412"/>
    </row>
    <row r="22" spans="2:20" x14ac:dyDescent="0.2">
      <c r="B22" s="307" t="str">
        <f>'Year 4'!B22</f>
        <v>Billable Hours Revenue</v>
      </c>
      <c r="C22" s="9"/>
      <c r="D22" s="11"/>
      <c r="E22" s="58"/>
      <c r="H22" s="367"/>
      <c r="I22" s="368"/>
      <c r="J22" s="368"/>
      <c r="K22" s="368"/>
      <c r="L22" s="368"/>
      <c r="M22" s="368"/>
      <c r="N22" s="368"/>
      <c r="O22" s="368"/>
      <c r="P22" s="368"/>
      <c r="Q22" s="368"/>
      <c r="R22" s="368"/>
      <c r="S22" s="368"/>
      <c r="T22" s="407"/>
    </row>
    <row r="23" spans="2:20" x14ac:dyDescent="0.2">
      <c r="B23" s="308"/>
      <c r="C23" t="s">
        <v>249</v>
      </c>
      <c r="E23" s="452">
        <f>'Year 4'!E23</f>
        <v>150</v>
      </c>
      <c r="G23" s="13"/>
      <c r="H23" s="367"/>
      <c r="I23" s="369"/>
      <c r="J23" s="369"/>
      <c r="K23" s="369"/>
      <c r="L23" s="369"/>
      <c r="M23" s="369"/>
      <c r="N23" s="369"/>
      <c r="O23" s="369"/>
      <c r="P23" s="369"/>
      <c r="Q23" s="369"/>
      <c r="R23" s="369"/>
      <c r="S23" s="369"/>
      <c r="T23" s="408"/>
    </row>
    <row r="24" spans="2:20" x14ac:dyDescent="0.2">
      <c r="B24" s="308"/>
      <c r="C24" t="s">
        <v>250</v>
      </c>
      <c r="E24" s="453">
        <f>IF('Year 4'!S27="",'Year 4'!S26,'Year 4'!S27)</f>
        <v>239.5</v>
      </c>
      <c r="H24" s="367"/>
      <c r="I24" s="368"/>
      <c r="J24" s="368"/>
      <c r="K24" s="368"/>
      <c r="L24" s="368"/>
      <c r="M24" s="368"/>
      <c r="N24" s="368"/>
      <c r="O24" s="368"/>
      <c r="P24" s="368"/>
      <c r="Q24" s="368"/>
      <c r="R24" s="368"/>
      <c r="S24" s="368"/>
      <c r="T24" s="409"/>
    </row>
    <row r="25" spans="2:20" x14ac:dyDescent="0.2">
      <c r="B25" s="308"/>
      <c r="C25" t="str">
        <f>$E$3&amp;" Billable Hours Growth"</f>
        <v>Year 5 (2024) Billable Hours Growth</v>
      </c>
      <c r="E25" s="454">
        <v>0.6</v>
      </c>
      <c r="G25" s="13"/>
      <c r="H25" s="370"/>
      <c r="I25" s="371"/>
      <c r="J25" s="371"/>
      <c r="K25" s="371"/>
      <c r="L25" s="371"/>
      <c r="M25" s="371"/>
      <c r="N25" s="371"/>
      <c r="O25" s="371"/>
      <c r="P25" s="371"/>
      <c r="Q25" s="371"/>
      <c r="R25" s="371"/>
      <c r="S25" s="372"/>
      <c r="T25" s="410"/>
    </row>
    <row r="26" spans="2:20" x14ac:dyDescent="0.2">
      <c r="B26" s="307" t="s">
        <v>261</v>
      </c>
      <c r="G26" s="13"/>
      <c r="H26" s="455"/>
      <c r="I26" s="456"/>
      <c r="J26" s="456"/>
      <c r="K26" s="456"/>
      <c r="L26" s="456"/>
      <c r="M26" s="456"/>
      <c r="N26" s="456"/>
      <c r="O26" s="456"/>
      <c r="P26" s="456"/>
      <c r="Q26" s="456"/>
      <c r="R26" s="456"/>
      <c r="S26" s="456"/>
      <c r="T26" s="410" t="str">
        <f>IF(SUM(H26:S26)=0,"",SUM(H26:S26))</f>
        <v/>
      </c>
    </row>
    <row r="27" spans="2:20" ht="17" thickBot="1" x14ac:dyDescent="0.25">
      <c r="B27" s="307" t="s">
        <v>251</v>
      </c>
      <c r="H27" s="375">
        <f>IFERROR(IF(H26="",ROUNDDOWN($E24+((H$4-$H$4+1)/12)*($S27-$E24),0),""),"")</f>
        <v>251</v>
      </c>
      <c r="I27" s="376">
        <f t="shared" ref="I27:R27" si="5">IFERROR(IF(I26="",ROUNDDOWN($E24+((I$4-$H$4+1)/12)*($S27-$E24),0),""),"")</f>
        <v>263</v>
      </c>
      <c r="J27" s="376">
        <f t="shared" si="5"/>
        <v>275</v>
      </c>
      <c r="K27" s="376">
        <f t="shared" si="5"/>
        <v>287</v>
      </c>
      <c r="L27" s="376">
        <f t="shared" si="5"/>
        <v>299</v>
      </c>
      <c r="M27" s="376">
        <f t="shared" si="5"/>
        <v>311</v>
      </c>
      <c r="N27" s="376">
        <f t="shared" si="5"/>
        <v>323</v>
      </c>
      <c r="O27" s="376">
        <f t="shared" si="5"/>
        <v>335</v>
      </c>
      <c r="P27" s="376">
        <f t="shared" si="5"/>
        <v>347</v>
      </c>
      <c r="Q27" s="376">
        <f t="shared" si="5"/>
        <v>359</v>
      </c>
      <c r="R27" s="376">
        <f t="shared" si="5"/>
        <v>371</v>
      </c>
      <c r="S27" s="376">
        <f>IFERROR(IF(S26="",ROUNDDOWN($E24*(1+$E25),1),""),"")</f>
        <v>383.2</v>
      </c>
      <c r="T27" s="410">
        <f>IF(SUM(H27:S27)=0,"",SUM(H27:S27))</f>
        <v>3804.2</v>
      </c>
    </row>
    <row r="28" spans="2:20" ht="17" thickTop="1" x14ac:dyDescent="0.2">
      <c r="B28" s="418" t="s">
        <v>252</v>
      </c>
      <c r="C28" s="419"/>
      <c r="D28" s="419"/>
      <c r="E28" s="419"/>
      <c r="F28" s="419"/>
      <c r="G28" s="420"/>
      <c r="H28" s="421">
        <f>IF(H27="",H26*$E23,H27*$E23)</f>
        <v>37650</v>
      </c>
      <c r="I28" s="422">
        <f>IF(I27="",I26*$E23,I27*$E23)</f>
        <v>39450</v>
      </c>
      <c r="J28" s="422">
        <f t="shared" ref="J28:S28" si="6">IF(J27="",J26*$E23,J27*$E23)</f>
        <v>41250</v>
      </c>
      <c r="K28" s="422">
        <f t="shared" si="6"/>
        <v>43050</v>
      </c>
      <c r="L28" s="422">
        <f t="shared" si="6"/>
        <v>44850</v>
      </c>
      <c r="M28" s="422">
        <f t="shared" si="6"/>
        <v>46650</v>
      </c>
      <c r="N28" s="422">
        <f t="shared" si="6"/>
        <v>48450</v>
      </c>
      <c r="O28" s="422">
        <f t="shared" si="6"/>
        <v>50250</v>
      </c>
      <c r="P28" s="422">
        <f t="shared" si="6"/>
        <v>52050</v>
      </c>
      <c r="Q28" s="422">
        <f t="shared" si="6"/>
        <v>53850</v>
      </c>
      <c r="R28" s="422">
        <f t="shared" si="6"/>
        <v>55650</v>
      </c>
      <c r="S28" s="422">
        <f t="shared" si="6"/>
        <v>57480</v>
      </c>
      <c r="T28" s="423">
        <f>SUM(H28:S28)</f>
        <v>570630</v>
      </c>
    </row>
    <row r="29" spans="2:20" x14ac:dyDescent="0.2">
      <c r="B29" s="308"/>
      <c r="E29" s="59"/>
      <c r="G29" s="13"/>
      <c r="H29" s="367"/>
      <c r="I29" s="368"/>
      <c r="J29" s="368"/>
      <c r="K29" s="368"/>
      <c r="L29" s="368"/>
      <c r="M29" s="368"/>
      <c r="N29" s="368"/>
      <c r="O29" s="368"/>
      <c r="P29" s="368"/>
      <c r="Q29" s="368"/>
      <c r="R29" s="368"/>
      <c r="S29" s="368"/>
      <c r="T29" s="412"/>
    </row>
    <row r="30" spans="2:20" x14ac:dyDescent="0.2">
      <c r="B30" s="307" t="str">
        <f>'Year 4'!B30</f>
        <v>Subscription Revenue</v>
      </c>
      <c r="C30" s="9"/>
      <c r="D30" s="11"/>
      <c r="E30" s="58"/>
      <c r="H30" s="367"/>
      <c r="I30" s="368"/>
      <c r="J30" s="368"/>
      <c r="K30" s="368"/>
      <c r="L30" s="368"/>
      <c r="M30" s="368"/>
      <c r="N30" s="368"/>
      <c r="O30" s="368"/>
      <c r="P30" s="368"/>
      <c r="Q30" s="368"/>
      <c r="R30" s="368"/>
      <c r="S30" s="368"/>
      <c r="T30" s="407"/>
    </row>
    <row r="31" spans="2:20" x14ac:dyDescent="0.2">
      <c r="B31" s="308"/>
      <c r="C31" t="s">
        <v>245</v>
      </c>
      <c r="E31" s="452">
        <f>'Year 4'!E31</f>
        <v>20</v>
      </c>
      <c r="G31" s="13"/>
      <c r="H31" s="367"/>
      <c r="I31" s="369"/>
      <c r="J31" s="369"/>
      <c r="K31" s="369"/>
      <c r="L31" s="369"/>
      <c r="M31" s="369"/>
      <c r="N31" s="369"/>
      <c r="O31" s="369"/>
      <c r="P31" s="369"/>
      <c r="Q31" s="369"/>
      <c r="R31" s="369"/>
      <c r="S31" s="369"/>
      <c r="T31" s="408"/>
    </row>
    <row r="32" spans="2:20" x14ac:dyDescent="0.2">
      <c r="B32" s="308"/>
      <c r="C32" t="s">
        <v>244</v>
      </c>
      <c r="E32" s="452">
        <f>'Year 4'!E32</f>
        <v>11</v>
      </c>
      <c r="H32" s="367"/>
      <c r="I32" s="368"/>
      <c r="J32" s="368"/>
      <c r="K32" s="368"/>
      <c r="L32" s="368"/>
      <c r="M32" s="368"/>
      <c r="N32" s="368"/>
      <c r="O32" s="368"/>
      <c r="P32" s="368"/>
      <c r="Q32" s="368"/>
      <c r="R32" s="368"/>
      <c r="S32" s="368"/>
      <c r="T32" s="409"/>
    </row>
    <row r="33" spans="2:20" x14ac:dyDescent="0.2">
      <c r="B33" s="308"/>
      <c r="C33" t="s">
        <v>259</v>
      </c>
      <c r="E33" s="453">
        <f>'Year 4'!S38</f>
        <v>54</v>
      </c>
      <c r="H33" s="367"/>
      <c r="I33" s="368"/>
      <c r="J33" s="368"/>
      <c r="K33" s="368"/>
      <c r="L33" s="368"/>
      <c r="M33" s="368"/>
      <c r="N33" s="368"/>
      <c r="O33" s="368"/>
      <c r="P33" s="368"/>
      <c r="Q33" s="368"/>
      <c r="R33" s="368"/>
      <c r="S33" s="368"/>
      <c r="T33" s="409"/>
    </row>
    <row r="34" spans="2:20" x14ac:dyDescent="0.2">
      <c r="B34" s="308"/>
      <c r="C34" t="str">
        <f>"Number of new customers per month "&amp;$E$3</f>
        <v>Number of new customers per month Year 5 (2024)</v>
      </c>
      <c r="E34" s="453">
        <v>15</v>
      </c>
      <c r="G34" s="13"/>
      <c r="H34" s="370"/>
      <c r="I34" s="371"/>
      <c r="J34" s="371"/>
      <c r="K34" s="371"/>
      <c r="L34" s="371"/>
      <c r="M34" s="371"/>
      <c r="N34" s="371"/>
      <c r="O34" s="371"/>
      <c r="P34" s="371"/>
      <c r="Q34" s="371"/>
      <c r="R34" s="371"/>
      <c r="S34" s="372"/>
      <c r="T34" s="410"/>
    </row>
    <row r="35" spans="2:20" x14ac:dyDescent="0.2">
      <c r="B35" s="308"/>
      <c r="C35" t="str">
        <f>$E$3&amp;" Churn rate"</f>
        <v>Year 5 (2024) Churn rate</v>
      </c>
      <c r="E35" s="454">
        <v>0.26</v>
      </c>
      <c r="G35" s="13"/>
      <c r="H35" s="370"/>
      <c r="I35" s="371"/>
      <c r="J35" s="371"/>
      <c r="K35" s="371"/>
      <c r="L35" s="371"/>
      <c r="M35" s="371"/>
      <c r="N35" s="371"/>
      <c r="O35" s="371"/>
      <c r="P35" s="371"/>
      <c r="Q35" s="371"/>
      <c r="R35" s="371"/>
      <c r="S35" s="372"/>
      <c r="T35" s="410"/>
    </row>
    <row r="36" spans="2:20" x14ac:dyDescent="0.2">
      <c r="B36" s="307" t="s">
        <v>273</v>
      </c>
      <c r="G36" s="13"/>
      <c r="H36" s="455"/>
      <c r="I36" s="456"/>
      <c r="J36" s="456"/>
      <c r="K36" s="456"/>
      <c r="L36" s="456"/>
      <c r="M36" s="456"/>
      <c r="N36" s="456"/>
      <c r="O36" s="456"/>
      <c r="P36" s="456"/>
      <c r="Q36" s="456"/>
      <c r="R36" s="456"/>
      <c r="S36" s="456"/>
      <c r="T36" s="410" t="str">
        <f>IF(SUM(H36:S36)=0,"",SUM(H36:S36))</f>
        <v/>
      </c>
    </row>
    <row r="37" spans="2:20" x14ac:dyDescent="0.2">
      <c r="B37" s="307" t="s">
        <v>272</v>
      </c>
      <c r="H37" s="370">
        <f>IF(H36="",$E$34,"")</f>
        <v>15</v>
      </c>
      <c r="I37" s="371">
        <f t="shared" ref="I37:S37" si="7">IF(I36="",$E$34,"")</f>
        <v>15</v>
      </c>
      <c r="J37" s="371">
        <f t="shared" si="7"/>
        <v>15</v>
      </c>
      <c r="K37" s="371">
        <f t="shared" si="7"/>
        <v>15</v>
      </c>
      <c r="L37" s="371">
        <f t="shared" si="7"/>
        <v>15</v>
      </c>
      <c r="M37" s="371">
        <f t="shared" si="7"/>
        <v>15</v>
      </c>
      <c r="N37" s="371">
        <f t="shared" si="7"/>
        <v>15</v>
      </c>
      <c r="O37" s="371">
        <f t="shared" si="7"/>
        <v>15</v>
      </c>
      <c r="P37" s="371">
        <f t="shared" si="7"/>
        <v>15</v>
      </c>
      <c r="Q37" s="371">
        <f t="shared" si="7"/>
        <v>15</v>
      </c>
      <c r="R37" s="371">
        <f t="shared" si="7"/>
        <v>15</v>
      </c>
      <c r="S37" s="371">
        <f t="shared" si="7"/>
        <v>15</v>
      </c>
      <c r="T37" s="410">
        <f>IF(SUM(H37:S37)=0,"",SUM(H37:S37))</f>
        <v>180</v>
      </c>
    </row>
    <row r="38" spans="2:20" ht="17" thickBot="1" x14ac:dyDescent="0.25">
      <c r="B38" s="307" t="s">
        <v>246</v>
      </c>
      <c r="H38" s="370">
        <f>ROUNDDOWN(IF(H$37="",H$36+$E$33-($E$33*$E$35),H$37+$E$33-($E$33*$E$35)),0)</f>
        <v>54</v>
      </c>
      <c r="I38" s="371">
        <f>ROUNDDOWN(IF(I37="",I$36+H$38-(H$38*$E$35),I$37+H$38-(H$38*$E$35)),0)</f>
        <v>54</v>
      </c>
      <c r="J38" s="371">
        <f t="shared" ref="J38:S38" si="8">ROUNDDOWN(IF(J37="",J$36+I$38-(I$38*$E$35),J$37+I$38-(I$38*$E$35)),0)</f>
        <v>54</v>
      </c>
      <c r="K38" s="371">
        <f t="shared" si="8"/>
        <v>54</v>
      </c>
      <c r="L38" s="371">
        <f t="shared" si="8"/>
        <v>54</v>
      </c>
      <c r="M38" s="371">
        <f t="shared" si="8"/>
        <v>54</v>
      </c>
      <c r="N38" s="371">
        <f t="shared" si="8"/>
        <v>54</v>
      </c>
      <c r="O38" s="371">
        <f t="shared" si="8"/>
        <v>54</v>
      </c>
      <c r="P38" s="371">
        <f t="shared" si="8"/>
        <v>54</v>
      </c>
      <c r="Q38" s="371">
        <f t="shared" si="8"/>
        <v>54</v>
      </c>
      <c r="R38" s="371">
        <f t="shared" si="8"/>
        <v>54</v>
      </c>
      <c r="S38" s="371">
        <f t="shared" si="8"/>
        <v>54</v>
      </c>
      <c r="T38" s="410">
        <f>S38</f>
        <v>54</v>
      </c>
    </row>
    <row r="39" spans="2:20" ht="17" thickTop="1" x14ac:dyDescent="0.2">
      <c r="B39" s="418" t="s">
        <v>247</v>
      </c>
      <c r="C39" s="419"/>
      <c r="D39" s="419"/>
      <c r="E39" s="419"/>
      <c r="F39" s="419"/>
      <c r="G39" s="420"/>
      <c r="H39" s="421">
        <f>IF(H$37="",H$38*$E$32+H$36*$E$31,H$38*$E$32+H$37*$E$31)</f>
        <v>894</v>
      </c>
      <c r="I39" s="422">
        <f t="shared" ref="I39:S39" si="9">IF(I$37="",I$38*$E$32+I$36*$E$31,I$38*$E$32+I$37*$E$31)</f>
        <v>894</v>
      </c>
      <c r="J39" s="422">
        <f t="shared" si="9"/>
        <v>894</v>
      </c>
      <c r="K39" s="422">
        <f t="shared" si="9"/>
        <v>894</v>
      </c>
      <c r="L39" s="422">
        <f t="shared" si="9"/>
        <v>894</v>
      </c>
      <c r="M39" s="422">
        <f t="shared" si="9"/>
        <v>894</v>
      </c>
      <c r="N39" s="422">
        <f t="shared" si="9"/>
        <v>894</v>
      </c>
      <c r="O39" s="422">
        <f t="shared" si="9"/>
        <v>894</v>
      </c>
      <c r="P39" s="422">
        <f t="shared" si="9"/>
        <v>894</v>
      </c>
      <c r="Q39" s="422">
        <f t="shared" si="9"/>
        <v>894</v>
      </c>
      <c r="R39" s="422">
        <f t="shared" si="9"/>
        <v>894</v>
      </c>
      <c r="S39" s="422">
        <f t="shared" si="9"/>
        <v>894</v>
      </c>
      <c r="T39" s="423">
        <f>SUM(H39:S39)</f>
        <v>10728</v>
      </c>
    </row>
    <row r="40" spans="2:20" ht="17" thickBot="1" x14ac:dyDescent="0.25">
      <c r="B40" s="404"/>
      <c r="C40" s="2"/>
      <c r="D40" s="2"/>
      <c r="E40" s="2"/>
      <c r="F40" s="2"/>
      <c r="G40" s="3"/>
      <c r="H40" s="377"/>
      <c r="I40" s="378"/>
      <c r="J40" s="378"/>
      <c r="K40" s="378"/>
      <c r="L40" s="378"/>
      <c r="M40" s="378"/>
      <c r="N40" s="378"/>
      <c r="O40" s="378"/>
      <c r="P40" s="378"/>
      <c r="Q40" s="378"/>
      <c r="R40" s="378"/>
      <c r="S40" s="368"/>
      <c r="T40" s="413"/>
    </row>
    <row r="41" spans="2:20" ht="17" thickTop="1" x14ac:dyDescent="0.2">
      <c r="B41" s="236" t="s">
        <v>208</v>
      </c>
      <c r="C41" s="237"/>
      <c r="D41" s="237"/>
      <c r="E41" s="237"/>
      <c r="F41" s="237"/>
      <c r="G41" s="237"/>
      <c r="H41" s="239">
        <f t="shared" ref="H41:S41" si="10">SUM(H12,H20,H28,H39)</f>
        <v>78754</v>
      </c>
      <c r="I41" s="240">
        <f t="shared" si="10"/>
        <v>81934</v>
      </c>
      <c r="J41" s="240">
        <f t="shared" si="10"/>
        <v>84994</v>
      </c>
      <c r="K41" s="240">
        <f t="shared" si="10"/>
        <v>88174</v>
      </c>
      <c r="L41" s="240">
        <f t="shared" si="10"/>
        <v>91224</v>
      </c>
      <c r="M41" s="240">
        <f t="shared" si="10"/>
        <v>94404</v>
      </c>
      <c r="N41" s="240">
        <f t="shared" si="10"/>
        <v>97464</v>
      </c>
      <c r="O41" s="240">
        <f t="shared" si="10"/>
        <v>100644</v>
      </c>
      <c r="P41" s="240">
        <f t="shared" si="10"/>
        <v>103694</v>
      </c>
      <c r="Q41" s="240">
        <f t="shared" si="10"/>
        <v>106874</v>
      </c>
      <c r="R41" s="240">
        <f t="shared" si="10"/>
        <v>109934</v>
      </c>
      <c r="S41" s="240">
        <f t="shared" si="10"/>
        <v>113144</v>
      </c>
      <c r="T41" s="240">
        <f>SUM(H41:S41)</f>
        <v>1151238</v>
      </c>
    </row>
    <row r="42" spans="2:20" x14ac:dyDescent="0.2">
      <c r="B42" s="400"/>
      <c r="C42" s="5"/>
      <c r="D42" s="5"/>
      <c r="E42" s="5"/>
      <c r="F42" s="5"/>
      <c r="G42" s="5"/>
      <c r="H42" s="414"/>
      <c r="I42" s="415"/>
      <c r="J42" s="415"/>
      <c r="K42" s="415"/>
      <c r="L42" s="415"/>
      <c r="M42" s="415"/>
      <c r="N42" s="415"/>
      <c r="O42" s="415"/>
      <c r="P42" s="415"/>
      <c r="Q42" s="415"/>
      <c r="R42" s="415"/>
      <c r="S42" s="415"/>
      <c r="T42" s="416"/>
    </row>
    <row r="43" spans="2:20" ht="20" x14ac:dyDescent="0.2">
      <c r="B43" s="116" t="s">
        <v>365</v>
      </c>
      <c r="C43" s="327"/>
      <c r="D43" s="327"/>
      <c r="E43" s="327" t="str">
        <f>$E$3</f>
        <v>Year 5 (2024)</v>
      </c>
      <c r="F43" s="327"/>
      <c r="G43" s="327"/>
      <c r="H43" s="360" t="s">
        <v>127</v>
      </c>
      <c r="I43" s="361" t="s">
        <v>128</v>
      </c>
      <c r="J43" s="361" t="s">
        <v>129</v>
      </c>
      <c r="K43" s="361" t="s">
        <v>130</v>
      </c>
      <c r="L43" s="361" t="s">
        <v>131</v>
      </c>
      <c r="M43" s="361" t="s">
        <v>132</v>
      </c>
      <c r="N43" s="361" t="s">
        <v>133</v>
      </c>
      <c r="O43" s="361" t="s">
        <v>134</v>
      </c>
      <c r="P43" s="361" t="s">
        <v>135</v>
      </c>
      <c r="Q43" s="361" t="s">
        <v>136</v>
      </c>
      <c r="R43" s="361" t="s">
        <v>137</v>
      </c>
      <c r="S43" s="361" t="s">
        <v>138</v>
      </c>
      <c r="T43" s="362" t="s">
        <v>179</v>
      </c>
    </row>
    <row r="44" spans="2:20" x14ac:dyDescent="0.2">
      <c r="B44" s="401"/>
      <c r="C44" s="402"/>
      <c r="D44" s="402"/>
      <c r="E44" s="402"/>
      <c r="F44" s="402"/>
      <c r="G44" s="403" t="s">
        <v>57</v>
      </c>
      <c r="H44" s="363">
        <f>H$4</f>
        <v>49</v>
      </c>
      <c r="I44" s="364">
        <f t="shared" ref="I44:S44" si="11">I$4</f>
        <v>50</v>
      </c>
      <c r="J44" s="364">
        <f t="shared" si="11"/>
        <v>51</v>
      </c>
      <c r="K44" s="364">
        <f t="shared" si="11"/>
        <v>52</v>
      </c>
      <c r="L44" s="364">
        <f t="shared" si="11"/>
        <v>53</v>
      </c>
      <c r="M44" s="364">
        <f t="shared" si="11"/>
        <v>54</v>
      </c>
      <c r="N44" s="364">
        <f t="shared" si="11"/>
        <v>55</v>
      </c>
      <c r="O44" s="364">
        <f t="shared" si="11"/>
        <v>56</v>
      </c>
      <c r="P44" s="364">
        <f t="shared" si="11"/>
        <v>57</v>
      </c>
      <c r="Q44" s="364">
        <f t="shared" si="11"/>
        <v>58</v>
      </c>
      <c r="R44" s="364">
        <f t="shared" si="11"/>
        <v>59</v>
      </c>
      <c r="S44" s="364">
        <f t="shared" si="11"/>
        <v>60</v>
      </c>
      <c r="T44" s="405" t="str">
        <f>"Total for " &amp; $E$3</f>
        <v>Total for Year 5 (2024)</v>
      </c>
    </row>
    <row r="45" spans="2:20" x14ac:dyDescent="0.2">
      <c r="B45" s="308"/>
      <c r="E45" s="12" t="s">
        <v>312</v>
      </c>
      <c r="H45" s="367"/>
      <c r="I45" s="368"/>
      <c r="J45" s="368"/>
      <c r="K45" s="368"/>
      <c r="L45" s="368"/>
      <c r="M45" s="368"/>
      <c r="N45" s="368"/>
      <c r="O45" s="368"/>
      <c r="P45" s="368"/>
      <c r="Q45" s="368"/>
      <c r="R45" s="368"/>
      <c r="S45" s="368"/>
      <c r="T45" s="407"/>
    </row>
    <row r="46" spans="2:20" x14ac:dyDescent="0.2">
      <c r="B46" s="307" t="s">
        <v>367</v>
      </c>
      <c r="E46" s="454">
        <v>0.03</v>
      </c>
      <c r="H46" s="379">
        <f>H$12*$E46</f>
        <v>1170</v>
      </c>
      <c r="I46" s="380">
        <f t="shared" ref="I46:S46" si="12">I$12*$E46</f>
        <v>1209.5999999999999</v>
      </c>
      <c r="J46" s="380">
        <f t="shared" si="12"/>
        <v>1245.5999999999999</v>
      </c>
      <c r="K46" s="380">
        <f t="shared" si="12"/>
        <v>1285.2</v>
      </c>
      <c r="L46" s="380">
        <f t="shared" si="12"/>
        <v>1321.2</v>
      </c>
      <c r="M46" s="380">
        <f t="shared" si="12"/>
        <v>1360.8</v>
      </c>
      <c r="N46" s="380">
        <f t="shared" si="12"/>
        <v>1396.8</v>
      </c>
      <c r="O46" s="380">
        <f t="shared" si="12"/>
        <v>1436.3999999999999</v>
      </c>
      <c r="P46" s="380">
        <f t="shared" si="12"/>
        <v>1472.3999999999999</v>
      </c>
      <c r="Q46" s="380">
        <f t="shared" si="12"/>
        <v>1512</v>
      </c>
      <c r="R46" s="380">
        <f t="shared" si="12"/>
        <v>1548</v>
      </c>
      <c r="S46" s="380">
        <f t="shared" si="12"/>
        <v>1587.6</v>
      </c>
      <c r="T46" s="417">
        <f t="shared" ref="T46:T49" si="13">SUM(H46:S46)</f>
        <v>16545.599999999999</v>
      </c>
    </row>
    <row r="47" spans="2:20" x14ac:dyDescent="0.2">
      <c r="B47" s="307" t="s">
        <v>368</v>
      </c>
      <c r="E47" s="454">
        <v>0.03</v>
      </c>
      <c r="H47" s="379">
        <f>H$20*$E47</f>
        <v>36.299999999999997</v>
      </c>
      <c r="I47" s="380">
        <f t="shared" ref="I47:S47" si="14">I$20*$E47</f>
        <v>38.1</v>
      </c>
      <c r="J47" s="380">
        <f t="shared" si="14"/>
        <v>39.9</v>
      </c>
      <c r="K47" s="380">
        <f t="shared" si="14"/>
        <v>41.699999999999996</v>
      </c>
      <c r="L47" s="380">
        <f t="shared" si="14"/>
        <v>43.199999999999996</v>
      </c>
      <c r="M47" s="380">
        <f t="shared" si="14"/>
        <v>45</v>
      </c>
      <c r="N47" s="380">
        <f t="shared" si="14"/>
        <v>46.8</v>
      </c>
      <c r="O47" s="380">
        <f t="shared" si="14"/>
        <v>48.6</v>
      </c>
      <c r="P47" s="380">
        <f t="shared" si="14"/>
        <v>50.1</v>
      </c>
      <c r="Q47" s="380">
        <f t="shared" si="14"/>
        <v>51.9</v>
      </c>
      <c r="R47" s="380">
        <f t="shared" si="14"/>
        <v>53.699999999999996</v>
      </c>
      <c r="S47" s="380">
        <f t="shared" si="14"/>
        <v>55.5</v>
      </c>
      <c r="T47" s="417">
        <f t="shared" si="13"/>
        <v>550.79999999999995</v>
      </c>
    </row>
    <row r="48" spans="2:20" x14ac:dyDescent="0.2">
      <c r="B48" s="307" t="s">
        <v>369</v>
      </c>
      <c r="E48" s="454">
        <v>0.05</v>
      </c>
      <c r="H48" s="379">
        <f>H$28*$E48</f>
        <v>1882.5</v>
      </c>
      <c r="I48" s="380">
        <f t="shared" ref="I48:S48" si="15">I$28*$E48</f>
        <v>1972.5</v>
      </c>
      <c r="J48" s="380">
        <f t="shared" si="15"/>
        <v>2062.5</v>
      </c>
      <c r="K48" s="380">
        <f t="shared" si="15"/>
        <v>2152.5</v>
      </c>
      <c r="L48" s="380">
        <f t="shared" si="15"/>
        <v>2242.5</v>
      </c>
      <c r="M48" s="380">
        <f t="shared" si="15"/>
        <v>2332.5</v>
      </c>
      <c r="N48" s="380">
        <f t="shared" si="15"/>
        <v>2422.5</v>
      </c>
      <c r="O48" s="380">
        <f t="shared" si="15"/>
        <v>2512.5</v>
      </c>
      <c r="P48" s="380">
        <f t="shared" si="15"/>
        <v>2602.5</v>
      </c>
      <c r="Q48" s="380">
        <f t="shared" si="15"/>
        <v>2692.5</v>
      </c>
      <c r="R48" s="380">
        <f t="shared" si="15"/>
        <v>2782.5</v>
      </c>
      <c r="S48" s="380">
        <f t="shared" si="15"/>
        <v>2874</v>
      </c>
      <c r="T48" s="417">
        <f t="shared" si="13"/>
        <v>28531.5</v>
      </c>
    </row>
    <row r="49" spans="2:20" ht="17" thickBot="1" x14ac:dyDescent="0.25">
      <c r="B49" s="307" t="s">
        <v>370</v>
      </c>
      <c r="E49" s="454">
        <v>0.06</v>
      </c>
      <c r="H49" s="379">
        <f>H$39*$E49</f>
        <v>53.64</v>
      </c>
      <c r="I49" s="380">
        <f t="shared" ref="I49:S49" si="16">I$39*$E49</f>
        <v>53.64</v>
      </c>
      <c r="J49" s="380">
        <f t="shared" si="16"/>
        <v>53.64</v>
      </c>
      <c r="K49" s="380">
        <f t="shared" si="16"/>
        <v>53.64</v>
      </c>
      <c r="L49" s="380">
        <f t="shared" si="16"/>
        <v>53.64</v>
      </c>
      <c r="M49" s="380">
        <f t="shared" si="16"/>
        <v>53.64</v>
      </c>
      <c r="N49" s="380">
        <f t="shared" si="16"/>
        <v>53.64</v>
      </c>
      <c r="O49" s="380">
        <f t="shared" si="16"/>
        <v>53.64</v>
      </c>
      <c r="P49" s="380">
        <f t="shared" si="16"/>
        <v>53.64</v>
      </c>
      <c r="Q49" s="380">
        <f t="shared" si="16"/>
        <v>53.64</v>
      </c>
      <c r="R49" s="380">
        <f t="shared" si="16"/>
        <v>53.64</v>
      </c>
      <c r="S49" s="380">
        <f t="shared" si="16"/>
        <v>53.64</v>
      </c>
      <c r="T49" s="417">
        <f t="shared" si="13"/>
        <v>643.67999999999995</v>
      </c>
    </row>
    <row r="50" spans="2:20" ht="17" thickTop="1" x14ac:dyDescent="0.2">
      <c r="B50" s="250" t="s">
        <v>366</v>
      </c>
      <c r="C50" s="237"/>
      <c r="D50" s="237"/>
      <c r="E50" s="237"/>
      <c r="F50" s="237"/>
      <c r="G50" s="237"/>
      <c r="H50" s="239">
        <f>SUM(H46:H49)</f>
        <v>3142.44</v>
      </c>
      <c r="I50" s="240">
        <f t="shared" ref="I50:S50" si="17">SUM(I46:I49)</f>
        <v>3273.8399999999997</v>
      </c>
      <c r="J50" s="240">
        <f t="shared" si="17"/>
        <v>3401.64</v>
      </c>
      <c r="K50" s="240">
        <f t="shared" si="17"/>
        <v>3533.04</v>
      </c>
      <c r="L50" s="240">
        <f t="shared" si="17"/>
        <v>3660.54</v>
      </c>
      <c r="M50" s="240">
        <f t="shared" si="17"/>
        <v>3791.94</v>
      </c>
      <c r="N50" s="240">
        <f t="shared" si="17"/>
        <v>3919.74</v>
      </c>
      <c r="O50" s="240">
        <f t="shared" si="17"/>
        <v>4051.14</v>
      </c>
      <c r="P50" s="240">
        <f t="shared" si="17"/>
        <v>4178.6400000000003</v>
      </c>
      <c r="Q50" s="240">
        <f t="shared" si="17"/>
        <v>4310.04</v>
      </c>
      <c r="R50" s="240">
        <f t="shared" si="17"/>
        <v>4437.84</v>
      </c>
      <c r="S50" s="240">
        <f t="shared" si="17"/>
        <v>4570.7400000000007</v>
      </c>
      <c r="T50" s="251">
        <f>SUM(H50:S50)</f>
        <v>46271.579999999994</v>
      </c>
    </row>
    <row r="51" spans="2:20" x14ac:dyDescent="0.2">
      <c r="H51" s="367"/>
      <c r="I51" s="368"/>
      <c r="J51" s="368"/>
      <c r="K51" s="368"/>
      <c r="L51" s="368"/>
      <c r="M51" s="368"/>
      <c r="N51" s="368"/>
      <c r="O51" s="368"/>
      <c r="P51" s="368"/>
      <c r="Q51" s="368"/>
      <c r="R51" s="368"/>
      <c r="S51" s="368"/>
      <c r="T51" s="381"/>
    </row>
    <row r="52" spans="2:20" ht="20" x14ac:dyDescent="0.2">
      <c r="B52" s="116" t="s">
        <v>11</v>
      </c>
      <c r="C52" s="327"/>
      <c r="D52" s="327"/>
      <c r="E52" s="327" t="str">
        <f>$E$3</f>
        <v>Year 5 (2024)</v>
      </c>
      <c r="F52" s="327"/>
      <c r="G52" s="327"/>
      <c r="H52" s="360" t="s">
        <v>127</v>
      </c>
      <c r="I52" s="361" t="s">
        <v>128</v>
      </c>
      <c r="J52" s="361" t="s">
        <v>129</v>
      </c>
      <c r="K52" s="361" t="s">
        <v>130</v>
      </c>
      <c r="L52" s="361" t="s">
        <v>131</v>
      </c>
      <c r="M52" s="361" t="s">
        <v>132</v>
      </c>
      <c r="N52" s="361" t="s">
        <v>133</v>
      </c>
      <c r="O52" s="361" t="s">
        <v>134</v>
      </c>
      <c r="P52" s="361" t="s">
        <v>135</v>
      </c>
      <c r="Q52" s="361" t="s">
        <v>136</v>
      </c>
      <c r="R52" s="361" t="s">
        <v>137</v>
      </c>
      <c r="S52" s="361" t="s">
        <v>138</v>
      </c>
      <c r="T52" s="362" t="s">
        <v>179</v>
      </c>
    </row>
    <row r="53" spans="2:20" x14ac:dyDescent="0.2">
      <c r="B53" s="401"/>
      <c r="C53" s="402"/>
      <c r="D53" s="402"/>
      <c r="E53" s="402"/>
      <c r="F53" s="402"/>
      <c r="G53" s="403" t="s">
        <v>57</v>
      </c>
      <c r="H53" s="363">
        <f>H$4</f>
        <v>49</v>
      </c>
      <c r="I53" s="364">
        <f t="shared" ref="I53:S53" si="18">I$4</f>
        <v>50</v>
      </c>
      <c r="J53" s="364">
        <f t="shared" si="18"/>
        <v>51</v>
      </c>
      <c r="K53" s="364">
        <f t="shared" si="18"/>
        <v>52</v>
      </c>
      <c r="L53" s="364">
        <f t="shared" si="18"/>
        <v>53</v>
      </c>
      <c r="M53" s="364">
        <f t="shared" si="18"/>
        <v>54</v>
      </c>
      <c r="N53" s="364">
        <f t="shared" si="18"/>
        <v>55</v>
      </c>
      <c r="O53" s="364">
        <f t="shared" si="18"/>
        <v>56</v>
      </c>
      <c r="P53" s="364">
        <f t="shared" si="18"/>
        <v>57</v>
      </c>
      <c r="Q53" s="364">
        <f t="shared" si="18"/>
        <v>58</v>
      </c>
      <c r="R53" s="364">
        <f t="shared" si="18"/>
        <v>59</v>
      </c>
      <c r="S53" s="364">
        <f t="shared" si="18"/>
        <v>60</v>
      </c>
      <c r="T53" s="405" t="str">
        <f>"Total for " &amp; $E$3</f>
        <v>Total for Year 5 (2024)</v>
      </c>
    </row>
    <row r="54" spans="2:20" x14ac:dyDescent="0.2">
      <c r="B54" s="308"/>
      <c r="H54" s="367"/>
      <c r="I54" s="368"/>
      <c r="J54" s="368"/>
      <c r="K54" s="368"/>
      <c r="L54" s="368"/>
      <c r="M54" s="368"/>
      <c r="N54" s="368"/>
      <c r="O54" s="368"/>
      <c r="P54" s="368"/>
      <c r="Q54" s="368"/>
      <c r="R54" s="368"/>
      <c r="S54" s="368"/>
      <c r="T54" s="407"/>
    </row>
    <row r="55" spans="2:20" x14ac:dyDescent="0.2">
      <c r="B55" s="307" t="s">
        <v>267</v>
      </c>
      <c r="C55" s="10"/>
      <c r="D55" s="11"/>
      <c r="E55" s="12" t="s">
        <v>312</v>
      </c>
      <c r="H55" s="367"/>
      <c r="I55" s="368"/>
      <c r="J55" s="368"/>
      <c r="K55" s="368"/>
      <c r="L55" s="368"/>
      <c r="M55" s="368"/>
      <c r="N55" s="368"/>
      <c r="O55" s="368"/>
      <c r="P55" s="368"/>
      <c r="Q55" s="368"/>
      <c r="R55" s="368"/>
      <c r="S55" s="368"/>
      <c r="T55" s="407"/>
    </row>
    <row r="56" spans="2:20" x14ac:dyDescent="0.2">
      <c r="B56" s="307"/>
      <c r="C56" t="s">
        <v>264</v>
      </c>
      <c r="D56" s="11"/>
      <c r="E56" s="454">
        <f>'Year 4'!E56</f>
        <v>0.03</v>
      </c>
      <c r="H56" s="379">
        <f>H$12*$E56</f>
        <v>1170</v>
      </c>
      <c r="I56" s="380">
        <f t="shared" ref="I56:S56" si="19">I$12*$E56</f>
        <v>1209.5999999999999</v>
      </c>
      <c r="J56" s="380">
        <f t="shared" si="19"/>
        <v>1245.5999999999999</v>
      </c>
      <c r="K56" s="380">
        <f t="shared" si="19"/>
        <v>1285.2</v>
      </c>
      <c r="L56" s="380">
        <f t="shared" si="19"/>
        <v>1321.2</v>
      </c>
      <c r="M56" s="380">
        <f t="shared" si="19"/>
        <v>1360.8</v>
      </c>
      <c r="N56" s="380">
        <f t="shared" si="19"/>
        <v>1396.8</v>
      </c>
      <c r="O56" s="380">
        <f t="shared" si="19"/>
        <v>1436.3999999999999</v>
      </c>
      <c r="P56" s="380">
        <f t="shared" si="19"/>
        <v>1472.3999999999999</v>
      </c>
      <c r="Q56" s="380">
        <f t="shared" si="19"/>
        <v>1512</v>
      </c>
      <c r="R56" s="380">
        <f t="shared" si="19"/>
        <v>1548</v>
      </c>
      <c r="S56" s="380">
        <f t="shared" si="19"/>
        <v>1587.6</v>
      </c>
      <c r="T56" s="417">
        <f t="shared" ref="T56" si="20">SUM(H56:S56)</f>
        <v>16545.599999999999</v>
      </c>
    </row>
    <row r="57" spans="2:20" x14ac:dyDescent="0.2">
      <c r="B57" s="307"/>
      <c r="C57" t="s">
        <v>265</v>
      </c>
      <c r="D57" s="11"/>
      <c r="E57" s="454">
        <f>'Year 4'!E57</f>
        <v>0.02</v>
      </c>
      <c r="H57" s="379">
        <f>H$20*$E57</f>
        <v>24.2</v>
      </c>
      <c r="I57" s="380">
        <f t="shared" ref="I57:S57" si="21">I$20*$E57</f>
        <v>25.400000000000002</v>
      </c>
      <c r="J57" s="380">
        <f t="shared" si="21"/>
        <v>26.6</v>
      </c>
      <c r="K57" s="380">
        <f t="shared" si="21"/>
        <v>27.8</v>
      </c>
      <c r="L57" s="380">
        <f t="shared" si="21"/>
        <v>28.8</v>
      </c>
      <c r="M57" s="380">
        <f t="shared" si="21"/>
        <v>30</v>
      </c>
      <c r="N57" s="380">
        <f t="shared" si="21"/>
        <v>31.2</v>
      </c>
      <c r="O57" s="380">
        <f t="shared" si="21"/>
        <v>32.4</v>
      </c>
      <c r="P57" s="380">
        <f t="shared" si="21"/>
        <v>33.4</v>
      </c>
      <c r="Q57" s="380">
        <f t="shared" si="21"/>
        <v>34.6</v>
      </c>
      <c r="R57" s="380">
        <f t="shared" si="21"/>
        <v>35.800000000000004</v>
      </c>
      <c r="S57" s="380">
        <f t="shared" si="21"/>
        <v>37</v>
      </c>
      <c r="T57" s="417">
        <f t="shared" ref="T57:T60" si="22">SUM(H57:S57)</f>
        <v>367.20000000000005</v>
      </c>
    </row>
    <row r="58" spans="2:20" x14ac:dyDescent="0.2">
      <c r="B58" s="307"/>
      <c r="C58" t="s">
        <v>285</v>
      </c>
      <c r="D58" s="11"/>
      <c r="E58" s="454">
        <f>'Year 4'!E58</f>
        <v>0.01</v>
      </c>
      <c r="H58" s="379">
        <f>H$28*$E58</f>
        <v>376.5</v>
      </c>
      <c r="I58" s="380">
        <f t="shared" ref="I58:S58" si="23">I$28*$E58</f>
        <v>394.5</v>
      </c>
      <c r="J58" s="380">
        <f t="shared" si="23"/>
        <v>412.5</v>
      </c>
      <c r="K58" s="380">
        <f t="shared" si="23"/>
        <v>430.5</v>
      </c>
      <c r="L58" s="380">
        <f t="shared" si="23"/>
        <v>448.5</v>
      </c>
      <c r="M58" s="380">
        <f t="shared" si="23"/>
        <v>466.5</v>
      </c>
      <c r="N58" s="380">
        <f t="shared" si="23"/>
        <v>484.5</v>
      </c>
      <c r="O58" s="380">
        <f t="shared" si="23"/>
        <v>502.5</v>
      </c>
      <c r="P58" s="380">
        <f t="shared" si="23"/>
        <v>520.5</v>
      </c>
      <c r="Q58" s="380">
        <f t="shared" si="23"/>
        <v>538.5</v>
      </c>
      <c r="R58" s="380">
        <f t="shared" si="23"/>
        <v>556.5</v>
      </c>
      <c r="S58" s="380">
        <f t="shared" si="23"/>
        <v>574.80000000000007</v>
      </c>
      <c r="T58" s="417">
        <f t="shared" si="22"/>
        <v>5706.3</v>
      </c>
    </row>
    <row r="59" spans="2:20" ht="17" thickBot="1" x14ac:dyDescent="0.25">
      <c r="B59" s="308"/>
      <c r="C59" t="s">
        <v>266</v>
      </c>
      <c r="D59" s="11"/>
      <c r="E59" s="454">
        <f>'Year 4'!E59</f>
        <v>0.04</v>
      </c>
      <c r="H59" s="379">
        <f>H$39*$E59</f>
        <v>35.76</v>
      </c>
      <c r="I59" s="380">
        <f t="shared" ref="I59:S59" si="24">I$39*$E59</f>
        <v>35.76</v>
      </c>
      <c r="J59" s="380">
        <f t="shared" si="24"/>
        <v>35.76</v>
      </c>
      <c r="K59" s="380">
        <f t="shared" si="24"/>
        <v>35.76</v>
      </c>
      <c r="L59" s="380">
        <f t="shared" si="24"/>
        <v>35.76</v>
      </c>
      <c r="M59" s="380">
        <f t="shared" si="24"/>
        <v>35.76</v>
      </c>
      <c r="N59" s="380">
        <f t="shared" si="24"/>
        <v>35.76</v>
      </c>
      <c r="O59" s="380">
        <f t="shared" si="24"/>
        <v>35.76</v>
      </c>
      <c r="P59" s="380">
        <f t="shared" si="24"/>
        <v>35.76</v>
      </c>
      <c r="Q59" s="380">
        <f t="shared" si="24"/>
        <v>35.76</v>
      </c>
      <c r="R59" s="380">
        <f t="shared" si="24"/>
        <v>35.76</v>
      </c>
      <c r="S59" s="380">
        <f t="shared" si="24"/>
        <v>35.76</v>
      </c>
      <c r="T59" s="417">
        <f t="shared" si="22"/>
        <v>429.11999999999995</v>
      </c>
    </row>
    <row r="60" spans="2:20" ht="17" thickTop="1" x14ac:dyDescent="0.2">
      <c r="B60" s="418" t="s">
        <v>274</v>
      </c>
      <c r="C60" s="419"/>
      <c r="D60" s="419"/>
      <c r="E60" s="419"/>
      <c r="F60" s="419"/>
      <c r="G60" s="420"/>
      <c r="H60" s="421">
        <f>SUM(H56:H59)</f>
        <v>1606.46</v>
      </c>
      <c r="I60" s="422">
        <f t="shared" ref="I60:S60" si="25">SUM(I56:I59)</f>
        <v>1665.26</v>
      </c>
      <c r="J60" s="422">
        <f t="shared" si="25"/>
        <v>1720.4599999999998</v>
      </c>
      <c r="K60" s="422">
        <f t="shared" si="25"/>
        <v>1779.26</v>
      </c>
      <c r="L60" s="422">
        <f t="shared" si="25"/>
        <v>1834.26</v>
      </c>
      <c r="M60" s="422">
        <f t="shared" si="25"/>
        <v>1893.06</v>
      </c>
      <c r="N60" s="422">
        <f t="shared" si="25"/>
        <v>1948.26</v>
      </c>
      <c r="O60" s="422">
        <f t="shared" si="25"/>
        <v>2007.06</v>
      </c>
      <c r="P60" s="422">
        <f t="shared" si="25"/>
        <v>2062.06</v>
      </c>
      <c r="Q60" s="422">
        <f t="shared" si="25"/>
        <v>2120.86</v>
      </c>
      <c r="R60" s="422">
        <f t="shared" si="25"/>
        <v>2176.0600000000004</v>
      </c>
      <c r="S60" s="422">
        <f t="shared" si="25"/>
        <v>2235.1600000000003</v>
      </c>
      <c r="T60" s="423">
        <f t="shared" si="22"/>
        <v>23048.22</v>
      </c>
    </row>
    <row r="61" spans="2:20" x14ac:dyDescent="0.2">
      <c r="B61" s="424"/>
      <c r="C61" s="10"/>
      <c r="D61" s="11"/>
      <c r="E61" s="16"/>
      <c r="F61" s="57"/>
      <c r="G61" s="57"/>
      <c r="H61" s="382"/>
      <c r="I61" s="383"/>
      <c r="J61" s="383"/>
      <c r="K61" s="383"/>
      <c r="L61" s="383"/>
      <c r="M61" s="383"/>
      <c r="N61" s="383"/>
      <c r="O61" s="383"/>
      <c r="P61" s="383"/>
      <c r="Q61" s="383"/>
      <c r="R61" s="383"/>
      <c r="S61" s="383"/>
      <c r="T61" s="407"/>
    </row>
    <row r="62" spans="2:20" x14ac:dyDescent="0.2">
      <c r="B62" s="307" t="s">
        <v>209</v>
      </c>
      <c r="C62" s="10"/>
      <c r="D62" s="11"/>
      <c r="E62" s="12" t="s">
        <v>312</v>
      </c>
      <c r="F62" s="57"/>
      <c r="G62" s="57"/>
      <c r="H62" s="367"/>
      <c r="I62" s="368"/>
      <c r="J62" s="368"/>
      <c r="K62" s="368"/>
      <c r="L62" s="368" t="s">
        <v>14</v>
      </c>
      <c r="M62" s="368"/>
      <c r="N62" s="368"/>
      <c r="O62" s="368"/>
      <c r="P62" s="368"/>
      <c r="Q62" s="368"/>
      <c r="R62" s="368"/>
      <c r="S62" s="368"/>
      <c r="T62" s="407"/>
    </row>
    <row r="63" spans="2:20" x14ac:dyDescent="0.2">
      <c r="B63" s="307"/>
      <c r="C63" t="s">
        <v>268</v>
      </c>
      <c r="D63" s="11"/>
      <c r="E63" s="454">
        <f>'Year 4'!E63</f>
        <v>0.02</v>
      </c>
      <c r="F63" s="37"/>
      <c r="H63" s="382">
        <f>$E63*H$12</f>
        <v>780</v>
      </c>
      <c r="I63" s="383">
        <f t="shared" ref="I63:S63" si="26">$E63*I$12</f>
        <v>806.4</v>
      </c>
      <c r="J63" s="383">
        <f t="shared" si="26"/>
        <v>830.4</v>
      </c>
      <c r="K63" s="383">
        <f t="shared" si="26"/>
        <v>856.80000000000007</v>
      </c>
      <c r="L63" s="383">
        <f t="shared" si="26"/>
        <v>880.80000000000007</v>
      </c>
      <c r="M63" s="383">
        <f t="shared" si="26"/>
        <v>907.2</v>
      </c>
      <c r="N63" s="383">
        <f t="shared" si="26"/>
        <v>931.2</v>
      </c>
      <c r="O63" s="383">
        <f t="shared" si="26"/>
        <v>957.6</v>
      </c>
      <c r="P63" s="383">
        <f t="shared" si="26"/>
        <v>981.6</v>
      </c>
      <c r="Q63" s="383">
        <f t="shared" si="26"/>
        <v>1008</v>
      </c>
      <c r="R63" s="383">
        <f t="shared" si="26"/>
        <v>1032</v>
      </c>
      <c r="S63" s="383">
        <f t="shared" si="26"/>
        <v>1058.4000000000001</v>
      </c>
      <c r="T63" s="417">
        <f t="shared" ref="T63:T67" si="27">SUM(H63:S63)</f>
        <v>11030.4</v>
      </c>
    </row>
    <row r="64" spans="2:20" x14ac:dyDescent="0.2">
      <c r="B64" s="307"/>
      <c r="C64" t="s">
        <v>269</v>
      </c>
      <c r="D64" s="11"/>
      <c r="E64" s="454">
        <f>'Year 4'!E64</f>
        <v>0</v>
      </c>
      <c r="F64" s="37"/>
      <c r="H64" s="382">
        <f>$E64*H$20</f>
        <v>0</v>
      </c>
      <c r="I64" s="383">
        <f t="shared" ref="I64:S64" si="28">$E64*I$20</f>
        <v>0</v>
      </c>
      <c r="J64" s="383">
        <f t="shared" si="28"/>
        <v>0</v>
      </c>
      <c r="K64" s="383">
        <f t="shared" si="28"/>
        <v>0</v>
      </c>
      <c r="L64" s="383">
        <f t="shared" si="28"/>
        <v>0</v>
      </c>
      <c r="M64" s="383">
        <f t="shared" si="28"/>
        <v>0</v>
      </c>
      <c r="N64" s="383">
        <f t="shared" si="28"/>
        <v>0</v>
      </c>
      <c r="O64" s="383">
        <f t="shared" si="28"/>
        <v>0</v>
      </c>
      <c r="P64" s="383">
        <f t="shared" si="28"/>
        <v>0</v>
      </c>
      <c r="Q64" s="383">
        <f t="shared" si="28"/>
        <v>0</v>
      </c>
      <c r="R64" s="383">
        <f t="shared" si="28"/>
        <v>0</v>
      </c>
      <c r="S64" s="383">
        <f t="shared" si="28"/>
        <v>0</v>
      </c>
      <c r="T64" s="417">
        <f t="shared" si="27"/>
        <v>0</v>
      </c>
    </row>
    <row r="65" spans="2:20" x14ac:dyDescent="0.2">
      <c r="B65" s="307"/>
      <c r="C65" t="s">
        <v>270</v>
      </c>
      <c r="D65" s="11"/>
      <c r="E65" s="454">
        <f>'Year 4'!E65</f>
        <v>0.3</v>
      </c>
      <c r="F65" s="37"/>
      <c r="H65" s="382">
        <f>$E65*H$28</f>
        <v>11295</v>
      </c>
      <c r="I65" s="383">
        <f t="shared" ref="I65:S65" si="29">$E65*I$28</f>
        <v>11835</v>
      </c>
      <c r="J65" s="383">
        <f t="shared" si="29"/>
        <v>12375</v>
      </c>
      <c r="K65" s="383">
        <f t="shared" si="29"/>
        <v>12915</v>
      </c>
      <c r="L65" s="383">
        <f t="shared" si="29"/>
        <v>13455</v>
      </c>
      <c r="M65" s="383">
        <f t="shared" si="29"/>
        <v>13995</v>
      </c>
      <c r="N65" s="383">
        <f t="shared" si="29"/>
        <v>14535</v>
      </c>
      <c r="O65" s="383">
        <f t="shared" si="29"/>
        <v>15075</v>
      </c>
      <c r="P65" s="383">
        <f t="shared" si="29"/>
        <v>15615</v>
      </c>
      <c r="Q65" s="383">
        <f t="shared" si="29"/>
        <v>16155</v>
      </c>
      <c r="R65" s="383">
        <f t="shared" si="29"/>
        <v>16695</v>
      </c>
      <c r="S65" s="383">
        <f t="shared" si="29"/>
        <v>17244</v>
      </c>
      <c r="T65" s="417">
        <f t="shared" si="27"/>
        <v>171189</v>
      </c>
    </row>
    <row r="66" spans="2:20" ht="17" thickBot="1" x14ac:dyDescent="0.25">
      <c r="B66" s="307"/>
      <c r="C66" t="s">
        <v>271</v>
      </c>
      <c r="D66" s="11"/>
      <c r="E66" s="454">
        <f>'Year 4'!E66</f>
        <v>0.12</v>
      </c>
      <c r="F66" s="37"/>
      <c r="H66" s="382">
        <f>IF(H$37="",$E66*H$36*($E$31+$E$32),$E66*$E$34*($E$31+$E$32))</f>
        <v>55.8</v>
      </c>
      <c r="I66" s="383">
        <f t="shared" ref="I66:S66" si="30">IF(I$37="",$E66*I$36*($E$31+$E$32),$E66*$E$34*($E$31+$E$32))</f>
        <v>55.8</v>
      </c>
      <c r="J66" s="383">
        <f t="shared" si="30"/>
        <v>55.8</v>
      </c>
      <c r="K66" s="383">
        <f t="shared" si="30"/>
        <v>55.8</v>
      </c>
      <c r="L66" s="383">
        <f t="shared" si="30"/>
        <v>55.8</v>
      </c>
      <c r="M66" s="383">
        <f t="shared" si="30"/>
        <v>55.8</v>
      </c>
      <c r="N66" s="383">
        <f t="shared" si="30"/>
        <v>55.8</v>
      </c>
      <c r="O66" s="383">
        <f t="shared" si="30"/>
        <v>55.8</v>
      </c>
      <c r="P66" s="383">
        <f t="shared" si="30"/>
        <v>55.8</v>
      </c>
      <c r="Q66" s="383">
        <f t="shared" si="30"/>
        <v>55.8</v>
      </c>
      <c r="R66" s="383">
        <f t="shared" si="30"/>
        <v>55.8</v>
      </c>
      <c r="S66" s="383">
        <f t="shared" si="30"/>
        <v>55.8</v>
      </c>
      <c r="T66" s="417">
        <f t="shared" si="27"/>
        <v>669.59999999999991</v>
      </c>
    </row>
    <row r="67" spans="2:20" ht="17" thickTop="1" x14ac:dyDescent="0.2">
      <c r="B67" s="418" t="s">
        <v>275</v>
      </c>
      <c r="C67" s="419"/>
      <c r="D67" s="419"/>
      <c r="E67" s="419"/>
      <c r="F67" s="419"/>
      <c r="G67" s="420"/>
      <c r="H67" s="421">
        <f t="shared" ref="H67:S67" si="31">SUM(H63:H66)</f>
        <v>12130.8</v>
      </c>
      <c r="I67" s="422">
        <f t="shared" si="31"/>
        <v>12697.199999999999</v>
      </c>
      <c r="J67" s="422">
        <f t="shared" si="31"/>
        <v>13261.199999999999</v>
      </c>
      <c r="K67" s="422">
        <f t="shared" si="31"/>
        <v>13827.599999999999</v>
      </c>
      <c r="L67" s="422">
        <f t="shared" si="31"/>
        <v>14391.599999999999</v>
      </c>
      <c r="M67" s="422">
        <f t="shared" si="31"/>
        <v>14958</v>
      </c>
      <c r="N67" s="422">
        <f t="shared" si="31"/>
        <v>15522</v>
      </c>
      <c r="O67" s="422">
        <f t="shared" si="31"/>
        <v>16088.4</v>
      </c>
      <c r="P67" s="422">
        <f t="shared" si="31"/>
        <v>16652.399999999998</v>
      </c>
      <c r="Q67" s="422">
        <f t="shared" si="31"/>
        <v>17218.8</v>
      </c>
      <c r="R67" s="422">
        <f t="shared" si="31"/>
        <v>17782.8</v>
      </c>
      <c r="S67" s="422">
        <f t="shared" si="31"/>
        <v>18358.2</v>
      </c>
      <c r="T67" s="423">
        <f t="shared" si="27"/>
        <v>182888.99999999997</v>
      </c>
    </row>
    <row r="68" spans="2:20" x14ac:dyDescent="0.2">
      <c r="B68" s="307"/>
      <c r="C68" s="10"/>
      <c r="D68" s="11"/>
      <c r="E68" s="16"/>
      <c r="H68" s="382"/>
      <c r="I68" s="384"/>
      <c r="J68" s="384"/>
      <c r="K68" s="384"/>
      <c r="L68" s="384"/>
      <c r="M68" s="384"/>
      <c r="N68" s="384"/>
      <c r="O68" s="384"/>
      <c r="P68" s="384"/>
      <c r="Q68" s="384"/>
      <c r="R68" s="384"/>
      <c r="S68" s="383"/>
      <c r="T68" s="407"/>
    </row>
    <row r="69" spans="2:20" x14ac:dyDescent="0.2">
      <c r="B69" s="307" t="s">
        <v>277</v>
      </c>
      <c r="C69" s="10"/>
      <c r="D69" s="11"/>
      <c r="E69" s="16" t="s">
        <v>180</v>
      </c>
      <c r="F69" s="16" t="s">
        <v>283</v>
      </c>
      <c r="G69" s="17" t="s">
        <v>16</v>
      </c>
      <c r="H69" s="367"/>
      <c r="I69" s="368"/>
      <c r="J69" s="368"/>
      <c r="K69" s="368"/>
      <c r="L69" s="368"/>
      <c r="M69" s="368"/>
      <c r="N69" s="368"/>
      <c r="O69" s="368"/>
      <c r="P69" s="368"/>
      <c r="Q69" s="368"/>
      <c r="R69" s="368"/>
      <c r="S69" s="368"/>
      <c r="T69" s="407"/>
    </row>
    <row r="70" spans="2:20" x14ac:dyDescent="0.2">
      <c r="B70" s="308"/>
      <c r="C70" t="s">
        <v>278</v>
      </c>
      <c r="E70" s="453" t="str">
        <f>IF(AND('Year 4'!$F70&lt;&gt;"",'Year 4'!$F70&gt;'Year 4'!$S$53),'Year 5'!$H$53,"")</f>
        <v/>
      </c>
      <c r="F70" s="453" t="str">
        <f>IF(AND('Year 4'!$F70&lt;&gt;"",'Year 4'!$F70&gt;'Year 4'!$S$53),'Year 4'!$F70,"")</f>
        <v/>
      </c>
      <c r="G70" s="452" t="str">
        <f>IF(AND('Year 4'!$F70&lt;&gt;"",'Year 4'!$F70&gt;'Year 4'!$S$53),'Year 4'!$G70,"")</f>
        <v/>
      </c>
      <c r="H70" s="382">
        <f>IF(AND($E70&lt;=H$53,$F70&gt;=H$53),$G70,0)</f>
        <v>0</v>
      </c>
      <c r="I70" s="383">
        <f t="shared" ref="I70:S70" si="32">IF(AND($E70&lt;=I$53,$F70&gt;=I$53),$G70,0)</f>
        <v>0</v>
      </c>
      <c r="J70" s="383">
        <f t="shared" si="32"/>
        <v>0</v>
      </c>
      <c r="K70" s="383">
        <f t="shared" si="32"/>
        <v>0</v>
      </c>
      <c r="L70" s="383">
        <f t="shared" si="32"/>
        <v>0</v>
      </c>
      <c r="M70" s="383">
        <f t="shared" si="32"/>
        <v>0</v>
      </c>
      <c r="N70" s="383">
        <f t="shared" si="32"/>
        <v>0</v>
      </c>
      <c r="O70" s="383">
        <f t="shared" si="32"/>
        <v>0</v>
      </c>
      <c r="P70" s="383">
        <f t="shared" si="32"/>
        <v>0</v>
      </c>
      <c r="Q70" s="383">
        <f t="shared" si="32"/>
        <v>0</v>
      </c>
      <c r="R70" s="383">
        <f t="shared" si="32"/>
        <v>0</v>
      </c>
      <c r="S70" s="383">
        <f t="shared" si="32"/>
        <v>0</v>
      </c>
      <c r="T70" s="417">
        <f t="shared" ref="T70:T73" si="33">SUM(H70:S70)</f>
        <v>0</v>
      </c>
    </row>
    <row r="71" spans="2:20" x14ac:dyDescent="0.2">
      <c r="B71" s="308"/>
      <c r="C71" t="s">
        <v>279</v>
      </c>
      <c r="E71" s="453" t="str">
        <f>IF(AND('Year 4'!$F71&lt;&gt;"",'Year 4'!$F71&gt;'Year 4'!$S$53),'Year 5'!$H$53,"")</f>
        <v/>
      </c>
      <c r="F71" s="453" t="str">
        <f>IF(AND('Year 4'!$F71&lt;&gt;"",'Year 4'!$F71&gt;'Year 4'!$S$53),'Year 4'!$F71,"")</f>
        <v/>
      </c>
      <c r="G71" s="452" t="str">
        <f>IF(AND('Year 4'!$F71&lt;&gt;"",'Year 4'!$F71&gt;'Year 4'!$S$53),'Year 4'!$G71,"")</f>
        <v/>
      </c>
      <c r="H71" s="382">
        <f t="shared" ref="H71:S73" si="34">IF(AND($E71&lt;=H$53,$F71&gt;=H$53),$G71,0)</f>
        <v>0</v>
      </c>
      <c r="I71" s="383">
        <f t="shared" si="34"/>
        <v>0</v>
      </c>
      <c r="J71" s="383">
        <f t="shared" si="34"/>
        <v>0</v>
      </c>
      <c r="K71" s="383">
        <f t="shared" si="34"/>
        <v>0</v>
      </c>
      <c r="L71" s="383">
        <f t="shared" si="34"/>
        <v>0</v>
      </c>
      <c r="M71" s="383">
        <f t="shared" si="34"/>
        <v>0</v>
      </c>
      <c r="N71" s="383">
        <f t="shared" si="34"/>
        <v>0</v>
      </c>
      <c r="O71" s="383">
        <f t="shared" si="34"/>
        <v>0</v>
      </c>
      <c r="P71" s="383">
        <f t="shared" si="34"/>
        <v>0</v>
      </c>
      <c r="Q71" s="383">
        <f t="shared" si="34"/>
        <v>0</v>
      </c>
      <c r="R71" s="383">
        <f t="shared" si="34"/>
        <v>0</v>
      </c>
      <c r="S71" s="383">
        <f t="shared" si="34"/>
        <v>0</v>
      </c>
      <c r="T71" s="417">
        <f t="shared" si="33"/>
        <v>0</v>
      </c>
    </row>
    <row r="72" spans="2:20" x14ac:dyDescent="0.2">
      <c r="B72" s="308"/>
      <c r="C72" t="s">
        <v>280</v>
      </c>
      <c r="E72" s="453" t="str">
        <f>IF(AND('Year 4'!$F72&lt;&gt;"",'Year 4'!$F72&gt;'Year 4'!$S$53),'Year 5'!$H$53,"")</f>
        <v/>
      </c>
      <c r="F72" s="453" t="str">
        <f>IF(AND('Year 4'!$F72&lt;&gt;"",'Year 4'!$F72&gt;'Year 4'!$S$53),'Year 4'!$F72,"")</f>
        <v/>
      </c>
      <c r="G72" s="452" t="str">
        <f>IF(AND('Year 4'!$F72&lt;&gt;"",'Year 4'!$F72&gt;'Year 4'!$S$53),'Year 4'!$G72,"")</f>
        <v/>
      </c>
      <c r="H72" s="382">
        <f t="shared" si="34"/>
        <v>0</v>
      </c>
      <c r="I72" s="383">
        <f t="shared" si="34"/>
        <v>0</v>
      </c>
      <c r="J72" s="383">
        <f t="shared" si="34"/>
        <v>0</v>
      </c>
      <c r="K72" s="383">
        <f t="shared" si="34"/>
        <v>0</v>
      </c>
      <c r="L72" s="383">
        <f t="shared" si="34"/>
        <v>0</v>
      </c>
      <c r="M72" s="383">
        <f t="shared" si="34"/>
        <v>0</v>
      </c>
      <c r="N72" s="383">
        <f t="shared" si="34"/>
        <v>0</v>
      </c>
      <c r="O72" s="383">
        <f t="shared" si="34"/>
        <v>0</v>
      </c>
      <c r="P72" s="383">
        <f t="shared" si="34"/>
        <v>0</v>
      </c>
      <c r="Q72" s="383">
        <f t="shared" si="34"/>
        <v>0</v>
      </c>
      <c r="R72" s="383">
        <f t="shared" si="34"/>
        <v>0</v>
      </c>
      <c r="S72" s="383">
        <f t="shared" si="34"/>
        <v>0</v>
      </c>
      <c r="T72" s="417">
        <f t="shared" si="33"/>
        <v>0</v>
      </c>
    </row>
    <row r="73" spans="2:20" ht="17" thickBot="1" x14ac:dyDescent="0.25">
      <c r="B73" s="308"/>
      <c r="C73" t="s">
        <v>281</v>
      </c>
      <c r="E73" s="453" t="str">
        <f>IF(AND('Year 4'!$F73&lt;&gt;"",'Year 4'!$F73&gt;'Year 4'!$S$53),'Year 5'!$H$53,"")</f>
        <v/>
      </c>
      <c r="F73" s="453" t="str">
        <f>IF(AND('Year 4'!$F73&lt;&gt;"",'Year 4'!$F73&gt;'Year 4'!$S$53),'Year 4'!$F73,"")</f>
        <v/>
      </c>
      <c r="G73" s="452" t="str">
        <f>IF(AND('Year 4'!$F73&lt;&gt;"",'Year 4'!$F73&gt;'Year 4'!$S$53),'Year 4'!$G73,"")</f>
        <v/>
      </c>
      <c r="H73" s="382">
        <f t="shared" si="34"/>
        <v>0</v>
      </c>
      <c r="I73" s="383">
        <f t="shared" si="34"/>
        <v>0</v>
      </c>
      <c r="J73" s="383">
        <f t="shared" si="34"/>
        <v>0</v>
      </c>
      <c r="K73" s="383">
        <f t="shared" si="34"/>
        <v>0</v>
      </c>
      <c r="L73" s="383">
        <f t="shared" si="34"/>
        <v>0</v>
      </c>
      <c r="M73" s="383">
        <f t="shared" si="34"/>
        <v>0</v>
      </c>
      <c r="N73" s="383">
        <f t="shared" si="34"/>
        <v>0</v>
      </c>
      <c r="O73" s="383">
        <f t="shared" si="34"/>
        <v>0</v>
      </c>
      <c r="P73" s="383">
        <f t="shared" si="34"/>
        <v>0</v>
      </c>
      <c r="Q73" s="383">
        <f t="shared" si="34"/>
        <v>0</v>
      </c>
      <c r="R73" s="383">
        <f t="shared" si="34"/>
        <v>0</v>
      </c>
      <c r="S73" s="383">
        <f t="shared" si="34"/>
        <v>0</v>
      </c>
      <c r="T73" s="417">
        <f t="shared" si="33"/>
        <v>0</v>
      </c>
    </row>
    <row r="74" spans="2:20" ht="17" thickTop="1" x14ac:dyDescent="0.2">
      <c r="B74" s="418" t="s">
        <v>282</v>
      </c>
      <c r="C74" s="419"/>
      <c r="D74" s="419"/>
      <c r="E74" s="419"/>
      <c r="F74" s="419"/>
      <c r="G74" s="420"/>
      <c r="H74" s="421">
        <f>SUM(H70:H73)</f>
        <v>0</v>
      </c>
      <c r="I74" s="422">
        <f t="shared" ref="I74:S74" si="35">SUM(I70:I73)</f>
        <v>0</v>
      </c>
      <c r="J74" s="422">
        <f t="shared" si="35"/>
        <v>0</v>
      </c>
      <c r="K74" s="422">
        <f t="shared" si="35"/>
        <v>0</v>
      </c>
      <c r="L74" s="422">
        <f t="shared" si="35"/>
        <v>0</v>
      </c>
      <c r="M74" s="422">
        <f t="shared" si="35"/>
        <v>0</v>
      </c>
      <c r="N74" s="422">
        <f t="shared" si="35"/>
        <v>0</v>
      </c>
      <c r="O74" s="422">
        <f t="shared" si="35"/>
        <v>0</v>
      </c>
      <c r="P74" s="422">
        <f t="shared" si="35"/>
        <v>0</v>
      </c>
      <c r="Q74" s="422">
        <f t="shared" si="35"/>
        <v>0</v>
      </c>
      <c r="R74" s="422">
        <f t="shared" si="35"/>
        <v>0</v>
      </c>
      <c r="S74" s="422">
        <f t="shared" si="35"/>
        <v>0</v>
      </c>
      <c r="T74" s="423">
        <f>SUM(H74:S74)</f>
        <v>0</v>
      </c>
    </row>
    <row r="75" spans="2:20" x14ac:dyDescent="0.2">
      <c r="B75" s="308"/>
      <c r="H75" s="367"/>
      <c r="I75" s="383"/>
      <c r="J75" s="383"/>
      <c r="K75" s="383"/>
      <c r="L75" s="383"/>
      <c r="M75" s="383"/>
      <c r="N75" s="383"/>
      <c r="O75" s="383"/>
      <c r="P75" s="383"/>
      <c r="Q75" s="383"/>
      <c r="R75" s="383"/>
      <c r="S75" s="383"/>
      <c r="T75" s="407"/>
    </row>
    <row r="76" spans="2:20" x14ac:dyDescent="0.2">
      <c r="B76" s="307" t="s">
        <v>25</v>
      </c>
      <c r="C76" s="10"/>
      <c r="D76" s="11"/>
      <c r="E76" s="17" t="s">
        <v>12</v>
      </c>
      <c r="G76" s="32"/>
      <c r="H76" s="367"/>
      <c r="I76" s="368"/>
      <c r="J76" s="368"/>
      <c r="K76" s="368"/>
      <c r="L76" s="368"/>
      <c r="M76" s="368"/>
      <c r="N76" s="368"/>
      <c r="O76" s="368"/>
      <c r="P76" s="368"/>
      <c r="Q76" s="368"/>
      <c r="R76" s="368"/>
      <c r="S76" s="368"/>
      <c r="T76" s="407"/>
    </row>
    <row r="77" spans="2:20" x14ac:dyDescent="0.2">
      <c r="B77" s="308"/>
      <c r="C77" t="s">
        <v>26</v>
      </c>
      <c r="D77" s="11"/>
      <c r="E77" s="454">
        <v>3.4000000000000002E-2</v>
      </c>
      <c r="H77" s="379">
        <f t="shared" ref="H77:S78" si="36">H$41*$E77</f>
        <v>2677.636</v>
      </c>
      <c r="I77" s="380">
        <f t="shared" si="36"/>
        <v>2785.7560000000003</v>
      </c>
      <c r="J77" s="380">
        <f t="shared" si="36"/>
        <v>2889.7960000000003</v>
      </c>
      <c r="K77" s="380">
        <f t="shared" si="36"/>
        <v>2997.9160000000002</v>
      </c>
      <c r="L77" s="380">
        <f t="shared" si="36"/>
        <v>3101.6160000000004</v>
      </c>
      <c r="M77" s="380">
        <f t="shared" si="36"/>
        <v>3209.7360000000003</v>
      </c>
      <c r="N77" s="380">
        <f t="shared" si="36"/>
        <v>3313.7760000000003</v>
      </c>
      <c r="O77" s="380">
        <f t="shared" si="36"/>
        <v>3421.8960000000002</v>
      </c>
      <c r="P77" s="380">
        <f t="shared" si="36"/>
        <v>3525.5960000000005</v>
      </c>
      <c r="Q77" s="380">
        <f t="shared" si="36"/>
        <v>3633.7160000000003</v>
      </c>
      <c r="R77" s="380">
        <f t="shared" si="36"/>
        <v>3737.7560000000003</v>
      </c>
      <c r="S77" s="380">
        <f t="shared" si="36"/>
        <v>3846.8960000000002</v>
      </c>
      <c r="T77" s="417"/>
    </row>
    <row r="78" spans="2:20" ht="17" thickBot="1" x14ac:dyDescent="0.25">
      <c r="B78" s="404"/>
      <c r="C78" s="2" t="s">
        <v>27</v>
      </c>
      <c r="D78" s="4"/>
      <c r="E78" s="454">
        <v>0.05</v>
      </c>
      <c r="F78" s="2"/>
      <c r="G78" s="2"/>
      <c r="H78" s="379">
        <f t="shared" si="36"/>
        <v>3937.7000000000003</v>
      </c>
      <c r="I78" s="380">
        <f t="shared" si="36"/>
        <v>4096.7</v>
      </c>
      <c r="J78" s="380">
        <f t="shared" si="36"/>
        <v>4249.7</v>
      </c>
      <c r="K78" s="380">
        <f t="shared" si="36"/>
        <v>4408.7</v>
      </c>
      <c r="L78" s="380">
        <f t="shared" si="36"/>
        <v>4561.2</v>
      </c>
      <c r="M78" s="380">
        <f t="shared" si="36"/>
        <v>4720.2</v>
      </c>
      <c r="N78" s="380">
        <f t="shared" si="36"/>
        <v>4873.2</v>
      </c>
      <c r="O78" s="380">
        <f t="shared" si="36"/>
        <v>5032.2000000000007</v>
      </c>
      <c r="P78" s="380">
        <f t="shared" si="36"/>
        <v>5184.7000000000007</v>
      </c>
      <c r="Q78" s="380">
        <f t="shared" si="36"/>
        <v>5343.7000000000007</v>
      </c>
      <c r="R78" s="380">
        <f t="shared" si="36"/>
        <v>5496.7000000000007</v>
      </c>
      <c r="S78" s="380">
        <f t="shared" si="36"/>
        <v>5657.2000000000007</v>
      </c>
      <c r="T78" s="417"/>
    </row>
    <row r="79" spans="2:20" ht="17" thickTop="1" x14ac:dyDescent="0.2">
      <c r="B79" s="418" t="s">
        <v>13</v>
      </c>
      <c r="C79" s="419"/>
      <c r="D79" s="419"/>
      <c r="E79" s="419"/>
      <c r="F79" s="419"/>
      <c r="G79" s="420"/>
      <c r="H79" s="421">
        <f t="shared" ref="H79:S79" si="37">SUM(H77:H78)</f>
        <v>6615.3360000000002</v>
      </c>
      <c r="I79" s="422">
        <f t="shared" si="37"/>
        <v>6882.4560000000001</v>
      </c>
      <c r="J79" s="422">
        <f t="shared" si="37"/>
        <v>7139.4960000000001</v>
      </c>
      <c r="K79" s="422">
        <f t="shared" si="37"/>
        <v>7406.616</v>
      </c>
      <c r="L79" s="422">
        <f t="shared" si="37"/>
        <v>7662.8160000000007</v>
      </c>
      <c r="M79" s="422">
        <f t="shared" si="37"/>
        <v>7929.9359999999997</v>
      </c>
      <c r="N79" s="422">
        <f t="shared" si="37"/>
        <v>8186.9760000000006</v>
      </c>
      <c r="O79" s="422">
        <f t="shared" si="37"/>
        <v>8454.0960000000014</v>
      </c>
      <c r="P79" s="422">
        <f t="shared" si="37"/>
        <v>8710.2960000000021</v>
      </c>
      <c r="Q79" s="422">
        <f t="shared" si="37"/>
        <v>8977.4160000000011</v>
      </c>
      <c r="R79" s="422">
        <f t="shared" si="37"/>
        <v>9234.4560000000019</v>
      </c>
      <c r="S79" s="422">
        <f t="shared" si="37"/>
        <v>9504.0960000000014</v>
      </c>
      <c r="T79" s="423">
        <f>SUM(H79:S79)</f>
        <v>96703.992000000013</v>
      </c>
    </row>
    <row r="80" spans="2:20" ht="17" thickBot="1" x14ac:dyDescent="0.25">
      <c r="B80" s="308"/>
      <c r="C80" s="10"/>
      <c r="D80" s="11"/>
      <c r="E80" s="16"/>
      <c r="H80" s="385"/>
      <c r="I80" s="386"/>
      <c r="J80" s="386"/>
      <c r="K80" s="386"/>
      <c r="L80" s="386"/>
      <c r="M80" s="386"/>
      <c r="N80" s="386"/>
      <c r="O80" s="386"/>
      <c r="P80" s="386"/>
      <c r="Q80" s="386"/>
      <c r="R80" s="386"/>
      <c r="S80" s="386"/>
      <c r="T80" s="425"/>
    </row>
    <row r="81" spans="2:20" ht="17" thickTop="1" x14ac:dyDescent="0.2">
      <c r="B81" s="250" t="s">
        <v>28</v>
      </c>
      <c r="C81" s="237"/>
      <c r="D81" s="237"/>
      <c r="E81" s="237"/>
      <c r="F81" s="237"/>
      <c r="G81" s="237"/>
      <c r="H81" s="239">
        <f>SUM(H60,H67,H74,H79)</f>
        <v>20352.595999999998</v>
      </c>
      <c r="I81" s="240">
        <f t="shared" ref="I81:S81" si="38">SUM(I60,I67,I74,I79)</f>
        <v>21244.915999999997</v>
      </c>
      <c r="J81" s="240">
        <f t="shared" si="38"/>
        <v>22121.155999999999</v>
      </c>
      <c r="K81" s="240">
        <f t="shared" si="38"/>
        <v>23013.475999999999</v>
      </c>
      <c r="L81" s="240">
        <f t="shared" si="38"/>
        <v>23888.675999999999</v>
      </c>
      <c r="M81" s="240">
        <f t="shared" si="38"/>
        <v>24780.995999999999</v>
      </c>
      <c r="N81" s="240">
        <f t="shared" si="38"/>
        <v>25657.235999999997</v>
      </c>
      <c r="O81" s="240">
        <f t="shared" si="38"/>
        <v>26549.556</v>
      </c>
      <c r="P81" s="240">
        <f t="shared" si="38"/>
        <v>27424.756000000001</v>
      </c>
      <c r="Q81" s="240">
        <f t="shared" si="38"/>
        <v>28317.076000000001</v>
      </c>
      <c r="R81" s="240">
        <f t="shared" si="38"/>
        <v>29193.316000000003</v>
      </c>
      <c r="S81" s="240">
        <f t="shared" si="38"/>
        <v>30097.456000000002</v>
      </c>
      <c r="T81" s="251">
        <f>SUM(H81:S81)</f>
        <v>302641.212</v>
      </c>
    </row>
    <row r="82" spans="2:20" x14ac:dyDescent="0.2">
      <c r="H82" s="367"/>
      <c r="I82" s="368"/>
      <c r="J82" s="368"/>
      <c r="K82" s="368"/>
      <c r="L82" s="368"/>
      <c r="M82" s="368"/>
      <c r="N82" s="368"/>
      <c r="O82" s="368"/>
      <c r="P82" s="368"/>
      <c r="Q82" s="368"/>
      <c r="R82" s="368"/>
      <c r="S82" s="368"/>
      <c r="T82" s="381"/>
    </row>
    <row r="83" spans="2:20" ht="20" x14ac:dyDescent="0.2">
      <c r="B83" s="116" t="s">
        <v>237</v>
      </c>
      <c r="C83" s="327"/>
      <c r="D83" s="327"/>
      <c r="E83" s="327" t="str">
        <f>$E$3</f>
        <v>Year 5 (2024)</v>
      </c>
      <c r="F83" s="327"/>
      <c r="G83" s="327"/>
      <c r="H83" s="360" t="s">
        <v>127</v>
      </c>
      <c r="I83" s="361" t="s">
        <v>128</v>
      </c>
      <c r="J83" s="361" t="s">
        <v>129</v>
      </c>
      <c r="K83" s="361" t="s">
        <v>130</v>
      </c>
      <c r="L83" s="361" t="s">
        <v>131</v>
      </c>
      <c r="M83" s="361" t="s">
        <v>132</v>
      </c>
      <c r="N83" s="361" t="s">
        <v>133</v>
      </c>
      <c r="O83" s="361" t="s">
        <v>134</v>
      </c>
      <c r="P83" s="361" t="s">
        <v>135</v>
      </c>
      <c r="Q83" s="361" t="s">
        <v>136</v>
      </c>
      <c r="R83" s="361" t="s">
        <v>137</v>
      </c>
      <c r="S83" s="361" t="s">
        <v>138</v>
      </c>
      <c r="T83" s="362" t="s">
        <v>179</v>
      </c>
    </row>
    <row r="84" spans="2:20" x14ac:dyDescent="0.2">
      <c r="B84" s="401"/>
      <c r="C84" s="402"/>
      <c r="D84" s="402"/>
      <c r="E84" s="402"/>
      <c r="F84" s="402"/>
      <c r="G84" s="403" t="s">
        <v>57</v>
      </c>
      <c r="H84" s="363">
        <f>H$4</f>
        <v>49</v>
      </c>
      <c r="I84" s="364">
        <f t="shared" ref="I84:S84" si="39">I$4</f>
        <v>50</v>
      </c>
      <c r="J84" s="364">
        <f t="shared" si="39"/>
        <v>51</v>
      </c>
      <c r="K84" s="364">
        <f t="shared" si="39"/>
        <v>52</v>
      </c>
      <c r="L84" s="364">
        <f t="shared" si="39"/>
        <v>53</v>
      </c>
      <c r="M84" s="364">
        <f t="shared" si="39"/>
        <v>54</v>
      </c>
      <c r="N84" s="364">
        <f t="shared" si="39"/>
        <v>55</v>
      </c>
      <c r="O84" s="364">
        <f t="shared" si="39"/>
        <v>56</v>
      </c>
      <c r="P84" s="364">
        <f t="shared" si="39"/>
        <v>57</v>
      </c>
      <c r="Q84" s="364">
        <f t="shared" si="39"/>
        <v>58</v>
      </c>
      <c r="R84" s="364">
        <f t="shared" si="39"/>
        <v>59</v>
      </c>
      <c r="S84" s="364">
        <f t="shared" si="39"/>
        <v>60</v>
      </c>
      <c r="T84" s="405" t="str">
        <f>"Total for " &amp; $E$3</f>
        <v>Total for Year 5 (2024)</v>
      </c>
    </row>
    <row r="85" spans="2:20" x14ac:dyDescent="0.2">
      <c r="B85" s="308"/>
      <c r="E85" s="499" t="s">
        <v>291</v>
      </c>
      <c r="G85" s="496" t="s">
        <v>292</v>
      </c>
      <c r="H85" s="367"/>
      <c r="I85" s="368"/>
      <c r="J85" s="368"/>
      <c r="K85" s="368"/>
      <c r="L85" s="368"/>
      <c r="M85" s="368"/>
      <c r="N85" s="368"/>
      <c r="O85" s="368"/>
      <c r="P85" s="368"/>
      <c r="Q85" s="368"/>
      <c r="R85" s="368"/>
      <c r="S85" s="368"/>
      <c r="T85" s="407"/>
    </row>
    <row r="86" spans="2:20" x14ac:dyDescent="0.2">
      <c r="B86" s="307" t="s">
        <v>224</v>
      </c>
      <c r="C86" s="10"/>
      <c r="D86" s="11"/>
      <c r="E86" s="499"/>
      <c r="F86" s="18" t="s">
        <v>276</v>
      </c>
      <c r="G86" s="496"/>
      <c r="H86" s="367"/>
      <c r="I86" s="368"/>
      <c r="J86" s="368"/>
      <c r="K86" s="368"/>
      <c r="L86" s="368"/>
      <c r="M86" s="368"/>
      <c r="N86" s="368"/>
      <c r="O86" s="368"/>
      <c r="P86" s="368"/>
      <c r="Q86" s="368"/>
      <c r="R86" s="368"/>
      <c r="S86" s="368"/>
      <c r="T86" s="407"/>
    </row>
    <row r="87" spans="2:20" x14ac:dyDescent="0.2">
      <c r="B87" s="308"/>
      <c r="C87" t="s">
        <v>210</v>
      </c>
      <c r="D87" s="11"/>
      <c r="E87" s="452">
        <f>(1+'Year 4'!$G87)*'Year 4'!$E87</f>
        <v>7779.2400000000007</v>
      </c>
      <c r="F87" s="453">
        <f>'Year 4'!$F87</f>
        <v>2</v>
      </c>
      <c r="G87" s="454">
        <f>'Year 4'!$G87</f>
        <v>0.05</v>
      </c>
      <c r="H87" s="379">
        <f t="shared" ref="H87:S95" si="40">$E87*$F87</f>
        <v>15558.480000000001</v>
      </c>
      <c r="I87" s="380">
        <f t="shared" si="40"/>
        <v>15558.480000000001</v>
      </c>
      <c r="J87" s="380">
        <f t="shared" si="40"/>
        <v>15558.480000000001</v>
      </c>
      <c r="K87" s="380">
        <f t="shared" si="40"/>
        <v>15558.480000000001</v>
      </c>
      <c r="L87" s="380">
        <f t="shared" si="40"/>
        <v>15558.480000000001</v>
      </c>
      <c r="M87" s="380">
        <f t="shared" si="40"/>
        <v>15558.480000000001</v>
      </c>
      <c r="N87" s="380">
        <f t="shared" si="40"/>
        <v>15558.480000000001</v>
      </c>
      <c r="O87" s="380">
        <f t="shared" si="40"/>
        <v>15558.480000000001</v>
      </c>
      <c r="P87" s="380">
        <f t="shared" si="40"/>
        <v>15558.480000000001</v>
      </c>
      <c r="Q87" s="380">
        <f t="shared" si="40"/>
        <v>15558.480000000001</v>
      </c>
      <c r="R87" s="380">
        <f t="shared" si="40"/>
        <v>15558.480000000001</v>
      </c>
      <c r="S87" s="380">
        <f t="shared" si="40"/>
        <v>15558.480000000001</v>
      </c>
      <c r="T87" s="417">
        <f t="shared" ref="T87:T100" si="41">SUM(H87:S87)</f>
        <v>186701.76000000004</v>
      </c>
    </row>
    <row r="88" spans="2:20" x14ac:dyDescent="0.2">
      <c r="B88" s="308"/>
      <c r="C88" t="s">
        <v>211</v>
      </c>
      <c r="D88" s="11"/>
      <c r="E88" s="452">
        <f>(1+'Year 4'!$G88)*'Year 4'!$E88</f>
        <v>0</v>
      </c>
      <c r="F88" s="453">
        <f>'Year 4'!$F88</f>
        <v>0</v>
      </c>
      <c r="G88" s="454">
        <f>'Year 4'!$G88</f>
        <v>0.02</v>
      </c>
      <c r="H88" s="379">
        <f t="shared" si="40"/>
        <v>0</v>
      </c>
      <c r="I88" s="380">
        <f t="shared" si="40"/>
        <v>0</v>
      </c>
      <c r="J88" s="380">
        <f t="shared" si="40"/>
        <v>0</v>
      </c>
      <c r="K88" s="380">
        <f t="shared" si="40"/>
        <v>0</v>
      </c>
      <c r="L88" s="380">
        <f t="shared" si="40"/>
        <v>0</v>
      </c>
      <c r="M88" s="380">
        <f t="shared" si="40"/>
        <v>0</v>
      </c>
      <c r="N88" s="380">
        <f t="shared" si="40"/>
        <v>0</v>
      </c>
      <c r="O88" s="380">
        <f t="shared" si="40"/>
        <v>0</v>
      </c>
      <c r="P88" s="380">
        <f t="shared" si="40"/>
        <v>0</v>
      </c>
      <c r="Q88" s="380">
        <f t="shared" si="40"/>
        <v>0</v>
      </c>
      <c r="R88" s="380">
        <f t="shared" si="40"/>
        <v>0</v>
      </c>
      <c r="S88" s="380">
        <f t="shared" si="40"/>
        <v>0</v>
      </c>
      <c r="T88" s="417">
        <f t="shared" si="41"/>
        <v>0</v>
      </c>
    </row>
    <row r="89" spans="2:20" x14ac:dyDescent="0.2">
      <c r="B89" s="308"/>
      <c r="C89" t="s">
        <v>212</v>
      </c>
      <c r="D89" s="11"/>
      <c r="E89" s="452">
        <f>(1+'Year 4'!$G89)*'Year 4'!$E89</f>
        <v>0</v>
      </c>
      <c r="F89" s="453">
        <f>'Year 4'!$F89</f>
        <v>0</v>
      </c>
      <c r="G89" s="454">
        <f>'Year 4'!$G89</f>
        <v>0.02</v>
      </c>
      <c r="H89" s="379">
        <f t="shared" si="40"/>
        <v>0</v>
      </c>
      <c r="I89" s="380">
        <f t="shared" si="40"/>
        <v>0</v>
      </c>
      <c r="J89" s="380">
        <f t="shared" si="40"/>
        <v>0</v>
      </c>
      <c r="K89" s="380">
        <f t="shared" si="40"/>
        <v>0</v>
      </c>
      <c r="L89" s="380">
        <f t="shared" si="40"/>
        <v>0</v>
      </c>
      <c r="M89" s="380">
        <f t="shared" si="40"/>
        <v>0</v>
      </c>
      <c r="N89" s="380">
        <f t="shared" si="40"/>
        <v>0</v>
      </c>
      <c r="O89" s="380">
        <f t="shared" si="40"/>
        <v>0</v>
      </c>
      <c r="P89" s="380">
        <f t="shared" si="40"/>
        <v>0</v>
      </c>
      <c r="Q89" s="380">
        <f t="shared" si="40"/>
        <v>0</v>
      </c>
      <c r="R89" s="380">
        <f t="shared" si="40"/>
        <v>0</v>
      </c>
      <c r="S89" s="380">
        <f t="shared" si="40"/>
        <v>0</v>
      </c>
      <c r="T89" s="417">
        <f t="shared" si="41"/>
        <v>0</v>
      </c>
    </row>
    <row r="90" spans="2:20" x14ac:dyDescent="0.2">
      <c r="B90" s="308"/>
      <c r="C90" t="s">
        <v>213</v>
      </c>
      <c r="D90" s="11"/>
      <c r="E90" s="452">
        <f>(1+'Year 4'!$G90)*'Year 4'!$E90</f>
        <v>3463.7829120000001</v>
      </c>
      <c r="F90" s="453">
        <f>'Year 4'!$F90</f>
        <v>1</v>
      </c>
      <c r="G90" s="454">
        <f>'Year 4'!$G90</f>
        <v>0.02</v>
      </c>
      <c r="H90" s="379">
        <f t="shared" si="40"/>
        <v>3463.7829120000001</v>
      </c>
      <c r="I90" s="380">
        <f t="shared" si="40"/>
        <v>3463.7829120000001</v>
      </c>
      <c r="J90" s="380">
        <f t="shared" si="40"/>
        <v>3463.7829120000001</v>
      </c>
      <c r="K90" s="380">
        <f t="shared" si="40"/>
        <v>3463.7829120000001</v>
      </c>
      <c r="L90" s="380">
        <f t="shared" si="40"/>
        <v>3463.7829120000001</v>
      </c>
      <c r="M90" s="380">
        <f t="shared" si="40"/>
        <v>3463.7829120000001</v>
      </c>
      <c r="N90" s="380">
        <f t="shared" si="40"/>
        <v>3463.7829120000001</v>
      </c>
      <c r="O90" s="380">
        <f t="shared" si="40"/>
        <v>3463.7829120000001</v>
      </c>
      <c r="P90" s="380">
        <f t="shared" si="40"/>
        <v>3463.7829120000001</v>
      </c>
      <c r="Q90" s="380">
        <f t="shared" si="40"/>
        <v>3463.7829120000001</v>
      </c>
      <c r="R90" s="380">
        <f t="shared" si="40"/>
        <v>3463.7829120000001</v>
      </c>
      <c r="S90" s="380">
        <f t="shared" si="40"/>
        <v>3463.7829120000001</v>
      </c>
      <c r="T90" s="417">
        <f t="shared" si="41"/>
        <v>41565.394944</v>
      </c>
    </row>
    <row r="91" spans="2:20" x14ac:dyDescent="0.2">
      <c r="B91" s="308"/>
      <c r="C91" t="s">
        <v>236</v>
      </c>
      <c r="D91" s="11"/>
      <c r="E91" s="452">
        <f>(1+'Year 4'!$G91)*'Year 4'!$E91</f>
        <v>0</v>
      </c>
      <c r="F91" s="453">
        <f>'Year 4'!$F91</f>
        <v>0</v>
      </c>
      <c r="G91" s="454">
        <f>'Year 4'!$G91</f>
        <v>0.02</v>
      </c>
      <c r="H91" s="379">
        <f t="shared" si="40"/>
        <v>0</v>
      </c>
      <c r="I91" s="380">
        <f t="shared" si="40"/>
        <v>0</v>
      </c>
      <c r="J91" s="380">
        <f t="shared" si="40"/>
        <v>0</v>
      </c>
      <c r="K91" s="380">
        <f t="shared" si="40"/>
        <v>0</v>
      </c>
      <c r="L91" s="380">
        <f t="shared" si="40"/>
        <v>0</v>
      </c>
      <c r="M91" s="380">
        <f t="shared" si="40"/>
        <v>0</v>
      </c>
      <c r="N91" s="380">
        <f t="shared" si="40"/>
        <v>0</v>
      </c>
      <c r="O91" s="380">
        <f t="shared" si="40"/>
        <v>0</v>
      </c>
      <c r="P91" s="380">
        <f t="shared" si="40"/>
        <v>0</v>
      </c>
      <c r="Q91" s="380">
        <f t="shared" si="40"/>
        <v>0</v>
      </c>
      <c r="R91" s="380">
        <f t="shared" si="40"/>
        <v>0</v>
      </c>
      <c r="S91" s="380">
        <f t="shared" si="40"/>
        <v>0</v>
      </c>
      <c r="T91" s="417">
        <f t="shared" si="41"/>
        <v>0</v>
      </c>
    </row>
    <row r="92" spans="2:20" x14ac:dyDescent="0.2">
      <c r="B92" s="308"/>
      <c r="C92" t="s">
        <v>217</v>
      </c>
      <c r="D92" s="11"/>
      <c r="E92" s="452">
        <f>(1+'Year 4'!$G92)*'Year 4'!$E92</f>
        <v>1800</v>
      </c>
      <c r="F92" s="453">
        <f>'Year 4'!$F92</f>
        <v>1</v>
      </c>
      <c r="G92" s="454">
        <f>'Year 4'!$G92</f>
        <v>0</v>
      </c>
      <c r="H92" s="379">
        <f t="shared" si="40"/>
        <v>1800</v>
      </c>
      <c r="I92" s="380">
        <f t="shared" si="40"/>
        <v>1800</v>
      </c>
      <c r="J92" s="380">
        <f t="shared" si="40"/>
        <v>1800</v>
      </c>
      <c r="K92" s="380">
        <f t="shared" si="40"/>
        <v>1800</v>
      </c>
      <c r="L92" s="380">
        <f t="shared" si="40"/>
        <v>1800</v>
      </c>
      <c r="M92" s="380">
        <f t="shared" si="40"/>
        <v>1800</v>
      </c>
      <c r="N92" s="380">
        <f t="shared" si="40"/>
        <v>1800</v>
      </c>
      <c r="O92" s="380">
        <f t="shared" si="40"/>
        <v>1800</v>
      </c>
      <c r="P92" s="380">
        <f t="shared" si="40"/>
        <v>1800</v>
      </c>
      <c r="Q92" s="380">
        <f t="shared" si="40"/>
        <v>1800</v>
      </c>
      <c r="R92" s="380">
        <f t="shared" si="40"/>
        <v>1800</v>
      </c>
      <c r="S92" s="380">
        <f t="shared" si="40"/>
        <v>1800</v>
      </c>
      <c r="T92" s="417">
        <f t="shared" si="41"/>
        <v>21600</v>
      </c>
    </row>
    <row r="93" spans="2:20" x14ac:dyDescent="0.2">
      <c r="B93" s="308"/>
      <c r="C93" t="s">
        <v>218</v>
      </c>
      <c r="D93" s="11"/>
      <c r="E93" s="452">
        <f>(1+'Year 4'!$G93)*'Year 4'!$E93</f>
        <v>0</v>
      </c>
      <c r="F93" s="453">
        <f>'Year 4'!$F93</f>
        <v>0</v>
      </c>
      <c r="G93" s="454">
        <f>'Year 4'!$G93</f>
        <v>0</v>
      </c>
      <c r="H93" s="379">
        <f t="shared" si="40"/>
        <v>0</v>
      </c>
      <c r="I93" s="380">
        <f t="shared" si="40"/>
        <v>0</v>
      </c>
      <c r="J93" s="380">
        <f t="shared" si="40"/>
        <v>0</v>
      </c>
      <c r="K93" s="380">
        <f t="shared" si="40"/>
        <v>0</v>
      </c>
      <c r="L93" s="380">
        <f t="shared" si="40"/>
        <v>0</v>
      </c>
      <c r="M93" s="380">
        <f t="shared" si="40"/>
        <v>0</v>
      </c>
      <c r="N93" s="380">
        <f t="shared" si="40"/>
        <v>0</v>
      </c>
      <c r="O93" s="380">
        <f t="shared" si="40"/>
        <v>0</v>
      </c>
      <c r="P93" s="380">
        <f t="shared" si="40"/>
        <v>0</v>
      </c>
      <c r="Q93" s="380">
        <f t="shared" si="40"/>
        <v>0</v>
      </c>
      <c r="R93" s="380">
        <f t="shared" si="40"/>
        <v>0</v>
      </c>
      <c r="S93" s="380">
        <f t="shared" si="40"/>
        <v>0</v>
      </c>
      <c r="T93" s="417">
        <f t="shared" si="41"/>
        <v>0</v>
      </c>
    </row>
    <row r="94" spans="2:20" x14ac:dyDescent="0.2">
      <c r="B94" s="308"/>
      <c r="C94" t="s">
        <v>219</v>
      </c>
      <c r="D94" s="11"/>
      <c r="E94" s="452">
        <f>(1+'Year 4'!$G94)*'Year 4'!$E94</f>
        <v>0</v>
      </c>
      <c r="F94" s="453">
        <f>'Year 4'!$F94</f>
        <v>0</v>
      </c>
      <c r="G94" s="454">
        <f>'Year 4'!$G94</f>
        <v>0</v>
      </c>
      <c r="H94" s="379">
        <f t="shared" si="40"/>
        <v>0</v>
      </c>
      <c r="I94" s="380">
        <f t="shared" si="40"/>
        <v>0</v>
      </c>
      <c r="J94" s="380">
        <f t="shared" si="40"/>
        <v>0</v>
      </c>
      <c r="K94" s="380">
        <f t="shared" si="40"/>
        <v>0</v>
      </c>
      <c r="L94" s="380">
        <f t="shared" si="40"/>
        <v>0</v>
      </c>
      <c r="M94" s="380">
        <f t="shared" si="40"/>
        <v>0</v>
      </c>
      <c r="N94" s="380">
        <f t="shared" si="40"/>
        <v>0</v>
      </c>
      <c r="O94" s="380">
        <f t="shared" si="40"/>
        <v>0</v>
      </c>
      <c r="P94" s="380">
        <f t="shared" si="40"/>
        <v>0</v>
      </c>
      <c r="Q94" s="380">
        <f t="shared" si="40"/>
        <v>0</v>
      </c>
      <c r="R94" s="380">
        <f t="shared" si="40"/>
        <v>0</v>
      </c>
      <c r="S94" s="380">
        <f t="shared" si="40"/>
        <v>0</v>
      </c>
      <c r="T94" s="417">
        <f t="shared" si="41"/>
        <v>0</v>
      </c>
    </row>
    <row r="95" spans="2:20" x14ac:dyDescent="0.2">
      <c r="B95" s="308"/>
      <c r="C95" t="s">
        <v>220</v>
      </c>
      <c r="D95" s="11"/>
      <c r="E95" s="452">
        <f>(1+'Year 4'!$G95)*'Year 4'!$E95</f>
        <v>0</v>
      </c>
      <c r="F95" s="453">
        <f>'Year 4'!$F95</f>
        <v>0</v>
      </c>
      <c r="G95" s="454">
        <f>'Year 4'!$G95</f>
        <v>0</v>
      </c>
      <c r="H95" s="379">
        <f t="shared" si="40"/>
        <v>0</v>
      </c>
      <c r="I95" s="380">
        <f t="shared" si="40"/>
        <v>0</v>
      </c>
      <c r="J95" s="380">
        <f t="shared" si="40"/>
        <v>0</v>
      </c>
      <c r="K95" s="380">
        <f t="shared" si="40"/>
        <v>0</v>
      </c>
      <c r="L95" s="380">
        <f t="shared" si="40"/>
        <v>0</v>
      </c>
      <c r="M95" s="380">
        <f t="shared" si="40"/>
        <v>0</v>
      </c>
      <c r="N95" s="380">
        <f t="shared" si="40"/>
        <v>0</v>
      </c>
      <c r="O95" s="380">
        <f t="shared" si="40"/>
        <v>0</v>
      </c>
      <c r="P95" s="380">
        <f t="shared" si="40"/>
        <v>0</v>
      </c>
      <c r="Q95" s="380">
        <f t="shared" si="40"/>
        <v>0</v>
      </c>
      <c r="R95" s="380">
        <f t="shared" si="40"/>
        <v>0</v>
      </c>
      <c r="S95" s="380">
        <f t="shared" si="40"/>
        <v>0</v>
      </c>
      <c r="T95" s="417">
        <f t="shared" si="41"/>
        <v>0</v>
      </c>
    </row>
    <row r="96" spans="2:20" x14ac:dyDescent="0.2">
      <c r="B96" s="308"/>
      <c r="D96" s="11"/>
      <c r="E96" s="37"/>
      <c r="F96" s="21">
        <f>SUM(F87:F95)</f>
        <v>4</v>
      </c>
      <c r="G96" s="19"/>
      <c r="H96" s="379"/>
      <c r="I96" s="380"/>
      <c r="J96" s="380"/>
      <c r="K96" s="380"/>
      <c r="L96" s="380"/>
      <c r="M96" s="380"/>
      <c r="N96" s="380"/>
      <c r="O96" s="380"/>
      <c r="P96" s="380"/>
      <c r="Q96" s="380"/>
      <c r="R96" s="380"/>
      <c r="S96" s="380"/>
      <c r="T96" s="417"/>
    </row>
    <row r="97" spans="2:20" x14ac:dyDescent="0.2">
      <c r="B97" s="308"/>
      <c r="D97" s="11" t="s">
        <v>222</v>
      </c>
      <c r="E97" s="18" t="s">
        <v>221</v>
      </c>
      <c r="F97" s="50" t="s">
        <v>216</v>
      </c>
      <c r="G97" s="19"/>
      <c r="H97" s="379"/>
      <c r="I97" s="380"/>
      <c r="J97" s="380"/>
      <c r="K97" s="380"/>
      <c r="L97" s="380"/>
      <c r="M97" s="380"/>
      <c r="N97" s="380"/>
      <c r="O97" s="380"/>
      <c r="P97" s="380"/>
      <c r="Q97" s="380"/>
      <c r="R97" s="380"/>
      <c r="S97" s="380"/>
      <c r="T97" s="417"/>
    </row>
    <row r="98" spans="2:20" x14ac:dyDescent="0.2">
      <c r="B98" s="308"/>
      <c r="C98" t="s">
        <v>214</v>
      </c>
      <c r="D98" s="453">
        <f>'Year 4'!D98</f>
        <v>3</v>
      </c>
      <c r="E98" s="452">
        <f>'Year 4'!E98</f>
        <v>10</v>
      </c>
      <c r="F98" s="453">
        <f>'Year 4'!F98</f>
        <v>40</v>
      </c>
      <c r="G98" s="19"/>
      <c r="H98" s="379">
        <f>(($E98*$F98*52)/12)*$D98</f>
        <v>5200</v>
      </c>
      <c r="I98" s="380">
        <f t="shared" ref="I98:S98" si="42">(($E98*$F98*52)/12)*$D98</f>
        <v>5200</v>
      </c>
      <c r="J98" s="380">
        <f t="shared" si="42"/>
        <v>5200</v>
      </c>
      <c r="K98" s="380">
        <f t="shared" si="42"/>
        <v>5200</v>
      </c>
      <c r="L98" s="380">
        <f t="shared" si="42"/>
        <v>5200</v>
      </c>
      <c r="M98" s="380">
        <f t="shared" si="42"/>
        <v>5200</v>
      </c>
      <c r="N98" s="380">
        <f t="shared" si="42"/>
        <v>5200</v>
      </c>
      <c r="O98" s="380">
        <f t="shared" si="42"/>
        <v>5200</v>
      </c>
      <c r="P98" s="380">
        <f t="shared" si="42"/>
        <v>5200</v>
      </c>
      <c r="Q98" s="380">
        <f t="shared" si="42"/>
        <v>5200</v>
      </c>
      <c r="R98" s="380">
        <f t="shared" si="42"/>
        <v>5200</v>
      </c>
      <c r="S98" s="380">
        <f t="shared" si="42"/>
        <v>5200</v>
      </c>
      <c r="T98" s="417">
        <f t="shared" si="41"/>
        <v>62400</v>
      </c>
    </row>
    <row r="99" spans="2:20" x14ac:dyDescent="0.2">
      <c r="B99" s="308"/>
      <c r="C99" t="s">
        <v>215</v>
      </c>
      <c r="D99" s="453">
        <f>'Year 4'!D99</f>
        <v>2</v>
      </c>
      <c r="E99" s="452">
        <f>'Year 4'!E99</f>
        <v>9</v>
      </c>
      <c r="F99" s="453">
        <f>'Year 4'!F99</f>
        <v>20</v>
      </c>
      <c r="G99" s="19"/>
      <c r="H99" s="379">
        <f t="shared" ref="H99:S100" si="43">(($E99*$F99*52)/12)*$D99</f>
        <v>1560</v>
      </c>
      <c r="I99" s="380">
        <f t="shared" si="43"/>
        <v>1560</v>
      </c>
      <c r="J99" s="380">
        <f t="shared" si="43"/>
        <v>1560</v>
      </c>
      <c r="K99" s="380">
        <f t="shared" si="43"/>
        <v>1560</v>
      </c>
      <c r="L99" s="380">
        <f t="shared" si="43"/>
        <v>1560</v>
      </c>
      <c r="M99" s="380">
        <f t="shared" si="43"/>
        <v>1560</v>
      </c>
      <c r="N99" s="380">
        <f t="shared" si="43"/>
        <v>1560</v>
      </c>
      <c r="O99" s="380">
        <f t="shared" si="43"/>
        <v>1560</v>
      </c>
      <c r="P99" s="380">
        <f t="shared" si="43"/>
        <v>1560</v>
      </c>
      <c r="Q99" s="380">
        <f t="shared" si="43"/>
        <v>1560</v>
      </c>
      <c r="R99" s="380">
        <f t="shared" si="43"/>
        <v>1560</v>
      </c>
      <c r="S99" s="380">
        <f t="shared" si="43"/>
        <v>1560</v>
      </c>
      <c r="T99" s="417">
        <f t="shared" si="41"/>
        <v>18720</v>
      </c>
    </row>
    <row r="100" spans="2:20" x14ac:dyDescent="0.2">
      <c r="B100" s="308"/>
      <c r="C100" t="s">
        <v>24</v>
      </c>
      <c r="D100" s="453">
        <f>'Year 4'!D100</f>
        <v>0</v>
      </c>
      <c r="E100" s="452">
        <f>'Year 4'!E100</f>
        <v>0</v>
      </c>
      <c r="F100" s="453">
        <f>'Year 4'!F100</f>
        <v>0</v>
      </c>
      <c r="G100" s="19"/>
      <c r="H100" s="379">
        <f t="shared" si="43"/>
        <v>0</v>
      </c>
      <c r="I100" s="380">
        <f t="shared" si="43"/>
        <v>0</v>
      </c>
      <c r="J100" s="380">
        <f t="shared" si="43"/>
        <v>0</v>
      </c>
      <c r="K100" s="380">
        <f t="shared" si="43"/>
        <v>0</v>
      </c>
      <c r="L100" s="380">
        <f t="shared" si="43"/>
        <v>0</v>
      </c>
      <c r="M100" s="380">
        <f t="shared" si="43"/>
        <v>0</v>
      </c>
      <c r="N100" s="380">
        <f t="shared" si="43"/>
        <v>0</v>
      </c>
      <c r="O100" s="380">
        <f t="shared" si="43"/>
        <v>0</v>
      </c>
      <c r="P100" s="380">
        <f t="shared" si="43"/>
        <v>0</v>
      </c>
      <c r="Q100" s="380">
        <f t="shared" si="43"/>
        <v>0</v>
      </c>
      <c r="R100" s="380">
        <f t="shared" si="43"/>
        <v>0</v>
      </c>
      <c r="S100" s="380">
        <f t="shared" si="43"/>
        <v>0</v>
      </c>
      <c r="T100" s="417">
        <f t="shared" si="41"/>
        <v>0</v>
      </c>
    </row>
    <row r="101" spans="2:20" ht="17" thickBot="1" x14ac:dyDescent="0.25">
      <c r="B101" s="308"/>
      <c r="D101" s="21">
        <f>SUM(D98:D100)</f>
        <v>5</v>
      </c>
      <c r="E101" s="37"/>
      <c r="F101" s="51"/>
      <c r="G101" s="19"/>
      <c r="H101" s="379"/>
      <c r="I101" s="380"/>
      <c r="J101" s="380"/>
      <c r="K101" s="380"/>
      <c r="L101" s="380"/>
      <c r="M101" s="380"/>
      <c r="N101" s="380"/>
      <c r="O101" s="380"/>
      <c r="P101" s="380"/>
      <c r="Q101" s="380"/>
      <c r="R101" s="380"/>
      <c r="S101" s="380"/>
      <c r="T101" s="417"/>
    </row>
    <row r="102" spans="2:20" ht="17" thickTop="1" x14ac:dyDescent="0.2">
      <c r="B102" s="418" t="s">
        <v>223</v>
      </c>
      <c r="C102" s="419"/>
      <c r="D102" s="419"/>
      <c r="E102" s="419"/>
      <c r="F102" s="419"/>
      <c r="G102" s="420"/>
      <c r="H102" s="421">
        <f>SUM(H87:H100)</f>
        <v>27582.262912000002</v>
      </c>
      <c r="I102" s="422">
        <f t="shared" ref="I102:S102" si="44">SUM(I87:I100)</f>
        <v>27582.262912000002</v>
      </c>
      <c r="J102" s="422">
        <f t="shared" si="44"/>
        <v>27582.262912000002</v>
      </c>
      <c r="K102" s="422">
        <f t="shared" si="44"/>
        <v>27582.262912000002</v>
      </c>
      <c r="L102" s="422">
        <f t="shared" si="44"/>
        <v>27582.262912000002</v>
      </c>
      <c r="M102" s="422">
        <f t="shared" si="44"/>
        <v>27582.262912000002</v>
      </c>
      <c r="N102" s="422">
        <f t="shared" si="44"/>
        <v>27582.262912000002</v>
      </c>
      <c r="O102" s="422">
        <f t="shared" si="44"/>
        <v>27582.262912000002</v>
      </c>
      <c r="P102" s="422">
        <f t="shared" si="44"/>
        <v>27582.262912000002</v>
      </c>
      <c r="Q102" s="422">
        <f t="shared" si="44"/>
        <v>27582.262912000002</v>
      </c>
      <c r="R102" s="422">
        <f t="shared" si="44"/>
        <v>27582.262912000002</v>
      </c>
      <c r="S102" s="422">
        <f t="shared" si="44"/>
        <v>27582.262912000002</v>
      </c>
      <c r="T102" s="423">
        <f>SUM(H102:S102)</f>
        <v>330987.15494400001</v>
      </c>
    </row>
    <row r="103" spans="2:20" ht="16" customHeight="1" x14ac:dyDescent="0.2">
      <c r="B103" s="308"/>
      <c r="D103" s="51"/>
      <c r="E103" s="498" t="s">
        <v>317</v>
      </c>
      <c r="F103" s="498" t="s">
        <v>316</v>
      </c>
      <c r="G103" s="498"/>
      <c r="H103" s="379"/>
      <c r="I103" s="380"/>
      <c r="J103" s="380"/>
      <c r="K103" s="380"/>
      <c r="L103" s="380"/>
      <c r="M103" s="380"/>
      <c r="N103" s="380"/>
      <c r="O103" s="380"/>
      <c r="P103" s="380"/>
      <c r="Q103" s="380"/>
      <c r="R103" s="380"/>
      <c r="S103" s="380"/>
      <c r="T103" s="417"/>
    </row>
    <row r="104" spans="2:20" x14ac:dyDescent="0.2">
      <c r="B104" s="307" t="s">
        <v>225</v>
      </c>
      <c r="C104" s="49"/>
      <c r="D104" s="49"/>
      <c r="E104" s="498"/>
      <c r="F104" s="498"/>
      <c r="G104" s="498"/>
      <c r="H104" s="379"/>
      <c r="I104" s="380"/>
      <c r="J104" s="380"/>
      <c r="K104" s="380"/>
      <c r="L104" s="380"/>
      <c r="M104" s="380"/>
      <c r="N104" s="380"/>
      <c r="O104" s="380"/>
      <c r="P104" s="380"/>
      <c r="Q104" s="380"/>
      <c r="R104" s="380"/>
      <c r="S104" s="380"/>
      <c r="T104" s="417"/>
    </row>
    <row r="105" spans="2:20" x14ac:dyDescent="0.2">
      <c r="B105" s="426"/>
      <c r="C105" t="s">
        <v>226</v>
      </c>
      <c r="D105" s="49"/>
      <c r="E105" s="454">
        <f>'Year 4'!E105</f>
        <v>6.2E-2</v>
      </c>
      <c r="F105" s="452">
        <f>IF('Year 4'!F105="","",'Year 4'!F105)</f>
        <v>102000</v>
      </c>
      <c r="H105" s="379">
        <f>IF($F105="",$E105*H$102,$E105*$F105)</f>
        <v>6324</v>
      </c>
      <c r="I105" s="380">
        <f t="shared" ref="I105:S105" si="45">IF($F105="",$E105*I$102,$E105*$F105)</f>
        <v>6324</v>
      </c>
      <c r="J105" s="380">
        <f t="shared" si="45"/>
        <v>6324</v>
      </c>
      <c r="K105" s="380">
        <f t="shared" si="45"/>
        <v>6324</v>
      </c>
      <c r="L105" s="380">
        <f t="shared" si="45"/>
        <v>6324</v>
      </c>
      <c r="M105" s="380">
        <f t="shared" si="45"/>
        <v>6324</v>
      </c>
      <c r="N105" s="380">
        <f t="shared" si="45"/>
        <v>6324</v>
      </c>
      <c r="O105" s="380">
        <f t="shared" si="45"/>
        <v>6324</v>
      </c>
      <c r="P105" s="380">
        <f t="shared" si="45"/>
        <v>6324</v>
      </c>
      <c r="Q105" s="380">
        <f t="shared" si="45"/>
        <v>6324</v>
      </c>
      <c r="R105" s="380">
        <f t="shared" si="45"/>
        <v>6324</v>
      </c>
      <c r="S105" s="380">
        <f t="shared" si="45"/>
        <v>6324</v>
      </c>
      <c r="T105" s="417">
        <f t="shared" ref="T105:T112" si="46">SUM(H105:S105)</f>
        <v>75888</v>
      </c>
    </row>
    <row r="106" spans="2:20" x14ac:dyDescent="0.2">
      <c r="B106" s="426"/>
      <c r="C106" t="s">
        <v>227</v>
      </c>
      <c r="D106" s="49"/>
      <c r="E106" s="454">
        <f>'Year 4'!E106</f>
        <v>1.4500000000000001E-2</v>
      </c>
      <c r="F106" s="452" t="str">
        <f>IF('Year 4'!F106="","",'Year 4'!F106)</f>
        <v/>
      </c>
      <c r="H106" s="379">
        <f t="shared" ref="H106:S112" si="47">IF($F106="",$E106*H$102,$E106*$F106)</f>
        <v>399.94281222400002</v>
      </c>
      <c r="I106" s="380">
        <f t="shared" si="47"/>
        <v>399.94281222400002</v>
      </c>
      <c r="J106" s="380">
        <f t="shared" si="47"/>
        <v>399.94281222400002</v>
      </c>
      <c r="K106" s="380">
        <f t="shared" si="47"/>
        <v>399.94281222400002</v>
      </c>
      <c r="L106" s="380">
        <f t="shared" si="47"/>
        <v>399.94281222400002</v>
      </c>
      <c r="M106" s="380">
        <f t="shared" si="47"/>
        <v>399.94281222400002</v>
      </c>
      <c r="N106" s="380">
        <f t="shared" si="47"/>
        <v>399.94281222400002</v>
      </c>
      <c r="O106" s="380">
        <f t="shared" si="47"/>
        <v>399.94281222400002</v>
      </c>
      <c r="P106" s="380">
        <f t="shared" si="47"/>
        <v>399.94281222400002</v>
      </c>
      <c r="Q106" s="380">
        <f t="shared" si="47"/>
        <v>399.94281222400002</v>
      </c>
      <c r="R106" s="380">
        <f t="shared" si="47"/>
        <v>399.94281222400002</v>
      </c>
      <c r="S106" s="380">
        <f t="shared" si="47"/>
        <v>399.94281222400002</v>
      </c>
      <c r="T106" s="417">
        <f t="shared" si="46"/>
        <v>4799.3137466880007</v>
      </c>
    </row>
    <row r="107" spans="2:20" x14ac:dyDescent="0.2">
      <c r="B107" s="426"/>
      <c r="C107" t="s">
        <v>233</v>
      </c>
      <c r="D107" s="49"/>
      <c r="E107" s="454">
        <f>'Year 4'!E107</f>
        <v>8.0000000000000002E-3</v>
      </c>
      <c r="F107" s="452">
        <f>IF('Year 4'!F107="","",'Year 4'!F107)</f>
        <v>7000</v>
      </c>
      <c r="H107" s="379">
        <f t="shared" si="47"/>
        <v>56</v>
      </c>
      <c r="I107" s="380">
        <f t="shared" si="47"/>
        <v>56</v>
      </c>
      <c r="J107" s="380">
        <f t="shared" si="47"/>
        <v>56</v>
      </c>
      <c r="K107" s="380">
        <f t="shared" si="47"/>
        <v>56</v>
      </c>
      <c r="L107" s="380">
        <f t="shared" si="47"/>
        <v>56</v>
      </c>
      <c r="M107" s="380">
        <f t="shared" si="47"/>
        <v>56</v>
      </c>
      <c r="N107" s="380">
        <f t="shared" si="47"/>
        <v>56</v>
      </c>
      <c r="O107" s="380">
        <f t="shared" si="47"/>
        <v>56</v>
      </c>
      <c r="P107" s="380">
        <f t="shared" si="47"/>
        <v>56</v>
      </c>
      <c r="Q107" s="380">
        <f t="shared" si="47"/>
        <v>56</v>
      </c>
      <c r="R107" s="380">
        <f t="shared" si="47"/>
        <v>56</v>
      </c>
      <c r="S107" s="380">
        <f t="shared" si="47"/>
        <v>56</v>
      </c>
      <c r="T107" s="417">
        <f t="shared" si="46"/>
        <v>672</v>
      </c>
    </row>
    <row r="108" spans="2:20" x14ac:dyDescent="0.2">
      <c r="B108" s="426"/>
      <c r="C108" t="s">
        <v>234</v>
      </c>
      <c r="D108" s="49"/>
      <c r="E108" s="454">
        <f>'Year 4'!E108</f>
        <v>2.7E-2</v>
      </c>
      <c r="F108" s="452">
        <f>IF('Year 4'!F108="","",'Year 4'!F108)</f>
        <v>7000</v>
      </c>
      <c r="H108" s="379">
        <f t="shared" si="47"/>
        <v>189</v>
      </c>
      <c r="I108" s="380">
        <f t="shared" si="47"/>
        <v>189</v>
      </c>
      <c r="J108" s="380">
        <f t="shared" si="47"/>
        <v>189</v>
      </c>
      <c r="K108" s="380">
        <f t="shared" si="47"/>
        <v>189</v>
      </c>
      <c r="L108" s="380">
        <f t="shared" si="47"/>
        <v>189</v>
      </c>
      <c r="M108" s="380">
        <f t="shared" si="47"/>
        <v>189</v>
      </c>
      <c r="N108" s="380">
        <f t="shared" si="47"/>
        <v>189</v>
      </c>
      <c r="O108" s="380">
        <f t="shared" si="47"/>
        <v>189</v>
      </c>
      <c r="P108" s="380">
        <f t="shared" si="47"/>
        <v>189</v>
      </c>
      <c r="Q108" s="380">
        <f t="shared" si="47"/>
        <v>189</v>
      </c>
      <c r="R108" s="380">
        <f t="shared" si="47"/>
        <v>189</v>
      </c>
      <c r="S108" s="380">
        <f t="shared" si="47"/>
        <v>189</v>
      </c>
      <c r="T108" s="417">
        <f t="shared" si="46"/>
        <v>2268</v>
      </c>
    </row>
    <row r="109" spans="2:20" x14ac:dyDescent="0.2">
      <c r="B109" s="426"/>
      <c r="C109" t="s">
        <v>228</v>
      </c>
      <c r="D109" s="49"/>
      <c r="E109" s="454">
        <f>'Year 4'!E109</f>
        <v>1.4999999999999999E-2</v>
      </c>
      <c r="F109" s="452" t="str">
        <f>IF('Year 4'!F109="","",'Year 4'!F109)</f>
        <v/>
      </c>
      <c r="H109" s="379">
        <f t="shared" si="47"/>
        <v>413.73394368000004</v>
      </c>
      <c r="I109" s="380">
        <f t="shared" si="47"/>
        <v>413.73394368000004</v>
      </c>
      <c r="J109" s="380">
        <f t="shared" si="47"/>
        <v>413.73394368000004</v>
      </c>
      <c r="K109" s="380">
        <f t="shared" si="47"/>
        <v>413.73394368000004</v>
      </c>
      <c r="L109" s="380">
        <f t="shared" si="47"/>
        <v>413.73394368000004</v>
      </c>
      <c r="M109" s="380">
        <f t="shared" si="47"/>
        <v>413.73394368000004</v>
      </c>
      <c r="N109" s="380">
        <f t="shared" si="47"/>
        <v>413.73394368000004</v>
      </c>
      <c r="O109" s="380">
        <f t="shared" si="47"/>
        <v>413.73394368000004</v>
      </c>
      <c r="P109" s="380">
        <f t="shared" si="47"/>
        <v>413.73394368000004</v>
      </c>
      <c r="Q109" s="380">
        <f t="shared" si="47"/>
        <v>413.73394368000004</v>
      </c>
      <c r="R109" s="380">
        <f t="shared" si="47"/>
        <v>413.73394368000004</v>
      </c>
      <c r="S109" s="380">
        <f t="shared" si="47"/>
        <v>413.73394368000004</v>
      </c>
      <c r="T109" s="417">
        <f t="shared" si="46"/>
        <v>4964.8073241600023</v>
      </c>
    </row>
    <row r="110" spans="2:20" x14ac:dyDescent="0.2">
      <c r="B110" s="426"/>
      <c r="C110" t="s">
        <v>229</v>
      </c>
      <c r="D110" s="49"/>
      <c r="E110" s="454">
        <f>'Year 4'!E110</f>
        <v>0</v>
      </c>
      <c r="F110" s="452" t="str">
        <f>IF('Year 4'!F110="","",'Year 4'!F110)</f>
        <v/>
      </c>
      <c r="H110" s="379">
        <f t="shared" si="47"/>
        <v>0</v>
      </c>
      <c r="I110" s="380">
        <f t="shared" si="47"/>
        <v>0</v>
      </c>
      <c r="J110" s="380">
        <f t="shared" si="47"/>
        <v>0</v>
      </c>
      <c r="K110" s="380">
        <f t="shared" si="47"/>
        <v>0</v>
      </c>
      <c r="L110" s="380">
        <f t="shared" si="47"/>
        <v>0</v>
      </c>
      <c r="M110" s="380">
        <f t="shared" si="47"/>
        <v>0</v>
      </c>
      <c r="N110" s="380">
        <f t="shared" si="47"/>
        <v>0</v>
      </c>
      <c r="O110" s="380">
        <f t="shared" si="47"/>
        <v>0</v>
      </c>
      <c r="P110" s="380">
        <f t="shared" si="47"/>
        <v>0</v>
      </c>
      <c r="Q110" s="380">
        <f t="shared" si="47"/>
        <v>0</v>
      </c>
      <c r="R110" s="380">
        <f t="shared" si="47"/>
        <v>0</v>
      </c>
      <c r="S110" s="380">
        <f t="shared" si="47"/>
        <v>0</v>
      </c>
      <c r="T110" s="417">
        <f t="shared" si="46"/>
        <v>0</v>
      </c>
    </row>
    <row r="111" spans="2:20" x14ac:dyDescent="0.2">
      <c r="B111" s="426"/>
      <c r="C111" t="s">
        <v>230</v>
      </c>
      <c r="D111" s="49"/>
      <c r="E111" s="454">
        <f>'Year 4'!E111</f>
        <v>0</v>
      </c>
      <c r="F111" s="452" t="str">
        <f>IF('Year 4'!F111="","",'Year 4'!F111)</f>
        <v/>
      </c>
      <c r="H111" s="379">
        <f t="shared" si="47"/>
        <v>0</v>
      </c>
      <c r="I111" s="380">
        <f t="shared" si="47"/>
        <v>0</v>
      </c>
      <c r="J111" s="380">
        <f t="shared" si="47"/>
        <v>0</v>
      </c>
      <c r="K111" s="380">
        <f t="shared" si="47"/>
        <v>0</v>
      </c>
      <c r="L111" s="380">
        <f t="shared" si="47"/>
        <v>0</v>
      </c>
      <c r="M111" s="380">
        <f t="shared" si="47"/>
        <v>0</v>
      </c>
      <c r="N111" s="380">
        <f t="shared" si="47"/>
        <v>0</v>
      </c>
      <c r="O111" s="380">
        <f t="shared" si="47"/>
        <v>0</v>
      </c>
      <c r="P111" s="380">
        <f t="shared" si="47"/>
        <v>0</v>
      </c>
      <c r="Q111" s="380">
        <f t="shared" si="47"/>
        <v>0</v>
      </c>
      <c r="R111" s="380">
        <f t="shared" si="47"/>
        <v>0</v>
      </c>
      <c r="S111" s="380">
        <f t="shared" si="47"/>
        <v>0</v>
      </c>
      <c r="T111" s="417">
        <f t="shared" si="46"/>
        <v>0</v>
      </c>
    </row>
    <row r="112" spans="2:20" ht="17" thickBot="1" x14ac:dyDescent="0.25">
      <c r="B112" s="426"/>
      <c r="C112" t="s">
        <v>231</v>
      </c>
      <c r="D112" s="49"/>
      <c r="E112" s="454">
        <f>'Year 4'!E112</f>
        <v>0.04</v>
      </c>
      <c r="F112" s="452" t="str">
        <f>IF('Year 4'!F112="","",'Year 4'!F112)</f>
        <v/>
      </c>
      <c r="H112" s="379">
        <f t="shared" si="47"/>
        <v>1103.2905164800002</v>
      </c>
      <c r="I112" s="380">
        <f t="shared" si="47"/>
        <v>1103.2905164800002</v>
      </c>
      <c r="J112" s="380">
        <f t="shared" si="47"/>
        <v>1103.2905164800002</v>
      </c>
      <c r="K112" s="380">
        <f t="shared" si="47"/>
        <v>1103.2905164800002</v>
      </c>
      <c r="L112" s="380">
        <f t="shared" si="47"/>
        <v>1103.2905164800002</v>
      </c>
      <c r="M112" s="380">
        <f t="shared" si="47"/>
        <v>1103.2905164800002</v>
      </c>
      <c r="N112" s="380">
        <f t="shared" si="47"/>
        <v>1103.2905164800002</v>
      </c>
      <c r="O112" s="380">
        <f t="shared" si="47"/>
        <v>1103.2905164800002</v>
      </c>
      <c r="P112" s="380">
        <f t="shared" si="47"/>
        <v>1103.2905164800002</v>
      </c>
      <c r="Q112" s="380">
        <f t="shared" si="47"/>
        <v>1103.2905164800002</v>
      </c>
      <c r="R112" s="380">
        <f t="shared" si="47"/>
        <v>1103.2905164800002</v>
      </c>
      <c r="S112" s="380">
        <f t="shared" si="47"/>
        <v>1103.2905164800002</v>
      </c>
      <c r="T112" s="417">
        <f t="shared" si="46"/>
        <v>13239.486197759999</v>
      </c>
    </row>
    <row r="113" spans="2:20" ht="17" thickTop="1" x14ac:dyDescent="0.2">
      <c r="B113" s="418" t="s">
        <v>232</v>
      </c>
      <c r="C113" s="419"/>
      <c r="D113" s="419"/>
      <c r="E113" s="419"/>
      <c r="F113" s="419"/>
      <c r="G113" s="420"/>
      <c r="H113" s="421">
        <f>SUM(H105:H112)</f>
        <v>8485.9672723839994</v>
      </c>
      <c r="I113" s="422">
        <f t="shared" ref="I113:S113" si="48">SUM(I105:I112)</f>
        <v>8485.9672723839994</v>
      </c>
      <c r="J113" s="422">
        <f t="shared" si="48"/>
        <v>8485.9672723839994</v>
      </c>
      <c r="K113" s="422">
        <f t="shared" si="48"/>
        <v>8485.9672723839994</v>
      </c>
      <c r="L113" s="422">
        <f t="shared" si="48"/>
        <v>8485.9672723839994</v>
      </c>
      <c r="M113" s="422">
        <f t="shared" si="48"/>
        <v>8485.9672723839994</v>
      </c>
      <c r="N113" s="422">
        <f t="shared" si="48"/>
        <v>8485.9672723839994</v>
      </c>
      <c r="O113" s="422">
        <f t="shared" si="48"/>
        <v>8485.9672723839994</v>
      </c>
      <c r="P113" s="422">
        <f t="shared" si="48"/>
        <v>8485.9672723839994</v>
      </c>
      <c r="Q113" s="422">
        <f t="shared" si="48"/>
        <v>8485.9672723839994</v>
      </c>
      <c r="R113" s="422">
        <f t="shared" si="48"/>
        <v>8485.9672723839994</v>
      </c>
      <c r="S113" s="422">
        <f t="shared" si="48"/>
        <v>8485.9672723839994</v>
      </c>
      <c r="T113" s="423">
        <f>SUM(H113:S113)</f>
        <v>101831.60726860802</v>
      </c>
    </row>
    <row r="114" spans="2:20" ht="17" thickBot="1" x14ac:dyDescent="0.25">
      <c r="B114" s="308"/>
      <c r="C114" s="10"/>
      <c r="E114" s="20"/>
      <c r="G114" s="19"/>
      <c r="H114" s="382"/>
      <c r="I114" s="383"/>
      <c r="J114" s="383"/>
      <c r="K114" s="383"/>
      <c r="L114" s="383"/>
      <c r="M114" s="383"/>
      <c r="N114" s="383"/>
      <c r="O114" s="383"/>
      <c r="P114" s="383"/>
      <c r="Q114" s="383"/>
      <c r="R114" s="383"/>
      <c r="S114" s="383"/>
      <c r="T114" s="425"/>
    </row>
    <row r="115" spans="2:20" ht="17" thickTop="1" x14ac:dyDescent="0.2">
      <c r="B115" s="250" t="s">
        <v>235</v>
      </c>
      <c r="C115" s="237"/>
      <c r="D115" s="237"/>
      <c r="E115" s="237"/>
      <c r="F115" s="237"/>
      <c r="G115" s="237"/>
      <c r="H115" s="239">
        <f t="shared" ref="H115:S115" si="49">H102+H113</f>
        <v>36068.230184384003</v>
      </c>
      <c r="I115" s="240">
        <f t="shared" si="49"/>
        <v>36068.230184384003</v>
      </c>
      <c r="J115" s="240">
        <f t="shared" si="49"/>
        <v>36068.230184384003</v>
      </c>
      <c r="K115" s="240">
        <f t="shared" si="49"/>
        <v>36068.230184384003</v>
      </c>
      <c r="L115" s="240">
        <f t="shared" si="49"/>
        <v>36068.230184384003</v>
      </c>
      <c r="M115" s="240">
        <f t="shared" si="49"/>
        <v>36068.230184384003</v>
      </c>
      <c r="N115" s="240">
        <f t="shared" si="49"/>
        <v>36068.230184384003</v>
      </c>
      <c r="O115" s="240">
        <f t="shared" si="49"/>
        <v>36068.230184384003</v>
      </c>
      <c r="P115" s="240">
        <f t="shared" si="49"/>
        <v>36068.230184384003</v>
      </c>
      <c r="Q115" s="240">
        <f t="shared" si="49"/>
        <v>36068.230184384003</v>
      </c>
      <c r="R115" s="240">
        <f t="shared" si="49"/>
        <v>36068.230184384003</v>
      </c>
      <c r="S115" s="240">
        <f t="shared" si="49"/>
        <v>36068.230184384003</v>
      </c>
      <c r="T115" s="251">
        <f>SUM(H115:S115)</f>
        <v>432818.76221260795</v>
      </c>
    </row>
    <row r="116" spans="2:20" x14ac:dyDescent="0.2">
      <c r="C116" s="10"/>
      <c r="D116" s="11"/>
      <c r="E116" s="20"/>
      <c r="F116" s="8"/>
      <c r="H116" s="387"/>
      <c r="I116" s="388"/>
      <c r="J116" s="388"/>
      <c r="K116" s="388"/>
      <c r="L116" s="388"/>
      <c r="M116" s="388"/>
      <c r="N116" s="388"/>
      <c r="O116" s="388"/>
      <c r="P116" s="388"/>
      <c r="Q116" s="388"/>
      <c r="R116" s="388"/>
      <c r="S116" s="388"/>
      <c r="T116" s="381"/>
    </row>
    <row r="117" spans="2:20" ht="20" x14ac:dyDescent="0.2">
      <c r="B117" s="116" t="s">
        <v>17</v>
      </c>
      <c r="C117" s="327"/>
      <c r="D117" s="327"/>
      <c r="E117" s="327" t="str">
        <f>$E$3</f>
        <v>Year 5 (2024)</v>
      </c>
      <c r="F117" s="327"/>
      <c r="G117" s="327"/>
      <c r="H117" s="360" t="s">
        <v>127</v>
      </c>
      <c r="I117" s="361" t="s">
        <v>128</v>
      </c>
      <c r="J117" s="361" t="s">
        <v>129</v>
      </c>
      <c r="K117" s="361" t="s">
        <v>130</v>
      </c>
      <c r="L117" s="361" t="s">
        <v>131</v>
      </c>
      <c r="M117" s="361" t="s">
        <v>132</v>
      </c>
      <c r="N117" s="361" t="s">
        <v>133</v>
      </c>
      <c r="O117" s="361" t="s">
        <v>134</v>
      </c>
      <c r="P117" s="361" t="s">
        <v>135</v>
      </c>
      <c r="Q117" s="361" t="s">
        <v>136</v>
      </c>
      <c r="R117" s="361" t="s">
        <v>137</v>
      </c>
      <c r="S117" s="361" t="s">
        <v>138</v>
      </c>
      <c r="T117" s="362" t="s">
        <v>179</v>
      </c>
    </row>
    <row r="118" spans="2:20" x14ac:dyDescent="0.2">
      <c r="B118" s="401"/>
      <c r="C118" s="402"/>
      <c r="D118" s="402"/>
      <c r="E118" s="402"/>
      <c r="F118" s="402"/>
      <c r="G118" s="403" t="s">
        <v>57</v>
      </c>
      <c r="H118" s="363">
        <f>H$4</f>
        <v>49</v>
      </c>
      <c r="I118" s="364">
        <f t="shared" ref="I118:S118" si="50">I$4</f>
        <v>50</v>
      </c>
      <c r="J118" s="364">
        <f t="shared" si="50"/>
        <v>51</v>
      </c>
      <c r="K118" s="364">
        <f t="shared" si="50"/>
        <v>52</v>
      </c>
      <c r="L118" s="364">
        <f t="shared" si="50"/>
        <v>53</v>
      </c>
      <c r="M118" s="364">
        <f t="shared" si="50"/>
        <v>54</v>
      </c>
      <c r="N118" s="364">
        <f t="shared" si="50"/>
        <v>55</v>
      </c>
      <c r="O118" s="364">
        <f t="shared" si="50"/>
        <v>56</v>
      </c>
      <c r="P118" s="364">
        <f t="shared" si="50"/>
        <v>57</v>
      </c>
      <c r="Q118" s="364">
        <f t="shared" si="50"/>
        <v>58</v>
      </c>
      <c r="R118" s="364">
        <f t="shared" si="50"/>
        <v>59</v>
      </c>
      <c r="S118" s="364">
        <f t="shared" si="50"/>
        <v>60</v>
      </c>
      <c r="T118" s="405" t="str">
        <f>"Total for " &amp; $E$3</f>
        <v>Total for Year 5 (2024)</v>
      </c>
    </row>
    <row r="119" spans="2:20" x14ac:dyDescent="0.2">
      <c r="B119" s="308"/>
      <c r="C119" s="10"/>
      <c r="D119" s="11"/>
      <c r="E119" s="20"/>
      <c r="F119" s="8"/>
      <c r="H119" s="367"/>
      <c r="I119" s="368"/>
      <c r="J119" s="368"/>
      <c r="K119" s="368"/>
      <c r="L119" s="368"/>
      <c r="M119" s="368"/>
      <c r="N119" s="368"/>
      <c r="O119" s="368"/>
      <c r="P119" s="368"/>
      <c r="Q119" s="368"/>
      <c r="R119" s="368"/>
      <c r="S119" s="368"/>
      <c r="T119" s="407"/>
    </row>
    <row r="120" spans="2:20" x14ac:dyDescent="0.2">
      <c r="B120" s="307" t="s">
        <v>31</v>
      </c>
      <c r="C120" s="10"/>
      <c r="D120" s="11"/>
      <c r="E120" s="22" t="s">
        <v>29</v>
      </c>
      <c r="F120" s="8" t="s">
        <v>30</v>
      </c>
      <c r="H120" s="367"/>
      <c r="I120" s="368"/>
      <c r="J120" s="368"/>
      <c r="K120" s="368"/>
      <c r="L120" s="368"/>
      <c r="M120" s="368"/>
      <c r="N120" s="368"/>
      <c r="O120" s="368"/>
      <c r="P120" s="368"/>
      <c r="Q120" s="368"/>
      <c r="R120" s="368"/>
      <c r="S120" s="368"/>
      <c r="T120" s="407"/>
    </row>
    <row r="121" spans="2:20" x14ac:dyDescent="0.2">
      <c r="B121" s="308"/>
      <c r="C121" t="s">
        <v>207</v>
      </c>
      <c r="D121" s="49"/>
      <c r="E121" s="452">
        <f>'Year 4'!E121</f>
        <v>500</v>
      </c>
      <c r="F121" s="453">
        <f>'Year 4'!F121</f>
        <v>1</v>
      </c>
      <c r="H121" s="379">
        <f>$E121*$F121</f>
        <v>500</v>
      </c>
      <c r="I121" s="380">
        <f t="shared" ref="I121:S136" si="51">$E121*$F121</f>
        <v>500</v>
      </c>
      <c r="J121" s="380">
        <f t="shared" si="51"/>
        <v>500</v>
      </c>
      <c r="K121" s="380">
        <f t="shared" si="51"/>
        <v>500</v>
      </c>
      <c r="L121" s="380">
        <f t="shared" si="51"/>
        <v>500</v>
      </c>
      <c r="M121" s="380">
        <f t="shared" si="51"/>
        <v>500</v>
      </c>
      <c r="N121" s="380">
        <f t="shared" si="51"/>
        <v>500</v>
      </c>
      <c r="O121" s="380">
        <f t="shared" si="51"/>
        <v>500</v>
      </c>
      <c r="P121" s="380">
        <f t="shared" si="51"/>
        <v>500</v>
      </c>
      <c r="Q121" s="380">
        <f t="shared" si="51"/>
        <v>500</v>
      </c>
      <c r="R121" s="380">
        <f t="shared" si="51"/>
        <v>500</v>
      </c>
      <c r="S121" s="380">
        <f t="shared" si="51"/>
        <v>500</v>
      </c>
      <c r="T121" s="417">
        <f>SUM(H121:S121)</f>
        <v>6000</v>
      </c>
    </row>
    <row r="122" spans="2:20" x14ac:dyDescent="0.2">
      <c r="B122" s="308"/>
      <c r="C122" t="s">
        <v>190</v>
      </c>
      <c r="D122" s="49"/>
      <c r="E122" s="452">
        <f>'Year 4'!E122</f>
        <v>300</v>
      </c>
      <c r="F122" s="453">
        <f>'Year 4'!F122</f>
        <v>2</v>
      </c>
      <c r="H122" s="379">
        <f t="shared" ref="H122:S139" si="52">$E122*$F122</f>
        <v>600</v>
      </c>
      <c r="I122" s="380">
        <f t="shared" si="51"/>
        <v>600</v>
      </c>
      <c r="J122" s="380">
        <f t="shared" si="51"/>
        <v>600</v>
      </c>
      <c r="K122" s="380">
        <f t="shared" si="51"/>
        <v>600</v>
      </c>
      <c r="L122" s="380">
        <f t="shared" si="51"/>
        <v>600</v>
      </c>
      <c r="M122" s="380">
        <f t="shared" si="51"/>
        <v>600</v>
      </c>
      <c r="N122" s="380">
        <f t="shared" si="51"/>
        <v>600</v>
      </c>
      <c r="O122" s="380">
        <f t="shared" si="51"/>
        <v>600</v>
      </c>
      <c r="P122" s="380">
        <f t="shared" si="51"/>
        <v>600</v>
      </c>
      <c r="Q122" s="380">
        <f t="shared" si="51"/>
        <v>600</v>
      </c>
      <c r="R122" s="380">
        <f t="shared" si="51"/>
        <v>600</v>
      </c>
      <c r="S122" s="380">
        <f t="shared" si="51"/>
        <v>600</v>
      </c>
      <c r="T122" s="417">
        <f t="shared" ref="T122:T139" si="53">SUM(H122:S122)</f>
        <v>7200</v>
      </c>
    </row>
    <row r="123" spans="2:20" x14ac:dyDescent="0.2">
      <c r="B123" s="308"/>
      <c r="C123" t="s">
        <v>191</v>
      </c>
      <c r="D123" s="49"/>
      <c r="E123" s="452">
        <f>'Year 4'!E123</f>
        <v>0</v>
      </c>
      <c r="F123" s="453">
        <f>'Year 4'!F123</f>
        <v>3</v>
      </c>
      <c r="H123" s="379">
        <f t="shared" si="52"/>
        <v>0</v>
      </c>
      <c r="I123" s="380">
        <f t="shared" si="51"/>
        <v>0</v>
      </c>
      <c r="J123" s="380">
        <f t="shared" si="51"/>
        <v>0</v>
      </c>
      <c r="K123" s="380">
        <f t="shared" si="51"/>
        <v>0</v>
      </c>
      <c r="L123" s="380">
        <f t="shared" si="51"/>
        <v>0</v>
      </c>
      <c r="M123" s="380">
        <f t="shared" si="51"/>
        <v>0</v>
      </c>
      <c r="N123" s="380">
        <f t="shared" si="51"/>
        <v>0</v>
      </c>
      <c r="O123" s="380">
        <f t="shared" si="51"/>
        <v>0</v>
      </c>
      <c r="P123" s="380">
        <f t="shared" si="51"/>
        <v>0</v>
      </c>
      <c r="Q123" s="380">
        <f t="shared" si="51"/>
        <v>0</v>
      </c>
      <c r="R123" s="380">
        <f t="shared" si="51"/>
        <v>0</v>
      </c>
      <c r="S123" s="380">
        <f t="shared" si="51"/>
        <v>0</v>
      </c>
      <c r="T123" s="417">
        <f t="shared" si="53"/>
        <v>0</v>
      </c>
    </row>
    <row r="124" spans="2:20" x14ac:dyDescent="0.2">
      <c r="B124" s="308"/>
      <c r="C124" t="s">
        <v>192</v>
      </c>
      <c r="D124" s="49"/>
      <c r="E124" s="452">
        <f>'Year 4'!E124</f>
        <v>0</v>
      </c>
      <c r="F124" s="453">
        <f>'Year 4'!F124</f>
        <v>1</v>
      </c>
      <c r="H124" s="379">
        <f t="shared" si="52"/>
        <v>0</v>
      </c>
      <c r="I124" s="380">
        <f t="shared" si="51"/>
        <v>0</v>
      </c>
      <c r="J124" s="380">
        <f t="shared" si="51"/>
        <v>0</v>
      </c>
      <c r="K124" s="380">
        <f t="shared" si="51"/>
        <v>0</v>
      </c>
      <c r="L124" s="380">
        <f t="shared" si="51"/>
        <v>0</v>
      </c>
      <c r="M124" s="380">
        <f t="shared" si="51"/>
        <v>0</v>
      </c>
      <c r="N124" s="380">
        <f t="shared" si="51"/>
        <v>0</v>
      </c>
      <c r="O124" s="380">
        <f t="shared" si="51"/>
        <v>0</v>
      </c>
      <c r="P124" s="380">
        <f t="shared" si="51"/>
        <v>0</v>
      </c>
      <c r="Q124" s="380">
        <f t="shared" si="51"/>
        <v>0</v>
      </c>
      <c r="R124" s="380">
        <f t="shared" si="51"/>
        <v>0</v>
      </c>
      <c r="S124" s="380">
        <f t="shared" si="51"/>
        <v>0</v>
      </c>
      <c r="T124" s="417">
        <f t="shared" si="53"/>
        <v>0</v>
      </c>
    </row>
    <row r="125" spans="2:20" x14ac:dyDescent="0.2">
      <c r="B125" s="308"/>
      <c r="C125" t="s">
        <v>193</v>
      </c>
      <c r="D125" s="49"/>
      <c r="E125" s="452">
        <f>'Year 4'!E125</f>
        <v>200</v>
      </c>
      <c r="F125" s="453">
        <f>'Year 4'!F125</f>
        <v>1</v>
      </c>
      <c r="H125" s="379">
        <f t="shared" si="52"/>
        <v>200</v>
      </c>
      <c r="I125" s="380">
        <f t="shared" si="51"/>
        <v>200</v>
      </c>
      <c r="J125" s="380">
        <f t="shared" si="51"/>
        <v>200</v>
      </c>
      <c r="K125" s="380">
        <f t="shared" si="51"/>
        <v>200</v>
      </c>
      <c r="L125" s="380">
        <f t="shared" si="51"/>
        <v>200</v>
      </c>
      <c r="M125" s="380">
        <f t="shared" si="51"/>
        <v>200</v>
      </c>
      <c r="N125" s="380">
        <f t="shared" si="51"/>
        <v>200</v>
      </c>
      <c r="O125" s="380">
        <f t="shared" si="51"/>
        <v>200</v>
      </c>
      <c r="P125" s="380">
        <f t="shared" si="51"/>
        <v>200</v>
      </c>
      <c r="Q125" s="380">
        <f t="shared" si="51"/>
        <v>200</v>
      </c>
      <c r="R125" s="380">
        <f t="shared" si="51"/>
        <v>200</v>
      </c>
      <c r="S125" s="380">
        <f t="shared" si="51"/>
        <v>200</v>
      </c>
      <c r="T125" s="417">
        <f t="shared" si="53"/>
        <v>2400</v>
      </c>
    </row>
    <row r="126" spans="2:20" x14ac:dyDescent="0.2">
      <c r="B126" s="308"/>
      <c r="C126" t="s">
        <v>194</v>
      </c>
      <c r="D126" s="49"/>
      <c r="E126" s="452">
        <f>'Year 4'!E126</f>
        <v>0</v>
      </c>
      <c r="F126" s="453">
        <f>'Year 4'!F126</f>
        <v>2</v>
      </c>
      <c r="H126" s="379">
        <f t="shared" si="52"/>
        <v>0</v>
      </c>
      <c r="I126" s="380">
        <f t="shared" si="51"/>
        <v>0</v>
      </c>
      <c r="J126" s="380">
        <f t="shared" si="51"/>
        <v>0</v>
      </c>
      <c r="K126" s="380">
        <f t="shared" si="51"/>
        <v>0</v>
      </c>
      <c r="L126" s="380">
        <f t="shared" si="51"/>
        <v>0</v>
      </c>
      <c r="M126" s="380">
        <f t="shared" si="51"/>
        <v>0</v>
      </c>
      <c r="N126" s="380">
        <f t="shared" si="51"/>
        <v>0</v>
      </c>
      <c r="O126" s="380">
        <f t="shared" si="51"/>
        <v>0</v>
      </c>
      <c r="P126" s="380">
        <f t="shared" si="51"/>
        <v>0</v>
      </c>
      <c r="Q126" s="380">
        <f t="shared" si="51"/>
        <v>0</v>
      </c>
      <c r="R126" s="380">
        <f t="shared" si="51"/>
        <v>0</v>
      </c>
      <c r="S126" s="380">
        <f t="shared" si="51"/>
        <v>0</v>
      </c>
      <c r="T126" s="417">
        <f t="shared" si="53"/>
        <v>0</v>
      </c>
    </row>
    <row r="127" spans="2:20" x14ac:dyDescent="0.2">
      <c r="B127" s="308"/>
      <c r="C127" t="s">
        <v>195</v>
      </c>
      <c r="D127" s="49"/>
      <c r="E127" s="452">
        <f>'Year 4'!E127</f>
        <v>0</v>
      </c>
      <c r="F127" s="453">
        <f>'Year 4'!F127</f>
        <v>1</v>
      </c>
      <c r="H127" s="379">
        <f t="shared" si="52"/>
        <v>0</v>
      </c>
      <c r="I127" s="380">
        <f t="shared" si="51"/>
        <v>0</v>
      </c>
      <c r="J127" s="380">
        <f t="shared" si="51"/>
        <v>0</v>
      </c>
      <c r="K127" s="380">
        <f t="shared" si="51"/>
        <v>0</v>
      </c>
      <c r="L127" s="380">
        <f t="shared" si="51"/>
        <v>0</v>
      </c>
      <c r="M127" s="380">
        <f t="shared" si="51"/>
        <v>0</v>
      </c>
      <c r="N127" s="380">
        <f t="shared" si="51"/>
        <v>0</v>
      </c>
      <c r="O127" s="380">
        <f t="shared" si="51"/>
        <v>0</v>
      </c>
      <c r="P127" s="380">
        <f t="shared" si="51"/>
        <v>0</v>
      </c>
      <c r="Q127" s="380">
        <f t="shared" si="51"/>
        <v>0</v>
      </c>
      <c r="R127" s="380">
        <f t="shared" si="51"/>
        <v>0</v>
      </c>
      <c r="S127" s="380">
        <f t="shared" si="51"/>
        <v>0</v>
      </c>
      <c r="T127" s="417">
        <f t="shared" si="53"/>
        <v>0</v>
      </c>
    </row>
    <row r="128" spans="2:20" x14ac:dyDescent="0.2">
      <c r="B128" s="308"/>
      <c r="C128" t="s">
        <v>196</v>
      </c>
      <c r="D128" s="49"/>
      <c r="E128" s="452">
        <f>'Year 4'!E128</f>
        <v>0</v>
      </c>
      <c r="F128" s="453">
        <f>'Year 4'!F128</f>
        <v>1</v>
      </c>
      <c r="H128" s="379">
        <f t="shared" si="52"/>
        <v>0</v>
      </c>
      <c r="I128" s="380">
        <f t="shared" si="51"/>
        <v>0</v>
      </c>
      <c r="J128" s="380">
        <f t="shared" si="51"/>
        <v>0</v>
      </c>
      <c r="K128" s="380">
        <f t="shared" si="51"/>
        <v>0</v>
      </c>
      <c r="L128" s="380">
        <f t="shared" si="51"/>
        <v>0</v>
      </c>
      <c r="M128" s="380">
        <f t="shared" si="51"/>
        <v>0</v>
      </c>
      <c r="N128" s="380">
        <f t="shared" si="51"/>
        <v>0</v>
      </c>
      <c r="O128" s="380">
        <f t="shared" si="51"/>
        <v>0</v>
      </c>
      <c r="P128" s="380">
        <f t="shared" si="51"/>
        <v>0</v>
      </c>
      <c r="Q128" s="380">
        <f t="shared" si="51"/>
        <v>0</v>
      </c>
      <c r="R128" s="380">
        <f t="shared" si="51"/>
        <v>0</v>
      </c>
      <c r="S128" s="380">
        <f t="shared" si="51"/>
        <v>0</v>
      </c>
      <c r="T128" s="417">
        <f t="shared" si="53"/>
        <v>0</v>
      </c>
    </row>
    <row r="129" spans="2:20" x14ac:dyDescent="0.2">
      <c r="B129" s="308"/>
      <c r="C129" t="s">
        <v>197</v>
      </c>
      <c r="D129" s="49"/>
      <c r="E129" s="452">
        <f>'Year 4'!E129</f>
        <v>0</v>
      </c>
      <c r="F129" s="453">
        <f>'Year 4'!F129</f>
        <v>1</v>
      </c>
      <c r="H129" s="379">
        <f t="shared" si="52"/>
        <v>0</v>
      </c>
      <c r="I129" s="380">
        <f t="shared" si="51"/>
        <v>0</v>
      </c>
      <c r="J129" s="380">
        <f t="shared" si="51"/>
        <v>0</v>
      </c>
      <c r="K129" s="380">
        <f t="shared" si="51"/>
        <v>0</v>
      </c>
      <c r="L129" s="380">
        <f t="shared" si="51"/>
        <v>0</v>
      </c>
      <c r="M129" s="380">
        <f t="shared" si="51"/>
        <v>0</v>
      </c>
      <c r="N129" s="380">
        <f t="shared" si="51"/>
        <v>0</v>
      </c>
      <c r="O129" s="380">
        <f t="shared" si="51"/>
        <v>0</v>
      </c>
      <c r="P129" s="380">
        <f t="shared" si="51"/>
        <v>0</v>
      </c>
      <c r="Q129" s="380">
        <f t="shared" si="51"/>
        <v>0</v>
      </c>
      <c r="R129" s="380">
        <f t="shared" si="51"/>
        <v>0</v>
      </c>
      <c r="S129" s="380">
        <f t="shared" si="51"/>
        <v>0</v>
      </c>
      <c r="T129" s="417">
        <f t="shared" si="53"/>
        <v>0</v>
      </c>
    </row>
    <row r="130" spans="2:20" x14ac:dyDescent="0.2">
      <c r="B130" s="308"/>
      <c r="C130" t="s">
        <v>198</v>
      </c>
      <c r="D130" s="49"/>
      <c r="E130" s="452">
        <f>'Year 4'!E130</f>
        <v>0</v>
      </c>
      <c r="F130" s="453">
        <f>'Year 4'!F130</f>
        <v>1</v>
      </c>
      <c r="H130" s="379">
        <f t="shared" si="52"/>
        <v>0</v>
      </c>
      <c r="I130" s="380">
        <f t="shared" si="51"/>
        <v>0</v>
      </c>
      <c r="J130" s="380">
        <f t="shared" si="51"/>
        <v>0</v>
      </c>
      <c r="K130" s="380">
        <f t="shared" si="51"/>
        <v>0</v>
      </c>
      <c r="L130" s="380">
        <f t="shared" si="51"/>
        <v>0</v>
      </c>
      <c r="M130" s="380">
        <f t="shared" si="51"/>
        <v>0</v>
      </c>
      <c r="N130" s="380">
        <f t="shared" si="51"/>
        <v>0</v>
      </c>
      <c r="O130" s="380">
        <f t="shared" si="51"/>
        <v>0</v>
      </c>
      <c r="P130" s="380">
        <f t="shared" si="51"/>
        <v>0</v>
      </c>
      <c r="Q130" s="380">
        <f t="shared" si="51"/>
        <v>0</v>
      </c>
      <c r="R130" s="380">
        <f t="shared" si="51"/>
        <v>0</v>
      </c>
      <c r="S130" s="380">
        <f t="shared" si="51"/>
        <v>0</v>
      </c>
      <c r="T130" s="417">
        <f t="shared" si="53"/>
        <v>0</v>
      </c>
    </row>
    <row r="131" spans="2:20" x14ac:dyDescent="0.2">
      <c r="B131" s="308"/>
      <c r="C131" t="s">
        <v>32</v>
      </c>
      <c r="D131" s="49"/>
      <c r="E131" s="452">
        <f>'Year 4'!E131</f>
        <v>200</v>
      </c>
      <c r="F131" s="453">
        <f>'Year 4'!F131</f>
        <v>1</v>
      </c>
      <c r="H131" s="379">
        <f t="shared" si="52"/>
        <v>200</v>
      </c>
      <c r="I131" s="380">
        <f t="shared" si="51"/>
        <v>200</v>
      </c>
      <c r="J131" s="380">
        <f t="shared" si="51"/>
        <v>200</v>
      </c>
      <c r="K131" s="380">
        <f t="shared" si="51"/>
        <v>200</v>
      </c>
      <c r="L131" s="380">
        <f t="shared" si="51"/>
        <v>200</v>
      </c>
      <c r="M131" s="380">
        <f t="shared" si="51"/>
        <v>200</v>
      </c>
      <c r="N131" s="380">
        <f t="shared" si="51"/>
        <v>200</v>
      </c>
      <c r="O131" s="380">
        <f t="shared" si="51"/>
        <v>200</v>
      </c>
      <c r="P131" s="380">
        <f t="shared" si="51"/>
        <v>200</v>
      </c>
      <c r="Q131" s="380">
        <f t="shared" si="51"/>
        <v>200</v>
      </c>
      <c r="R131" s="380">
        <f t="shared" si="51"/>
        <v>200</v>
      </c>
      <c r="S131" s="380">
        <f t="shared" si="51"/>
        <v>200</v>
      </c>
      <c r="T131" s="417">
        <f t="shared" si="53"/>
        <v>2400</v>
      </c>
    </row>
    <row r="132" spans="2:20" x14ac:dyDescent="0.2">
      <c r="B132" s="308"/>
      <c r="C132" t="s">
        <v>199</v>
      </c>
      <c r="D132" s="49"/>
      <c r="E132" s="452">
        <f>'Year 4'!E132</f>
        <v>3000</v>
      </c>
      <c r="F132" s="453">
        <f>'Year 4'!F132</f>
        <v>1</v>
      </c>
      <c r="H132" s="379">
        <f t="shared" si="52"/>
        <v>3000</v>
      </c>
      <c r="I132" s="380">
        <f t="shared" si="51"/>
        <v>3000</v>
      </c>
      <c r="J132" s="380">
        <f t="shared" si="51"/>
        <v>3000</v>
      </c>
      <c r="K132" s="380">
        <f t="shared" si="51"/>
        <v>3000</v>
      </c>
      <c r="L132" s="380">
        <f t="shared" si="51"/>
        <v>3000</v>
      </c>
      <c r="M132" s="380">
        <f t="shared" si="51"/>
        <v>3000</v>
      </c>
      <c r="N132" s="380">
        <f t="shared" si="51"/>
        <v>3000</v>
      </c>
      <c r="O132" s="380">
        <f t="shared" si="51"/>
        <v>3000</v>
      </c>
      <c r="P132" s="380">
        <f t="shared" si="51"/>
        <v>3000</v>
      </c>
      <c r="Q132" s="380">
        <f t="shared" si="51"/>
        <v>3000</v>
      </c>
      <c r="R132" s="380">
        <f t="shared" si="51"/>
        <v>3000</v>
      </c>
      <c r="S132" s="380">
        <f t="shared" si="51"/>
        <v>3000</v>
      </c>
      <c r="T132" s="417">
        <f t="shared" si="53"/>
        <v>36000</v>
      </c>
    </row>
    <row r="133" spans="2:20" x14ac:dyDescent="0.2">
      <c r="B133" s="308"/>
      <c r="C133" t="s">
        <v>200</v>
      </c>
      <c r="D133" s="49"/>
      <c r="E133" s="452">
        <f>'Year 4'!E133</f>
        <v>740</v>
      </c>
      <c r="F133" s="453">
        <f>'Year 4'!F133</f>
        <v>1</v>
      </c>
      <c r="H133" s="379">
        <f t="shared" si="52"/>
        <v>740</v>
      </c>
      <c r="I133" s="380">
        <f t="shared" si="51"/>
        <v>740</v>
      </c>
      <c r="J133" s="380">
        <f t="shared" si="51"/>
        <v>740</v>
      </c>
      <c r="K133" s="380">
        <f t="shared" si="51"/>
        <v>740</v>
      </c>
      <c r="L133" s="380">
        <f t="shared" si="51"/>
        <v>740</v>
      </c>
      <c r="M133" s="380">
        <f t="shared" si="51"/>
        <v>740</v>
      </c>
      <c r="N133" s="380">
        <f t="shared" si="51"/>
        <v>740</v>
      </c>
      <c r="O133" s="380">
        <f t="shared" si="51"/>
        <v>740</v>
      </c>
      <c r="P133" s="380">
        <f t="shared" si="51"/>
        <v>740</v>
      </c>
      <c r="Q133" s="380">
        <f t="shared" si="51"/>
        <v>740</v>
      </c>
      <c r="R133" s="380">
        <f t="shared" si="51"/>
        <v>740</v>
      </c>
      <c r="S133" s="380">
        <f t="shared" si="51"/>
        <v>740</v>
      </c>
      <c r="T133" s="417">
        <f t="shared" si="53"/>
        <v>8880</v>
      </c>
    </row>
    <row r="134" spans="2:20" x14ac:dyDescent="0.2">
      <c r="B134" s="308"/>
      <c r="C134" t="s">
        <v>201</v>
      </c>
      <c r="D134" s="49"/>
      <c r="E134" s="452">
        <f>'Year 4'!E134</f>
        <v>0</v>
      </c>
      <c r="F134" s="453">
        <f>'Year 4'!F134</f>
        <v>1</v>
      </c>
      <c r="H134" s="379">
        <f t="shared" si="52"/>
        <v>0</v>
      </c>
      <c r="I134" s="380">
        <f t="shared" si="51"/>
        <v>0</v>
      </c>
      <c r="J134" s="380">
        <f t="shared" si="51"/>
        <v>0</v>
      </c>
      <c r="K134" s="380">
        <f t="shared" si="51"/>
        <v>0</v>
      </c>
      <c r="L134" s="380">
        <f t="shared" si="51"/>
        <v>0</v>
      </c>
      <c r="M134" s="380">
        <f t="shared" si="51"/>
        <v>0</v>
      </c>
      <c r="N134" s="380">
        <f t="shared" si="51"/>
        <v>0</v>
      </c>
      <c r="O134" s="380">
        <f t="shared" si="51"/>
        <v>0</v>
      </c>
      <c r="P134" s="380">
        <f t="shared" si="51"/>
        <v>0</v>
      </c>
      <c r="Q134" s="380">
        <f t="shared" si="51"/>
        <v>0</v>
      </c>
      <c r="R134" s="380">
        <f t="shared" si="51"/>
        <v>0</v>
      </c>
      <c r="S134" s="380">
        <f t="shared" si="51"/>
        <v>0</v>
      </c>
      <c r="T134" s="417">
        <f t="shared" si="53"/>
        <v>0</v>
      </c>
    </row>
    <row r="135" spans="2:20" x14ac:dyDescent="0.2">
      <c r="B135" s="308"/>
      <c r="C135" t="s">
        <v>202</v>
      </c>
      <c r="D135" s="49"/>
      <c r="E135" s="452">
        <f>'Year 4'!E135</f>
        <v>0</v>
      </c>
      <c r="F135" s="453">
        <f>'Year 4'!F135</f>
        <v>1</v>
      </c>
      <c r="H135" s="379">
        <f t="shared" si="52"/>
        <v>0</v>
      </c>
      <c r="I135" s="380">
        <f t="shared" si="51"/>
        <v>0</v>
      </c>
      <c r="J135" s="380">
        <f t="shared" si="51"/>
        <v>0</v>
      </c>
      <c r="K135" s="380">
        <f t="shared" si="51"/>
        <v>0</v>
      </c>
      <c r="L135" s="380">
        <f t="shared" si="51"/>
        <v>0</v>
      </c>
      <c r="M135" s="380">
        <f t="shared" si="51"/>
        <v>0</v>
      </c>
      <c r="N135" s="380">
        <f t="shared" si="51"/>
        <v>0</v>
      </c>
      <c r="O135" s="380">
        <f t="shared" si="51"/>
        <v>0</v>
      </c>
      <c r="P135" s="380">
        <f t="shared" si="51"/>
        <v>0</v>
      </c>
      <c r="Q135" s="380">
        <f t="shared" si="51"/>
        <v>0</v>
      </c>
      <c r="R135" s="380">
        <f t="shared" si="51"/>
        <v>0</v>
      </c>
      <c r="S135" s="380">
        <f t="shared" si="51"/>
        <v>0</v>
      </c>
      <c r="T135" s="417">
        <f t="shared" si="53"/>
        <v>0</v>
      </c>
    </row>
    <row r="136" spans="2:20" x14ac:dyDescent="0.2">
      <c r="B136" s="308"/>
      <c r="C136" t="s">
        <v>203</v>
      </c>
      <c r="D136" s="49"/>
      <c r="E136" s="452">
        <f>'Year 4'!E136</f>
        <v>0</v>
      </c>
      <c r="F136" s="453">
        <f>'Year 4'!F136</f>
        <v>1</v>
      </c>
      <c r="H136" s="379">
        <f t="shared" si="52"/>
        <v>0</v>
      </c>
      <c r="I136" s="380">
        <f t="shared" si="51"/>
        <v>0</v>
      </c>
      <c r="J136" s="380">
        <f t="shared" si="51"/>
        <v>0</v>
      </c>
      <c r="K136" s="380">
        <f t="shared" si="51"/>
        <v>0</v>
      </c>
      <c r="L136" s="380">
        <f t="shared" si="51"/>
        <v>0</v>
      </c>
      <c r="M136" s="380">
        <f t="shared" si="51"/>
        <v>0</v>
      </c>
      <c r="N136" s="380">
        <f t="shared" si="51"/>
        <v>0</v>
      </c>
      <c r="O136" s="380">
        <f t="shared" si="51"/>
        <v>0</v>
      </c>
      <c r="P136" s="380">
        <f t="shared" si="51"/>
        <v>0</v>
      </c>
      <c r="Q136" s="380">
        <f t="shared" si="51"/>
        <v>0</v>
      </c>
      <c r="R136" s="380">
        <f t="shared" si="51"/>
        <v>0</v>
      </c>
      <c r="S136" s="380">
        <f t="shared" si="51"/>
        <v>0</v>
      </c>
      <c r="T136" s="417">
        <f t="shared" si="53"/>
        <v>0</v>
      </c>
    </row>
    <row r="137" spans="2:20" x14ac:dyDescent="0.2">
      <c r="B137" s="308"/>
      <c r="C137" t="s">
        <v>204</v>
      </c>
      <c r="D137" s="49"/>
      <c r="E137" s="452">
        <f>'Year 4'!E137</f>
        <v>0</v>
      </c>
      <c r="F137" s="453">
        <f>'Year 4'!F137</f>
        <v>1</v>
      </c>
      <c r="H137" s="379">
        <f t="shared" si="52"/>
        <v>0</v>
      </c>
      <c r="I137" s="380">
        <f t="shared" si="52"/>
        <v>0</v>
      </c>
      <c r="J137" s="380">
        <f t="shared" si="52"/>
        <v>0</v>
      </c>
      <c r="K137" s="380">
        <f t="shared" si="52"/>
        <v>0</v>
      </c>
      <c r="L137" s="380">
        <f t="shared" si="52"/>
        <v>0</v>
      </c>
      <c r="M137" s="380">
        <f t="shared" si="52"/>
        <v>0</v>
      </c>
      <c r="N137" s="380">
        <f t="shared" si="52"/>
        <v>0</v>
      </c>
      <c r="O137" s="380">
        <f t="shared" si="52"/>
        <v>0</v>
      </c>
      <c r="P137" s="380">
        <f t="shared" si="52"/>
        <v>0</v>
      </c>
      <c r="Q137" s="380">
        <f t="shared" si="52"/>
        <v>0</v>
      </c>
      <c r="R137" s="380">
        <f t="shared" si="52"/>
        <v>0</v>
      </c>
      <c r="S137" s="380">
        <f t="shared" si="52"/>
        <v>0</v>
      </c>
      <c r="T137" s="417">
        <f t="shared" si="53"/>
        <v>0</v>
      </c>
    </row>
    <row r="138" spans="2:20" x14ac:dyDescent="0.2">
      <c r="B138" s="308"/>
      <c r="C138" t="s">
        <v>205</v>
      </c>
      <c r="D138" s="49"/>
      <c r="E138" s="452">
        <f>'Year 4'!E138</f>
        <v>150</v>
      </c>
      <c r="F138" s="453">
        <f>'Year 4'!F138</f>
        <v>1</v>
      </c>
      <c r="H138" s="379">
        <f t="shared" si="52"/>
        <v>150</v>
      </c>
      <c r="I138" s="380">
        <f t="shared" si="52"/>
        <v>150</v>
      </c>
      <c r="J138" s="380">
        <f t="shared" si="52"/>
        <v>150</v>
      </c>
      <c r="K138" s="380">
        <f t="shared" si="52"/>
        <v>150</v>
      </c>
      <c r="L138" s="380">
        <f t="shared" si="52"/>
        <v>150</v>
      </c>
      <c r="M138" s="380">
        <f t="shared" si="52"/>
        <v>150</v>
      </c>
      <c r="N138" s="380">
        <f t="shared" si="52"/>
        <v>150</v>
      </c>
      <c r="O138" s="380">
        <f t="shared" si="52"/>
        <v>150</v>
      </c>
      <c r="P138" s="380">
        <f t="shared" si="52"/>
        <v>150</v>
      </c>
      <c r="Q138" s="380">
        <f t="shared" si="52"/>
        <v>150</v>
      </c>
      <c r="R138" s="380">
        <f t="shared" si="52"/>
        <v>150</v>
      </c>
      <c r="S138" s="380">
        <f t="shared" si="52"/>
        <v>150</v>
      </c>
      <c r="T138" s="417">
        <f t="shared" si="53"/>
        <v>1800</v>
      </c>
    </row>
    <row r="139" spans="2:20" x14ac:dyDescent="0.2">
      <c r="B139" s="308"/>
      <c r="C139" t="s">
        <v>206</v>
      </c>
      <c r="D139" s="49"/>
      <c r="E139" s="452">
        <f>'Year 4'!E139</f>
        <v>0</v>
      </c>
      <c r="F139" s="453">
        <f>'Year 4'!F139</f>
        <v>1</v>
      </c>
      <c r="H139" s="379">
        <f t="shared" si="52"/>
        <v>0</v>
      </c>
      <c r="I139" s="380">
        <f t="shared" si="52"/>
        <v>0</v>
      </c>
      <c r="J139" s="380">
        <f t="shared" si="52"/>
        <v>0</v>
      </c>
      <c r="K139" s="380">
        <f t="shared" si="52"/>
        <v>0</v>
      </c>
      <c r="L139" s="380">
        <f t="shared" si="52"/>
        <v>0</v>
      </c>
      <c r="M139" s="380">
        <f t="shared" si="52"/>
        <v>0</v>
      </c>
      <c r="N139" s="380">
        <f t="shared" si="52"/>
        <v>0</v>
      </c>
      <c r="O139" s="380">
        <f t="shared" si="52"/>
        <v>0</v>
      </c>
      <c r="P139" s="380">
        <f t="shared" si="52"/>
        <v>0</v>
      </c>
      <c r="Q139" s="380">
        <f t="shared" si="52"/>
        <v>0</v>
      </c>
      <c r="R139" s="380">
        <f t="shared" si="52"/>
        <v>0</v>
      </c>
      <c r="S139" s="380">
        <f t="shared" si="52"/>
        <v>0</v>
      </c>
      <c r="T139" s="417">
        <f t="shared" si="53"/>
        <v>0</v>
      </c>
    </row>
    <row r="140" spans="2:20" ht="17" thickBot="1" x14ac:dyDescent="0.25">
      <c r="B140" s="308"/>
      <c r="E140" s="23"/>
      <c r="F140" s="8"/>
      <c r="H140" s="382"/>
      <c r="I140" s="383"/>
      <c r="J140" s="383"/>
      <c r="K140" s="383"/>
      <c r="L140" s="383"/>
      <c r="M140" s="383"/>
      <c r="N140" s="383"/>
      <c r="O140" s="383"/>
      <c r="P140" s="383"/>
      <c r="Q140" s="383"/>
      <c r="R140" s="383"/>
      <c r="S140" s="383"/>
      <c r="T140" s="425"/>
    </row>
    <row r="141" spans="2:20" ht="17" thickTop="1" x14ac:dyDescent="0.2">
      <c r="B141" s="250" t="s">
        <v>17</v>
      </c>
      <c r="C141" s="237"/>
      <c r="D141" s="237"/>
      <c r="E141" s="237"/>
      <c r="F141" s="237"/>
      <c r="G141" s="237"/>
      <c r="H141" s="239">
        <f t="shared" ref="H141:S141" si="54">SUM(H121:H139)</f>
        <v>5390</v>
      </c>
      <c r="I141" s="240">
        <f t="shared" si="54"/>
        <v>5390</v>
      </c>
      <c r="J141" s="240">
        <f t="shared" si="54"/>
        <v>5390</v>
      </c>
      <c r="K141" s="240">
        <f t="shared" si="54"/>
        <v>5390</v>
      </c>
      <c r="L141" s="240">
        <f t="shared" si="54"/>
        <v>5390</v>
      </c>
      <c r="M141" s="240">
        <f t="shared" si="54"/>
        <v>5390</v>
      </c>
      <c r="N141" s="240">
        <f t="shared" si="54"/>
        <v>5390</v>
      </c>
      <c r="O141" s="240">
        <f t="shared" si="54"/>
        <v>5390</v>
      </c>
      <c r="P141" s="240">
        <f t="shared" si="54"/>
        <v>5390</v>
      </c>
      <c r="Q141" s="240">
        <f t="shared" si="54"/>
        <v>5390</v>
      </c>
      <c r="R141" s="240">
        <f t="shared" si="54"/>
        <v>5390</v>
      </c>
      <c r="S141" s="240">
        <f t="shared" si="54"/>
        <v>5390</v>
      </c>
      <c r="T141" s="251">
        <f>SUM(H141:S141)</f>
        <v>64680</v>
      </c>
    </row>
    <row r="142" spans="2:20" x14ac:dyDescent="0.2">
      <c r="C142" s="10"/>
      <c r="D142" s="11"/>
      <c r="E142" s="20"/>
      <c r="F142" s="8"/>
      <c r="H142" s="387"/>
      <c r="I142" s="388"/>
      <c r="J142" s="388"/>
      <c r="K142" s="388"/>
      <c r="L142" s="388"/>
      <c r="M142" s="388"/>
      <c r="N142" s="388"/>
      <c r="O142" s="388"/>
      <c r="P142" s="388"/>
      <c r="Q142" s="388"/>
      <c r="R142" s="388"/>
      <c r="S142" s="388"/>
      <c r="T142" s="381"/>
    </row>
    <row r="143" spans="2:20" ht="20" x14ac:dyDescent="0.2">
      <c r="B143" s="116" t="s">
        <v>307</v>
      </c>
      <c r="C143" s="327"/>
      <c r="D143" s="327"/>
      <c r="E143" s="327" t="str">
        <f>$E$3</f>
        <v>Year 5 (2024)</v>
      </c>
      <c r="F143" s="327"/>
      <c r="G143" s="327"/>
      <c r="H143" s="360" t="s">
        <v>127</v>
      </c>
      <c r="I143" s="361" t="s">
        <v>128</v>
      </c>
      <c r="J143" s="361" t="s">
        <v>129</v>
      </c>
      <c r="K143" s="361" t="s">
        <v>130</v>
      </c>
      <c r="L143" s="361" t="s">
        <v>131</v>
      </c>
      <c r="M143" s="361" t="s">
        <v>132</v>
      </c>
      <c r="N143" s="361" t="s">
        <v>133</v>
      </c>
      <c r="O143" s="361" t="s">
        <v>134</v>
      </c>
      <c r="P143" s="361" t="s">
        <v>135</v>
      </c>
      <c r="Q143" s="361" t="s">
        <v>136</v>
      </c>
      <c r="R143" s="361" t="s">
        <v>137</v>
      </c>
      <c r="S143" s="361" t="s">
        <v>138</v>
      </c>
      <c r="T143" s="362" t="s">
        <v>179</v>
      </c>
    </row>
    <row r="144" spans="2:20" x14ac:dyDescent="0.2">
      <c r="B144" s="401"/>
      <c r="C144" s="402"/>
      <c r="D144" s="402"/>
      <c r="E144" s="402"/>
      <c r="F144" s="402"/>
      <c r="G144" s="403" t="s">
        <v>57</v>
      </c>
      <c r="H144" s="363">
        <f>H$4</f>
        <v>49</v>
      </c>
      <c r="I144" s="364">
        <f t="shared" ref="I144:S144" si="55">I$4</f>
        <v>50</v>
      </c>
      <c r="J144" s="364">
        <f t="shared" si="55"/>
        <v>51</v>
      </c>
      <c r="K144" s="364">
        <f t="shared" si="55"/>
        <v>52</v>
      </c>
      <c r="L144" s="364">
        <f t="shared" si="55"/>
        <v>53</v>
      </c>
      <c r="M144" s="364">
        <f t="shared" si="55"/>
        <v>54</v>
      </c>
      <c r="N144" s="364">
        <f t="shared" si="55"/>
        <v>55</v>
      </c>
      <c r="O144" s="364">
        <f t="shared" si="55"/>
        <v>56</v>
      </c>
      <c r="P144" s="364">
        <f t="shared" si="55"/>
        <v>57</v>
      </c>
      <c r="Q144" s="364">
        <f t="shared" si="55"/>
        <v>58</v>
      </c>
      <c r="R144" s="364">
        <f t="shared" si="55"/>
        <v>59</v>
      </c>
      <c r="S144" s="364">
        <f t="shared" si="55"/>
        <v>60</v>
      </c>
      <c r="T144" s="405" t="str">
        <f>"Total for " &amp; $E$3</f>
        <v>Total for Year 5 (2024)</v>
      </c>
    </row>
    <row r="145" spans="2:20" x14ac:dyDescent="0.2">
      <c r="B145" s="307"/>
      <c r="C145" s="5"/>
      <c r="E145" s="7"/>
      <c r="F145" s="7"/>
      <c r="G145" s="5"/>
      <c r="H145" s="389"/>
      <c r="I145" s="390"/>
      <c r="J145" s="390"/>
      <c r="K145" s="390"/>
      <c r="L145" s="390"/>
      <c r="M145" s="390"/>
      <c r="N145" s="390"/>
      <c r="O145" s="390"/>
      <c r="P145" s="390"/>
      <c r="Q145" s="390"/>
      <c r="R145" s="390"/>
      <c r="S145" s="390"/>
      <c r="T145" s="427"/>
    </row>
    <row r="146" spans="2:20" x14ac:dyDescent="0.2">
      <c r="B146" s="307" t="s">
        <v>18</v>
      </c>
      <c r="D146" s="7"/>
      <c r="E146" s="7"/>
      <c r="F146" s="7"/>
      <c r="G146" s="5"/>
      <c r="H146" s="379"/>
      <c r="I146" s="380"/>
      <c r="J146" s="380"/>
      <c r="K146" s="380"/>
      <c r="L146" s="380"/>
      <c r="M146" s="380"/>
      <c r="N146" s="380"/>
      <c r="O146" s="380"/>
      <c r="P146" s="380"/>
      <c r="Q146" s="380"/>
      <c r="R146" s="380"/>
      <c r="S146" s="380"/>
      <c r="T146" s="417"/>
    </row>
    <row r="147" spans="2:20" x14ac:dyDescent="0.2">
      <c r="B147" s="428"/>
      <c r="C147" t="s">
        <v>308</v>
      </c>
      <c r="D147" s="7"/>
      <c r="E147" s="7"/>
      <c r="F147" s="7"/>
      <c r="G147" s="5"/>
      <c r="H147" s="379">
        <f t="shared" ref="H147:S147" si="56">H41</f>
        <v>78754</v>
      </c>
      <c r="I147" s="380">
        <f t="shared" si="56"/>
        <v>81934</v>
      </c>
      <c r="J147" s="380">
        <f t="shared" si="56"/>
        <v>84994</v>
      </c>
      <c r="K147" s="380">
        <f t="shared" si="56"/>
        <v>88174</v>
      </c>
      <c r="L147" s="380">
        <f t="shared" si="56"/>
        <v>91224</v>
      </c>
      <c r="M147" s="380">
        <f t="shared" si="56"/>
        <v>94404</v>
      </c>
      <c r="N147" s="380">
        <f t="shared" si="56"/>
        <v>97464</v>
      </c>
      <c r="O147" s="380">
        <f t="shared" si="56"/>
        <v>100644</v>
      </c>
      <c r="P147" s="380">
        <f t="shared" si="56"/>
        <v>103694</v>
      </c>
      <c r="Q147" s="380">
        <f t="shared" si="56"/>
        <v>106874</v>
      </c>
      <c r="R147" s="380">
        <f t="shared" si="56"/>
        <v>109934</v>
      </c>
      <c r="S147" s="380">
        <f t="shared" si="56"/>
        <v>113144</v>
      </c>
      <c r="T147" s="417">
        <f>SUM(H147:S147)</f>
        <v>1151238</v>
      </c>
    </row>
    <row r="148" spans="2:20" x14ac:dyDescent="0.2">
      <c r="B148" s="428"/>
      <c r="C148" t="s">
        <v>366</v>
      </c>
      <c r="D148" s="7"/>
      <c r="E148" s="7"/>
      <c r="F148" s="7"/>
      <c r="G148" s="5"/>
      <c r="H148" s="379">
        <f>H50</f>
        <v>3142.44</v>
      </c>
      <c r="I148" s="380">
        <f t="shared" ref="I148:S148" si="57">I50</f>
        <v>3273.8399999999997</v>
      </c>
      <c r="J148" s="380">
        <f t="shared" si="57"/>
        <v>3401.64</v>
      </c>
      <c r="K148" s="380">
        <f t="shared" si="57"/>
        <v>3533.04</v>
      </c>
      <c r="L148" s="380">
        <f t="shared" si="57"/>
        <v>3660.54</v>
      </c>
      <c r="M148" s="380">
        <f t="shared" si="57"/>
        <v>3791.94</v>
      </c>
      <c r="N148" s="380">
        <f t="shared" si="57"/>
        <v>3919.74</v>
      </c>
      <c r="O148" s="380">
        <f t="shared" si="57"/>
        <v>4051.14</v>
      </c>
      <c r="P148" s="380">
        <f t="shared" si="57"/>
        <v>4178.6400000000003</v>
      </c>
      <c r="Q148" s="380">
        <f t="shared" si="57"/>
        <v>4310.04</v>
      </c>
      <c r="R148" s="380">
        <f t="shared" si="57"/>
        <v>4437.84</v>
      </c>
      <c r="S148" s="380">
        <f t="shared" si="57"/>
        <v>4570.7400000000007</v>
      </c>
      <c r="T148" s="417">
        <f>SUM(H148:S148)</f>
        <v>46271.579999999994</v>
      </c>
    </row>
    <row r="149" spans="2:20" x14ac:dyDescent="0.2">
      <c r="B149" s="428"/>
      <c r="C149" t="s">
        <v>28</v>
      </c>
      <c r="D149" s="7"/>
      <c r="E149" s="7"/>
      <c r="F149" s="7"/>
      <c r="G149" s="5"/>
      <c r="H149" s="379">
        <f>H81</f>
        <v>20352.595999999998</v>
      </c>
      <c r="I149" s="380">
        <f t="shared" ref="I149:S149" si="58">I81</f>
        <v>21244.915999999997</v>
      </c>
      <c r="J149" s="380">
        <f t="shared" si="58"/>
        <v>22121.155999999999</v>
      </c>
      <c r="K149" s="380">
        <f t="shared" si="58"/>
        <v>23013.475999999999</v>
      </c>
      <c r="L149" s="380">
        <f t="shared" si="58"/>
        <v>23888.675999999999</v>
      </c>
      <c r="M149" s="380">
        <f t="shared" si="58"/>
        <v>24780.995999999999</v>
      </c>
      <c r="N149" s="380">
        <f t="shared" si="58"/>
        <v>25657.235999999997</v>
      </c>
      <c r="O149" s="380">
        <f t="shared" si="58"/>
        <v>26549.556</v>
      </c>
      <c r="P149" s="380">
        <f t="shared" si="58"/>
        <v>27424.756000000001</v>
      </c>
      <c r="Q149" s="380">
        <f t="shared" si="58"/>
        <v>28317.076000000001</v>
      </c>
      <c r="R149" s="380">
        <f t="shared" si="58"/>
        <v>29193.316000000003</v>
      </c>
      <c r="S149" s="380">
        <f t="shared" si="58"/>
        <v>30097.456000000002</v>
      </c>
      <c r="T149" s="417">
        <f t="shared" ref="T149:T151" si="59">SUM(H149:S149)</f>
        <v>302641.212</v>
      </c>
    </row>
    <row r="150" spans="2:20" x14ac:dyDescent="0.2">
      <c r="B150" s="428"/>
      <c r="C150" t="s">
        <v>309</v>
      </c>
      <c r="D150" s="7"/>
      <c r="E150" s="7"/>
      <c r="F150" s="7"/>
      <c r="G150" s="5"/>
      <c r="H150" s="379">
        <f>H115</f>
        <v>36068.230184384003</v>
      </c>
      <c r="I150" s="380">
        <f t="shared" ref="I150:S150" si="60">I115</f>
        <v>36068.230184384003</v>
      </c>
      <c r="J150" s="380">
        <f t="shared" si="60"/>
        <v>36068.230184384003</v>
      </c>
      <c r="K150" s="380">
        <f t="shared" si="60"/>
        <v>36068.230184384003</v>
      </c>
      <c r="L150" s="380">
        <f t="shared" si="60"/>
        <v>36068.230184384003</v>
      </c>
      <c r="M150" s="380">
        <f t="shared" si="60"/>
        <v>36068.230184384003</v>
      </c>
      <c r="N150" s="380">
        <f t="shared" si="60"/>
        <v>36068.230184384003</v>
      </c>
      <c r="O150" s="380">
        <f t="shared" si="60"/>
        <v>36068.230184384003</v>
      </c>
      <c r="P150" s="380">
        <f t="shared" si="60"/>
        <v>36068.230184384003</v>
      </c>
      <c r="Q150" s="380">
        <f t="shared" si="60"/>
        <v>36068.230184384003</v>
      </c>
      <c r="R150" s="380">
        <f t="shared" si="60"/>
        <v>36068.230184384003</v>
      </c>
      <c r="S150" s="380">
        <f t="shared" si="60"/>
        <v>36068.230184384003</v>
      </c>
      <c r="T150" s="417">
        <f t="shared" si="59"/>
        <v>432818.76221260795</v>
      </c>
    </row>
    <row r="151" spans="2:20" ht="17" thickBot="1" x14ac:dyDescent="0.25">
      <c r="B151" s="428"/>
      <c r="C151" t="s">
        <v>310</v>
      </c>
      <c r="D151" s="7"/>
      <c r="E151" s="7"/>
      <c r="F151" s="7"/>
      <c r="G151" s="5"/>
      <c r="H151" s="379">
        <f>H141</f>
        <v>5390</v>
      </c>
      <c r="I151" s="380">
        <f t="shared" ref="I151:S151" si="61">I141</f>
        <v>5390</v>
      </c>
      <c r="J151" s="380">
        <f t="shared" si="61"/>
        <v>5390</v>
      </c>
      <c r="K151" s="380">
        <f t="shared" si="61"/>
        <v>5390</v>
      </c>
      <c r="L151" s="380">
        <f t="shared" si="61"/>
        <v>5390</v>
      </c>
      <c r="M151" s="380">
        <f t="shared" si="61"/>
        <v>5390</v>
      </c>
      <c r="N151" s="380">
        <f t="shared" si="61"/>
        <v>5390</v>
      </c>
      <c r="O151" s="380">
        <f t="shared" si="61"/>
        <v>5390</v>
      </c>
      <c r="P151" s="380">
        <f t="shared" si="61"/>
        <v>5390</v>
      </c>
      <c r="Q151" s="380">
        <f t="shared" si="61"/>
        <v>5390</v>
      </c>
      <c r="R151" s="380">
        <f t="shared" si="61"/>
        <v>5390</v>
      </c>
      <c r="S151" s="380">
        <f t="shared" si="61"/>
        <v>5390</v>
      </c>
      <c r="T151" s="417">
        <f t="shared" si="59"/>
        <v>64680</v>
      </c>
    </row>
    <row r="152" spans="2:20" ht="17" thickTop="1" x14ac:dyDescent="0.2">
      <c r="B152" s="418" t="s">
        <v>18</v>
      </c>
      <c r="C152" s="419"/>
      <c r="D152" s="419"/>
      <c r="E152" s="419"/>
      <c r="F152" s="419"/>
      <c r="G152" s="420"/>
      <c r="H152" s="421">
        <f>H147-SUM(H148:H151)</f>
        <v>13800.733815615997</v>
      </c>
      <c r="I152" s="422">
        <f t="shared" ref="I152:S152" si="62">I147-SUM(I148:I151)</f>
        <v>15957.013815615996</v>
      </c>
      <c r="J152" s="422">
        <f t="shared" si="62"/>
        <v>18012.973815616002</v>
      </c>
      <c r="K152" s="422">
        <f t="shared" si="62"/>
        <v>20169.253815616001</v>
      </c>
      <c r="L152" s="422">
        <f t="shared" si="62"/>
        <v>22216.553815616004</v>
      </c>
      <c r="M152" s="422">
        <f t="shared" si="62"/>
        <v>24372.833815616003</v>
      </c>
      <c r="N152" s="422">
        <f t="shared" si="62"/>
        <v>26428.793815615994</v>
      </c>
      <c r="O152" s="422">
        <f t="shared" si="62"/>
        <v>28585.073815615993</v>
      </c>
      <c r="P152" s="422">
        <f t="shared" si="62"/>
        <v>30632.373815615996</v>
      </c>
      <c r="Q152" s="422">
        <f t="shared" si="62"/>
        <v>32788.653815615995</v>
      </c>
      <c r="R152" s="422">
        <f t="shared" si="62"/>
        <v>34844.613815616001</v>
      </c>
      <c r="S152" s="422">
        <f t="shared" si="62"/>
        <v>37017.573815615993</v>
      </c>
      <c r="T152" s="423">
        <f>SUM(H152:S152)</f>
        <v>304826.44578739197</v>
      </c>
    </row>
    <row r="153" spans="2:20" x14ac:dyDescent="0.2">
      <c r="B153" s="428"/>
      <c r="C153" s="5"/>
      <c r="D153" s="5"/>
      <c r="E153" s="6"/>
      <c r="F153" s="7"/>
      <c r="G153" s="5"/>
      <c r="H153" s="389"/>
      <c r="I153" s="390"/>
      <c r="J153" s="390"/>
      <c r="K153" s="390"/>
      <c r="L153" s="390"/>
      <c r="M153" s="390"/>
      <c r="N153" s="390"/>
      <c r="O153" s="390"/>
      <c r="P153" s="390"/>
      <c r="Q153" s="390"/>
      <c r="R153" s="390"/>
      <c r="S153" s="390"/>
      <c r="T153" s="429"/>
    </row>
    <row r="154" spans="2:20" x14ac:dyDescent="0.2">
      <c r="B154" s="307" t="s">
        <v>22</v>
      </c>
      <c r="E154" s="23" t="s">
        <v>284</v>
      </c>
      <c r="F154" s="8"/>
      <c r="H154" s="382"/>
      <c r="I154" s="383"/>
      <c r="J154" s="383"/>
      <c r="K154" s="383"/>
      <c r="L154" s="383"/>
      <c r="M154" s="383"/>
      <c r="N154" s="383"/>
      <c r="O154" s="383"/>
      <c r="P154" s="383"/>
      <c r="Q154" s="383"/>
      <c r="R154" s="383"/>
      <c r="S154" s="383"/>
      <c r="T154" s="425"/>
    </row>
    <row r="155" spans="2:20" x14ac:dyDescent="0.2">
      <c r="B155" s="308"/>
      <c r="C155" s="39" t="s">
        <v>40</v>
      </c>
      <c r="E155" s="454">
        <f>'Year 4'!E155</f>
        <v>0.01</v>
      </c>
      <c r="F155" s="8"/>
      <c r="H155" s="379">
        <f>H200*$E$155/12</f>
        <v>15.833333333333334</v>
      </c>
      <c r="I155" s="380">
        <f t="shared" ref="I155:S155" si="63">I200*$E$155/12+H155</f>
        <v>16.833333333333336</v>
      </c>
      <c r="J155" s="380">
        <f t="shared" si="63"/>
        <v>16.833333333333336</v>
      </c>
      <c r="K155" s="380">
        <f t="shared" si="63"/>
        <v>16.833333333333336</v>
      </c>
      <c r="L155" s="380">
        <f t="shared" si="63"/>
        <v>17.666666666666668</v>
      </c>
      <c r="M155" s="380">
        <f t="shared" si="63"/>
        <v>17.666666666666668</v>
      </c>
      <c r="N155" s="380">
        <f t="shared" si="63"/>
        <v>20.166666666666668</v>
      </c>
      <c r="O155" s="380">
        <f t="shared" si="63"/>
        <v>20.166666666666668</v>
      </c>
      <c r="P155" s="380">
        <f t="shared" si="63"/>
        <v>21.166666666666668</v>
      </c>
      <c r="Q155" s="380">
        <f t="shared" si="63"/>
        <v>22</v>
      </c>
      <c r="R155" s="380">
        <f t="shared" si="63"/>
        <v>22</v>
      </c>
      <c r="S155" s="380">
        <f t="shared" si="63"/>
        <v>22</v>
      </c>
      <c r="T155" s="417">
        <f>SUM(H155:S155)</f>
        <v>229.16666666666669</v>
      </c>
    </row>
    <row r="156" spans="2:20" ht="17" thickBot="1" x14ac:dyDescent="0.25">
      <c r="B156" s="308"/>
      <c r="E156" s="23"/>
      <c r="F156" s="8"/>
      <c r="H156" s="382"/>
      <c r="I156" s="383"/>
      <c r="J156" s="383"/>
      <c r="K156" s="383"/>
      <c r="L156" s="383"/>
      <c r="M156" s="383"/>
      <c r="N156" s="383"/>
      <c r="O156" s="383"/>
      <c r="P156" s="383"/>
      <c r="Q156" s="383"/>
      <c r="R156" s="383"/>
      <c r="S156" s="383"/>
      <c r="T156" s="425"/>
    </row>
    <row r="157" spans="2:20" ht="17" thickTop="1" x14ac:dyDescent="0.2">
      <c r="B157" s="418" t="s">
        <v>110</v>
      </c>
      <c r="C157" s="419"/>
      <c r="D157" s="419"/>
      <c r="E157" s="419"/>
      <c r="F157" s="419"/>
      <c r="G157" s="420"/>
      <c r="H157" s="421">
        <f>H152-SUM(H155:H155)</f>
        <v>13784.900482282663</v>
      </c>
      <c r="I157" s="422">
        <f t="shared" ref="I157:S157" si="64">I152-SUM(I155:I155)</f>
        <v>15940.180482282662</v>
      </c>
      <c r="J157" s="422">
        <f t="shared" si="64"/>
        <v>17996.14048228267</v>
      </c>
      <c r="K157" s="422">
        <f t="shared" si="64"/>
        <v>20152.420482282669</v>
      </c>
      <c r="L157" s="422">
        <f t="shared" si="64"/>
        <v>22198.887148949336</v>
      </c>
      <c r="M157" s="422">
        <f t="shared" si="64"/>
        <v>24355.167148949335</v>
      </c>
      <c r="N157" s="422">
        <f t="shared" si="64"/>
        <v>26408.627148949327</v>
      </c>
      <c r="O157" s="422">
        <f t="shared" si="64"/>
        <v>28564.907148949325</v>
      </c>
      <c r="P157" s="422">
        <f t="shared" si="64"/>
        <v>30611.207148949328</v>
      </c>
      <c r="Q157" s="422">
        <f t="shared" si="64"/>
        <v>32766.653815615995</v>
      </c>
      <c r="R157" s="422">
        <f t="shared" si="64"/>
        <v>34822.613815616001</v>
      </c>
      <c r="S157" s="422">
        <f t="shared" si="64"/>
        <v>36995.573815615993</v>
      </c>
      <c r="T157" s="423">
        <f>SUM(H157:S157)</f>
        <v>304597.27912072535</v>
      </c>
    </row>
    <row r="158" spans="2:20" x14ac:dyDescent="0.2">
      <c r="B158" s="428"/>
      <c r="C158" s="5"/>
      <c r="D158" s="5"/>
      <c r="E158" s="7"/>
      <c r="F158" s="7"/>
      <c r="G158" s="5"/>
      <c r="H158" s="393"/>
      <c r="I158" s="394"/>
      <c r="J158" s="394"/>
      <c r="K158" s="394"/>
      <c r="L158" s="394"/>
      <c r="M158" s="394"/>
      <c r="N158" s="394"/>
      <c r="O158" s="394"/>
      <c r="P158" s="394"/>
      <c r="Q158" s="394"/>
      <c r="R158" s="394"/>
      <c r="S158" s="394"/>
      <c r="T158" s="430"/>
    </row>
    <row r="159" spans="2:20" x14ac:dyDescent="0.2">
      <c r="B159" s="307" t="s">
        <v>119</v>
      </c>
      <c r="C159" s="5"/>
      <c r="E159" s="7"/>
      <c r="F159" s="7"/>
      <c r="G159" s="5"/>
      <c r="H159" s="389"/>
      <c r="I159" s="390"/>
      <c r="J159" s="390"/>
      <c r="K159" s="390"/>
      <c r="L159" s="390"/>
      <c r="M159" s="390"/>
      <c r="N159" s="390"/>
      <c r="O159" s="390"/>
      <c r="P159" s="390"/>
      <c r="Q159" s="390"/>
      <c r="R159" s="390"/>
      <c r="S159" s="390"/>
      <c r="T159" s="427"/>
    </row>
    <row r="160" spans="2:20" x14ac:dyDescent="0.2">
      <c r="B160" s="308"/>
      <c r="C160" s="457" t="s">
        <v>157</v>
      </c>
      <c r="D160" s="457"/>
      <c r="E160" s="457"/>
      <c r="F160" s="457"/>
      <c r="G160" s="457"/>
      <c r="H160" s="458">
        <v>0</v>
      </c>
      <c r="I160" s="459">
        <v>0</v>
      </c>
      <c r="J160" s="459">
        <v>0</v>
      </c>
      <c r="K160" s="459">
        <v>0</v>
      </c>
      <c r="L160" s="459">
        <v>0</v>
      </c>
      <c r="M160" s="459">
        <v>0</v>
      </c>
      <c r="N160" s="459">
        <v>0</v>
      </c>
      <c r="O160" s="459">
        <v>0</v>
      </c>
      <c r="P160" s="459">
        <v>0</v>
      </c>
      <c r="Q160" s="459">
        <v>0</v>
      </c>
      <c r="R160" s="459">
        <v>0</v>
      </c>
      <c r="S160" s="459">
        <v>0</v>
      </c>
      <c r="T160" s="417">
        <f>SUM(H160:S160)</f>
        <v>0</v>
      </c>
    </row>
    <row r="161" spans="2:20" x14ac:dyDescent="0.2">
      <c r="B161" s="428"/>
      <c r="C161" t="s">
        <v>163</v>
      </c>
      <c r="D161" s="7"/>
      <c r="E161" s="7"/>
      <c r="F161" s="7"/>
      <c r="G161" s="5"/>
      <c r="H161" s="379">
        <f>IFERROR(IF(AND(H$118&gt;'Financing Schedule'!$G13,H$118&lt;='Financing Schedule'!$G13+'Financing Schedule'!$L13),('Financing Schedule'!$K13/12)*('Financing Schedule'!$J13-('Financing Schedule'!$I13*(H$118-'Financing Schedule'!$G13-1))),0),0)</f>
        <v>0</v>
      </c>
      <c r="I161" s="380">
        <f>IFERROR(IF(AND(I$118&gt;'Financing Schedule'!$G13,I$118&lt;='Financing Schedule'!$G13+'Financing Schedule'!$L13),('Financing Schedule'!$K13/12)*('Financing Schedule'!$J13-('Financing Schedule'!$I13*(I$118-'Financing Schedule'!$G13-1))),0),0)</f>
        <v>0</v>
      </c>
      <c r="J161" s="380">
        <f>IFERROR(IF(AND(J$118&gt;'Financing Schedule'!$G13,J$118&lt;='Financing Schedule'!$G13+'Financing Schedule'!$L13),('Financing Schedule'!$K13/12)*('Financing Schedule'!$J13-('Financing Schedule'!$I13*(J$118-'Financing Schedule'!$G13-1))),0),0)</f>
        <v>0</v>
      </c>
      <c r="K161" s="380">
        <f>IFERROR(IF(AND(K$118&gt;'Financing Schedule'!$G13,K$118&lt;='Financing Schedule'!$G13+'Financing Schedule'!$L13),('Financing Schedule'!$K13/12)*('Financing Schedule'!$J13-('Financing Schedule'!$I13*(K$118-'Financing Schedule'!$G13-1))),0),0)</f>
        <v>0</v>
      </c>
      <c r="L161" s="380">
        <f>IFERROR(IF(AND(L$118&gt;'Financing Schedule'!$G13,L$118&lt;='Financing Schedule'!$G13+'Financing Schedule'!$L13),('Financing Schedule'!$K13/12)*('Financing Schedule'!$J13-('Financing Schedule'!$I13*(L$118-'Financing Schedule'!$G13-1))),0),0)</f>
        <v>0</v>
      </c>
      <c r="M161" s="380">
        <f>IFERROR(IF(AND(M$118&gt;'Financing Schedule'!$G13,M$118&lt;='Financing Schedule'!$G13+'Financing Schedule'!$L13),('Financing Schedule'!$K13/12)*('Financing Schedule'!$J13-('Financing Schedule'!$I13*(M$118-'Financing Schedule'!$G13-1))),0),0)</f>
        <v>0</v>
      </c>
      <c r="N161" s="380">
        <f>IFERROR(IF(AND(N$118&gt;'Financing Schedule'!$G13,N$118&lt;='Financing Schedule'!$G13+'Financing Schedule'!$L13),('Financing Schedule'!$K13/12)*('Financing Schedule'!$J13-('Financing Schedule'!$I13*(N$118-'Financing Schedule'!$G13-1))),0),0)</f>
        <v>0</v>
      </c>
      <c r="O161" s="380">
        <f>IFERROR(IF(AND(O$118&gt;'Financing Schedule'!$G13,O$118&lt;='Financing Schedule'!$G13+'Financing Schedule'!$L13),('Financing Schedule'!$K13/12)*('Financing Schedule'!$J13-('Financing Schedule'!$I13*(O$118-'Financing Schedule'!$G13-1))),0),0)</f>
        <v>0</v>
      </c>
      <c r="P161" s="380">
        <f>IFERROR(IF(AND(P$118&gt;'Financing Schedule'!$G13,P$118&lt;='Financing Schedule'!$G13+'Financing Schedule'!$L13),('Financing Schedule'!$K13/12)*('Financing Schedule'!$J13-('Financing Schedule'!$I13*(P$118-'Financing Schedule'!$G13-1))),0),0)</f>
        <v>0</v>
      </c>
      <c r="Q161" s="380">
        <f>IFERROR(IF(AND(Q$118&gt;'Financing Schedule'!$G13,Q$118&lt;='Financing Schedule'!$G13+'Financing Schedule'!$L13),('Financing Schedule'!$K13/12)*('Financing Schedule'!$J13-('Financing Schedule'!$I13*(Q$118-'Financing Schedule'!$G13-1))),0),0)</f>
        <v>0</v>
      </c>
      <c r="R161" s="380">
        <f>IFERROR(IF(AND(R$118&gt;'Financing Schedule'!$G13,R$118&lt;='Financing Schedule'!$G13+'Financing Schedule'!$L13),('Financing Schedule'!$K13/12)*('Financing Schedule'!$J13-('Financing Schedule'!$I13*(R$118-'Financing Schedule'!$G13-1))),0),0)</f>
        <v>0</v>
      </c>
      <c r="S161" s="380">
        <f>IFERROR(IF(AND(S$118&gt;'Financing Schedule'!$G13,S$118&lt;='Financing Schedule'!$G13+'Financing Schedule'!$L13),('Financing Schedule'!$K13/12)*('Financing Schedule'!$J13-('Financing Schedule'!$I13*(S$118-'Financing Schedule'!$G13-1))),0),0)</f>
        <v>0</v>
      </c>
      <c r="T161" s="417">
        <f>SUM(H161:S161)</f>
        <v>0</v>
      </c>
    </row>
    <row r="162" spans="2:20" x14ac:dyDescent="0.2">
      <c r="B162" s="428"/>
      <c r="C162" t="s">
        <v>164</v>
      </c>
      <c r="D162" s="7"/>
      <c r="E162" s="7"/>
      <c r="F162" s="7"/>
      <c r="G162" s="5"/>
      <c r="H162" s="379">
        <f>IFERROR(IF(AND(H$118&gt;'Financing Schedule'!$G14,H$118&lt;='Financing Schedule'!$G14+'Financing Schedule'!$L14),('Financing Schedule'!$K14/12)*('Financing Schedule'!$J14-('Financing Schedule'!$I14*(H$118-'Financing Schedule'!$G14-1))),0),0)</f>
        <v>0</v>
      </c>
      <c r="I162" s="380">
        <f>IFERROR(IF(AND(I$118&gt;'Financing Schedule'!$G14,I$118&lt;='Financing Schedule'!$G14+'Financing Schedule'!$L14),('Financing Schedule'!$K14/12)*('Financing Schedule'!$J14-('Financing Schedule'!$I14*(I$118-'Financing Schedule'!$G14-1))),0),0)</f>
        <v>0</v>
      </c>
      <c r="J162" s="380">
        <f>IFERROR(IF(AND(J$118&gt;'Financing Schedule'!$G14,J$118&lt;='Financing Schedule'!$G14+'Financing Schedule'!$L14),('Financing Schedule'!$K14/12)*('Financing Schedule'!$J14-('Financing Schedule'!$I14*(J$118-'Financing Schedule'!$G14-1))),0),0)</f>
        <v>0</v>
      </c>
      <c r="K162" s="380">
        <f>IFERROR(IF(AND(K$118&gt;'Financing Schedule'!$G14,K$118&lt;='Financing Schedule'!$G14+'Financing Schedule'!$L14),('Financing Schedule'!$K14/12)*('Financing Schedule'!$J14-('Financing Schedule'!$I14*(K$118-'Financing Schedule'!$G14-1))),0),0)</f>
        <v>0</v>
      </c>
      <c r="L162" s="380">
        <f>IFERROR(IF(AND(L$118&gt;'Financing Schedule'!$G14,L$118&lt;='Financing Schedule'!$G14+'Financing Schedule'!$L14),('Financing Schedule'!$K14/12)*('Financing Schedule'!$J14-('Financing Schedule'!$I14*(L$118-'Financing Schedule'!$G14-1))),0),0)</f>
        <v>0</v>
      </c>
      <c r="M162" s="380">
        <f>IFERROR(IF(AND(M$118&gt;'Financing Schedule'!$G14,M$118&lt;='Financing Schedule'!$G14+'Financing Schedule'!$L14),('Financing Schedule'!$K14/12)*('Financing Schedule'!$J14-('Financing Schedule'!$I14*(M$118-'Financing Schedule'!$G14-1))),0),0)</f>
        <v>0</v>
      </c>
      <c r="N162" s="380">
        <f>IFERROR(IF(AND(N$118&gt;'Financing Schedule'!$G14,N$118&lt;='Financing Schedule'!$G14+'Financing Schedule'!$L14),('Financing Schedule'!$K14/12)*('Financing Schedule'!$J14-('Financing Schedule'!$I14*(N$118-'Financing Schedule'!$G14-1))),0),0)</f>
        <v>0</v>
      </c>
      <c r="O162" s="380">
        <f>IFERROR(IF(AND(O$118&gt;'Financing Schedule'!$G14,O$118&lt;='Financing Schedule'!$G14+'Financing Schedule'!$L14),('Financing Schedule'!$K14/12)*('Financing Schedule'!$J14-('Financing Schedule'!$I14*(O$118-'Financing Schedule'!$G14-1))),0),0)</f>
        <v>0</v>
      </c>
      <c r="P162" s="380">
        <f>IFERROR(IF(AND(P$118&gt;'Financing Schedule'!$G14,P$118&lt;='Financing Schedule'!$G14+'Financing Schedule'!$L14),('Financing Schedule'!$K14/12)*('Financing Schedule'!$J14-('Financing Schedule'!$I14*(P$118-'Financing Schedule'!$G14-1))),0),0)</f>
        <v>0</v>
      </c>
      <c r="Q162" s="380">
        <f>IFERROR(IF(AND(Q$118&gt;'Financing Schedule'!$G14,Q$118&lt;='Financing Schedule'!$G14+'Financing Schedule'!$L14),('Financing Schedule'!$K14/12)*('Financing Schedule'!$J14-('Financing Schedule'!$I14*(Q$118-'Financing Schedule'!$G14-1))),0),0)</f>
        <v>0</v>
      </c>
      <c r="R162" s="380">
        <f>IFERROR(IF(AND(R$118&gt;'Financing Schedule'!$G14,R$118&lt;='Financing Schedule'!$G14+'Financing Schedule'!$L14),('Financing Schedule'!$K14/12)*('Financing Schedule'!$J14-('Financing Schedule'!$I14*(R$118-'Financing Schedule'!$G14-1))),0),0)</f>
        <v>0</v>
      </c>
      <c r="S162" s="380">
        <f>IFERROR(IF(AND(S$118&gt;'Financing Schedule'!$G14,S$118&lt;='Financing Schedule'!$G14+'Financing Schedule'!$L14),('Financing Schedule'!$K14/12)*('Financing Schedule'!$J14-('Financing Schedule'!$I14*(S$118-'Financing Schedule'!$G14-1))),0),0)</f>
        <v>0</v>
      </c>
      <c r="T162" s="417">
        <f t="shared" ref="T162:T166" si="65">SUM(H162:S162)</f>
        <v>0</v>
      </c>
    </row>
    <row r="163" spans="2:20" x14ac:dyDescent="0.2">
      <c r="B163" s="428"/>
      <c r="C163" t="s">
        <v>165</v>
      </c>
      <c r="D163" s="7"/>
      <c r="E163" s="7"/>
      <c r="F163" s="7"/>
      <c r="G163" s="5"/>
      <c r="H163" s="379">
        <f>IFERROR(IF(AND(H$118&gt;'Financing Schedule'!$G15,H$118&lt;='Financing Schedule'!$G15+'Financing Schedule'!$L15),('Financing Schedule'!$K15/12)*('Financing Schedule'!$J15-('Financing Schedule'!$I15*(H$118-'Financing Schedule'!$G15-1))),0),0)</f>
        <v>0</v>
      </c>
      <c r="I163" s="380">
        <f>IFERROR(IF(AND(I$118&gt;'Financing Schedule'!$G15,I$118&lt;='Financing Schedule'!$G15+'Financing Schedule'!$L15),('Financing Schedule'!$K15/12)*('Financing Schedule'!$J15-('Financing Schedule'!$I15*(I$118-'Financing Schedule'!$G15-1))),0),0)</f>
        <v>0</v>
      </c>
      <c r="J163" s="380">
        <f>IFERROR(IF(AND(J$118&gt;'Financing Schedule'!$G15,J$118&lt;='Financing Schedule'!$G15+'Financing Schedule'!$L15),('Financing Schedule'!$K15/12)*('Financing Schedule'!$J15-('Financing Schedule'!$I15*(J$118-'Financing Schedule'!$G15-1))),0),0)</f>
        <v>0</v>
      </c>
      <c r="K163" s="380">
        <f>IFERROR(IF(AND(K$118&gt;'Financing Schedule'!$G15,K$118&lt;='Financing Schedule'!$G15+'Financing Schedule'!$L15),('Financing Schedule'!$K15/12)*('Financing Schedule'!$J15-('Financing Schedule'!$I15*(K$118-'Financing Schedule'!$G15-1))),0),0)</f>
        <v>0</v>
      </c>
      <c r="L163" s="380">
        <f>IFERROR(IF(AND(L$118&gt;'Financing Schedule'!$G15,L$118&lt;='Financing Schedule'!$G15+'Financing Schedule'!$L15),('Financing Schedule'!$K15/12)*('Financing Schedule'!$J15-('Financing Schedule'!$I15*(L$118-'Financing Schedule'!$G15-1))),0),0)</f>
        <v>0</v>
      </c>
      <c r="M163" s="380">
        <f>IFERROR(IF(AND(M$118&gt;'Financing Schedule'!$G15,M$118&lt;='Financing Schedule'!$G15+'Financing Schedule'!$L15),('Financing Schedule'!$K15/12)*('Financing Schedule'!$J15-('Financing Schedule'!$I15*(M$118-'Financing Schedule'!$G15-1))),0),0)</f>
        <v>0</v>
      </c>
      <c r="N163" s="380">
        <f>IFERROR(IF(AND(N$118&gt;'Financing Schedule'!$G15,N$118&lt;='Financing Schedule'!$G15+'Financing Schedule'!$L15),('Financing Schedule'!$K15/12)*('Financing Schedule'!$J15-('Financing Schedule'!$I15*(N$118-'Financing Schedule'!$G15-1))),0),0)</f>
        <v>0</v>
      </c>
      <c r="O163" s="380">
        <f>IFERROR(IF(AND(O$118&gt;'Financing Schedule'!$G15,O$118&lt;='Financing Schedule'!$G15+'Financing Schedule'!$L15),('Financing Schedule'!$K15/12)*('Financing Schedule'!$J15-('Financing Schedule'!$I15*(O$118-'Financing Schedule'!$G15-1))),0),0)</f>
        <v>0</v>
      </c>
      <c r="P163" s="380">
        <f>IFERROR(IF(AND(P$118&gt;'Financing Schedule'!$G15,P$118&lt;='Financing Schedule'!$G15+'Financing Schedule'!$L15),('Financing Schedule'!$K15/12)*('Financing Schedule'!$J15-('Financing Schedule'!$I15*(P$118-'Financing Schedule'!$G15-1))),0),0)</f>
        <v>0</v>
      </c>
      <c r="Q163" s="380">
        <f>IFERROR(IF(AND(Q$118&gt;'Financing Schedule'!$G15,Q$118&lt;='Financing Schedule'!$G15+'Financing Schedule'!$L15),('Financing Schedule'!$K15/12)*('Financing Schedule'!$J15-('Financing Schedule'!$I15*(Q$118-'Financing Schedule'!$G15-1))),0),0)</f>
        <v>0</v>
      </c>
      <c r="R163" s="380">
        <f>IFERROR(IF(AND(R$118&gt;'Financing Schedule'!$G15,R$118&lt;='Financing Schedule'!$G15+'Financing Schedule'!$L15),('Financing Schedule'!$K15/12)*('Financing Schedule'!$J15-('Financing Schedule'!$I15*(R$118-'Financing Schedule'!$G15-1))),0),0)</f>
        <v>0</v>
      </c>
      <c r="S163" s="380">
        <f>IFERROR(IF(AND(S$118&gt;'Financing Schedule'!$G15,S$118&lt;='Financing Schedule'!$G15+'Financing Schedule'!$L15),('Financing Schedule'!$K15/12)*('Financing Schedule'!$J15-('Financing Schedule'!$I15*(S$118-'Financing Schedule'!$G15-1))),0),0)</f>
        <v>0</v>
      </c>
      <c r="T163" s="417">
        <f t="shared" si="65"/>
        <v>0</v>
      </c>
    </row>
    <row r="164" spans="2:20" x14ac:dyDescent="0.2">
      <c r="B164" s="428"/>
      <c r="C164" t="s">
        <v>166</v>
      </c>
      <c r="D164" s="7"/>
      <c r="E164" s="7"/>
      <c r="F164" s="7"/>
      <c r="G164" s="5"/>
      <c r="H164" s="379">
        <f>IFERROR(IF(AND(H$118&gt;'Financing Schedule'!$G16,H$118&lt;='Financing Schedule'!$G16+'Financing Schedule'!$L16),('Financing Schedule'!$K16/12)*('Financing Schedule'!$J16-('Financing Schedule'!$I16*(H$118-'Financing Schedule'!$G16-1))),0),0)</f>
        <v>0</v>
      </c>
      <c r="I164" s="380">
        <f>IFERROR(IF(AND(I$118&gt;'Financing Schedule'!$G16,I$118&lt;='Financing Schedule'!$G16+'Financing Schedule'!$L16),('Financing Schedule'!$K16/12)*('Financing Schedule'!$J16-('Financing Schedule'!$I16*(I$118-'Financing Schedule'!$G16-1))),0),0)</f>
        <v>0</v>
      </c>
      <c r="J164" s="380">
        <f>IFERROR(IF(AND(J$118&gt;'Financing Schedule'!$G16,J$118&lt;='Financing Schedule'!$G16+'Financing Schedule'!$L16),('Financing Schedule'!$K16/12)*('Financing Schedule'!$J16-('Financing Schedule'!$I16*(J$118-'Financing Schedule'!$G16-1))),0),0)</f>
        <v>0</v>
      </c>
      <c r="K164" s="380">
        <f>IFERROR(IF(AND(K$118&gt;'Financing Schedule'!$G16,K$118&lt;='Financing Schedule'!$G16+'Financing Schedule'!$L16),('Financing Schedule'!$K16/12)*('Financing Schedule'!$J16-('Financing Schedule'!$I16*(K$118-'Financing Schedule'!$G16-1))),0),0)</f>
        <v>0</v>
      </c>
      <c r="L164" s="380">
        <f>IFERROR(IF(AND(L$118&gt;'Financing Schedule'!$G16,L$118&lt;='Financing Schedule'!$G16+'Financing Schedule'!$L16),('Financing Schedule'!$K16/12)*('Financing Schedule'!$J16-('Financing Schedule'!$I16*(L$118-'Financing Schedule'!$G16-1))),0),0)</f>
        <v>0</v>
      </c>
      <c r="M164" s="380">
        <f>IFERROR(IF(AND(M$118&gt;'Financing Schedule'!$G16,M$118&lt;='Financing Schedule'!$G16+'Financing Schedule'!$L16),('Financing Schedule'!$K16/12)*('Financing Schedule'!$J16-('Financing Schedule'!$I16*(M$118-'Financing Schedule'!$G16-1))),0),0)</f>
        <v>0</v>
      </c>
      <c r="N164" s="380">
        <f>IFERROR(IF(AND(N$118&gt;'Financing Schedule'!$G16,N$118&lt;='Financing Schedule'!$G16+'Financing Schedule'!$L16),('Financing Schedule'!$K16/12)*('Financing Schedule'!$J16-('Financing Schedule'!$I16*(N$118-'Financing Schedule'!$G16-1))),0),0)</f>
        <v>0</v>
      </c>
      <c r="O164" s="380">
        <f>IFERROR(IF(AND(O$118&gt;'Financing Schedule'!$G16,O$118&lt;='Financing Schedule'!$G16+'Financing Schedule'!$L16),('Financing Schedule'!$K16/12)*('Financing Schedule'!$J16-('Financing Schedule'!$I16*(O$118-'Financing Schedule'!$G16-1))),0),0)</f>
        <v>0</v>
      </c>
      <c r="P164" s="380">
        <f>IFERROR(IF(AND(P$118&gt;'Financing Schedule'!$G16,P$118&lt;='Financing Schedule'!$G16+'Financing Schedule'!$L16),('Financing Schedule'!$K16/12)*('Financing Schedule'!$J16-('Financing Schedule'!$I16*(P$118-'Financing Schedule'!$G16-1))),0),0)</f>
        <v>0</v>
      </c>
      <c r="Q164" s="380">
        <f>IFERROR(IF(AND(Q$118&gt;'Financing Schedule'!$G16,Q$118&lt;='Financing Schedule'!$G16+'Financing Schedule'!$L16),('Financing Schedule'!$K16/12)*('Financing Schedule'!$J16-('Financing Schedule'!$I16*(Q$118-'Financing Schedule'!$G16-1))),0),0)</f>
        <v>0</v>
      </c>
      <c r="R164" s="380">
        <f>IFERROR(IF(AND(R$118&gt;'Financing Schedule'!$G16,R$118&lt;='Financing Schedule'!$G16+'Financing Schedule'!$L16),('Financing Schedule'!$K16/12)*('Financing Schedule'!$J16-('Financing Schedule'!$I16*(R$118-'Financing Schedule'!$G16-1))),0),0)</f>
        <v>0</v>
      </c>
      <c r="S164" s="380">
        <f>IFERROR(IF(AND(S$118&gt;'Financing Schedule'!$G16,S$118&lt;='Financing Schedule'!$G16+'Financing Schedule'!$L16),('Financing Schedule'!$K16/12)*('Financing Schedule'!$J16-('Financing Schedule'!$I16*(S$118-'Financing Schedule'!$G16-1))),0),0)</f>
        <v>0</v>
      </c>
      <c r="T164" s="417">
        <f t="shared" si="65"/>
        <v>0</v>
      </c>
    </row>
    <row r="165" spans="2:20" ht="17" thickBot="1" x14ac:dyDescent="0.25">
      <c r="B165" s="428"/>
      <c r="C165" t="s">
        <v>167</v>
      </c>
      <c r="D165" s="7"/>
      <c r="E165" s="7"/>
      <c r="F165" s="7"/>
      <c r="G165" s="5"/>
      <c r="H165" s="379">
        <f>IFERROR(IF(AND(H$118&gt;'Financing Schedule'!$G17,H$118&lt;='Financing Schedule'!$G17+'Financing Schedule'!$L17),('Financing Schedule'!$K17/12)*('Financing Schedule'!$J17-('Financing Schedule'!$I17*(H$118-'Financing Schedule'!$G17-1))),0),0)</f>
        <v>0</v>
      </c>
      <c r="I165" s="380">
        <f>IFERROR(IF(AND(I$118&gt;'Financing Schedule'!$G17,I$118&lt;='Financing Schedule'!$G17+'Financing Schedule'!$L17),('Financing Schedule'!$K17/12)*('Financing Schedule'!$J17-('Financing Schedule'!$I17*(I$118-'Financing Schedule'!$G17-1))),0),0)</f>
        <v>0</v>
      </c>
      <c r="J165" s="380">
        <f>IFERROR(IF(AND(J$118&gt;'Financing Schedule'!$G17,J$118&lt;='Financing Schedule'!$G17+'Financing Schedule'!$L17),('Financing Schedule'!$K17/12)*('Financing Schedule'!$J17-('Financing Schedule'!$I17*(J$118-'Financing Schedule'!$G17-1))),0),0)</f>
        <v>0</v>
      </c>
      <c r="K165" s="380">
        <f>IFERROR(IF(AND(K$118&gt;'Financing Schedule'!$G17,K$118&lt;='Financing Schedule'!$G17+'Financing Schedule'!$L17),('Financing Schedule'!$K17/12)*('Financing Schedule'!$J17-('Financing Schedule'!$I17*(K$118-'Financing Schedule'!$G17-1))),0),0)</f>
        <v>0</v>
      </c>
      <c r="L165" s="380">
        <f>IFERROR(IF(AND(L$118&gt;'Financing Schedule'!$G17,L$118&lt;='Financing Schedule'!$G17+'Financing Schedule'!$L17),('Financing Schedule'!$K17/12)*('Financing Schedule'!$J17-('Financing Schedule'!$I17*(L$118-'Financing Schedule'!$G17-1))),0),0)</f>
        <v>0</v>
      </c>
      <c r="M165" s="380">
        <f>IFERROR(IF(AND(M$118&gt;'Financing Schedule'!$G17,M$118&lt;='Financing Schedule'!$G17+'Financing Schedule'!$L17),('Financing Schedule'!$K17/12)*('Financing Schedule'!$J17-('Financing Schedule'!$I17*(M$118-'Financing Schedule'!$G17-1))),0),0)</f>
        <v>0</v>
      </c>
      <c r="N165" s="380">
        <f>IFERROR(IF(AND(N$118&gt;'Financing Schedule'!$G17,N$118&lt;='Financing Schedule'!$G17+'Financing Schedule'!$L17),('Financing Schedule'!$K17/12)*('Financing Schedule'!$J17-('Financing Schedule'!$I17*(N$118-'Financing Schedule'!$G17-1))),0),0)</f>
        <v>0</v>
      </c>
      <c r="O165" s="380">
        <f>IFERROR(IF(AND(O$118&gt;'Financing Schedule'!$G17,O$118&lt;='Financing Schedule'!$G17+'Financing Schedule'!$L17),('Financing Schedule'!$K17/12)*('Financing Schedule'!$J17-('Financing Schedule'!$I17*(O$118-'Financing Schedule'!$G17-1))),0),0)</f>
        <v>0</v>
      </c>
      <c r="P165" s="380">
        <f>IFERROR(IF(AND(P$118&gt;'Financing Schedule'!$G17,P$118&lt;='Financing Schedule'!$G17+'Financing Schedule'!$L17),('Financing Schedule'!$K17/12)*('Financing Schedule'!$J17-('Financing Schedule'!$I17*(P$118-'Financing Schedule'!$G17-1))),0),0)</f>
        <v>0</v>
      </c>
      <c r="Q165" s="380">
        <f>IFERROR(IF(AND(Q$118&gt;'Financing Schedule'!$G17,Q$118&lt;='Financing Schedule'!$G17+'Financing Schedule'!$L17),('Financing Schedule'!$K17/12)*('Financing Schedule'!$J17-('Financing Schedule'!$I17*(Q$118-'Financing Schedule'!$G17-1))),0),0)</f>
        <v>0</v>
      </c>
      <c r="R165" s="380">
        <f>IFERROR(IF(AND(R$118&gt;'Financing Schedule'!$G17,R$118&lt;='Financing Schedule'!$G17+'Financing Schedule'!$L17),('Financing Schedule'!$K17/12)*('Financing Schedule'!$J17-('Financing Schedule'!$I17*(R$118-'Financing Schedule'!$G17-1))),0),0)</f>
        <v>0</v>
      </c>
      <c r="S165" s="380">
        <f>IFERROR(IF(AND(S$118&gt;'Financing Schedule'!$G17,S$118&lt;='Financing Schedule'!$G17+'Financing Schedule'!$L17),('Financing Schedule'!$K17/12)*('Financing Schedule'!$J17-('Financing Schedule'!$I17*(S$118-'Financing Schedule'!$G17-1))),0),0)</f>
        <v>0</v>
      </c>
      <c r="T165" s="417">
        <f t="shared" si="65"/>
        <v>0</v>
      </c>
    </row>
    <row r="166" spans="2:20" ht="17" thickTop="1" x14ac:dyDescent="0.2">
      <c r="B166" s="418" t="s">
        <v>118</v>
      </c>
      <c r="C166" s="419"/>
      <c r="D166" s="419"/>
      <c r="E166" s="419"/>
      <c r="F166" s="419"/>
      <c r="G166" s="420"/>
      <c r="H166" s="421">
        <f>SUM(H160:H165)</f>
        <v>0</v>
      </c>
      <c r="I166" s="422">
        <f t="shared" ref="I166:S166" si="66">SUM(I160:I165)</f>
        <v>0</v>
      </c>
      <c r="J166" s="422">
        <f t="shared" si="66"/>
        <v>0</v>
      </c>
      <c r="K166" s="422">
        <f t="shared" si="66"/>
        <v>0</v>
      </c>
      <c r="L166" s="422">
        <f t="shared" si="66"/>
        <v>0</v>
      </c>
      <c r="M166" s="422">
        <f t="shared" si="66"/>
        <v>0</v>
      </c>
      <c r="N166" s="422">
        <f t="shared" si="66"/>
        <v>0</v>
      </c>
      <c r="O166" s="422">
        <f t="shared" si="66"/>
        <v>0</v>
      </c>
      <c r="P166" s="422">
        <f t="shared" si="66"/>
        <v>0</v>
      </c>
      <c r="Q166" s="422">
        <f t="shared" si="66"/>
        <v>0</v>
      </c>
      <c r="R166" s="422">
        <f t="shared" si="66"/>
        <v>0</v>
      </c>
      <c r="S166" s="422">
        <f t="shared" si="66"/>
        <v>0</v>
      </c>
      <c r="T166" s="423">
        <f t="shared" si="65"/>
        <v>0</v>
      </c>
    </row>
    <row r="167" spans="2:20" x14ac:dyDescent="0.2">
      <c r="B167" s="308"/>
      <c r="C167" s="5"/>
      <c r="D167" s="5"/>
      <c r="E167" s="54"/>
      <c r="F167" s="36"/>
      <c r="G167" s="36"/>
      <c r="H167" s="379"/>
      <c r="I167" s="380"/>
      <c r="J167" s="380"/>
      <c r="K167" s="380"/>
      <c r="L167" s="380"/>
      <c r="M167" s="380"/>
      <c r="N167" s="380"/>
      <c r="O167" s="380"/>
      <c r="P167" s="380"/>
      <c r="Q167" s="380"/>
      <c r="R167" s="380"/>
      <c r="S167" s="380"/>
      <c r="T167" s="417"/>
    </row>
    <row r="168" spans="2:20" x14ac:dyDescent="0.2">
      <c r="B168" s="307" t="s">
        <v>306</v>
      </c>
      <c r="D168" s="5"/>
      <c r="E168" s="55" t="s">
        <v>293</v>
      </c>
      <c r="F168" s="497" t="s">
        <v>304</v>
      </c>
      <c r="G168" s="497"/>
      <c r="H168" s="379"/>
      <c r="I168" s="380"/>
      <c r="J168" s="380"/>
      <c r="K168" s="380"/>
      <c r="L168" s="380"/>
      <c r="M168" s="380"/>
      <c r="N168" s="380"/>
      <c r="O168" s="380"/>
      <c r="P168" s="380"/>
      <c r="Q168" s="380"/>
      <c r="R168" s="380"/>
      <c r="S168" s="380"/>
      <c r="T168" s="417"/>
    </row>
    <row r="169" spans="2:20" x14ac:dyDescent="0.2">
      <c r="B169" s="428"/>
      <c r="D169" t="s">
        <v>33</v>
      </c>
      <c r="E169" s="54"/>
      <c r="F169" s="497"/>
      <c r="G169" s="497"/>
      <c r="H169" s="379"/>
      <c r="I169" s="380"/>
      <c r="J169" s="380"/>
      <c r="K169" s="380"/>
      <c r="L169" s="380"/>
      <c r="M169" s="380"/>
      <c r="N169" s="380"/>
      <c r="O169" s="380"/>
      <c r="P169" s="380"/>
      <c r="Q169" s="380"/>
      <c r="R169" s="380"/>
      <c r="S169" s="380"/>
      <c r="T169" s="417"/>
    </row>
    <row r="170" spans="2:20" x14ac:dyDescent="0.2">
      <c r="B170" s="308"/>
      <c r="C170" s="496" t="str">
        <f>"Sales Tax on "&amp;$B6&amp;" Line"</f>
        <v>Sales Tax on Product Revenue Line</v>
      </c>
      <c r="D170" s="454">
        <f>'Year 4'!D170:D171</f>
        <v>0.02</v>
      </c>
      <c r="E170" s="453" t="str">
        <f>'Year 4'!E170:E171</f>
        <v>Monthly</v>
      </c>
      <c r="F170" s="453">
        <f>IF('Year 4'!F170:F171="","",'Year 1'!F170:F171+'Year 4'!$S$118)</f>
        <v>52</v>
      </c>
      <c r="G170" s="15" t="s">
        <v>303</v>
      </c>
      <c r="H170" s="379">
        <f>IF($E170="n.a.",0,$D170*H$12+IF(H171=0,'Year 4'!S170,0))</f>
        <v>780</v>
      </c>
      <c r="I170" s="380">
        <f>IF($E170="n.a.",0,$D170*I$12+IF(I171=0,H170,0))</f>
        <v>806.4</v>
      </c>
      <c r="J170" s="380">
        <f t="shared" ref="J170:S170" si="67">IF($E170="n.a.",0,$D170*J$12+IF(J171=0,I170,0))</f>
        <v>830.4</v>
      </c>
      <c r="K170" s="380">
        <f t="shared" si="67"/>
        <v>856.80000000000007</v>
      </c>
      <c r="L170" s="380">
        <f t="shared" si="67"/>
        <v>880.80000000000007</v>
      </c>
      <c r="M170" s="380">
        <f t="shared" si="67"/>
        <v>907.2</v>
      </c>
      <c r="N170" s="380">
        <f t="shared" si="67"/>
        <v>931.2</v>
      </c>
      <c r="O170" s="380">
        <f t="shared" si="67"/>
        <v>957.6</v>
      </c>
      <c r="P170" s="380">
        <f t="shared" si="67"/>
        <v>981.6</v>
      </c>
      <c r="Q170" s="380">
        <f t="shared" si="67"/>
        <v>1008</v>
      </c>
      <c r="R170" s="380">
        <f t="shared" si="67"/>
        <v>1032</v>
      </c>
      <c r="S170" s="380">
        <f t="shared" si="67"/>
        <v>1058.4000000000001</v>
      </c>
      <c r="T170" s="417">
        <f>SUM(H170:S170)</f>
        <v>11030.4</v>
      </c>
    </row>
    <row r="171" spans="2:20" x14ac:dyDescent="0.2">
      <c r="B171" s="308"/>
      <c r="C171" s="496"/>
      <c r="D171" s="5"/>
      <c r="E171" s="54"/>
      <c r="F171" s="36"/>
      <c r="G171" s="15" t="s">
        <v>293</v>
      </c>
      <c r="H171" s="379">
        <f>IF($E170="Monthly",'Year 4'!S170,IF($E170="Quarterly",IF(AND($E170="Quarterly",OR(H$118=((RIGHT(LEFT($E$3,6),1)-1)*12)+1,H$118=((RIGHT(LEFT($E$3,6),1)-1)*12)+4,H$118=((RIGHT(LEFT($E$3,6),1)-1)*12)+7,H$118=((RIGHT(LEFT($E$3,6),1)-1)*12)+10)),'Year 4'!S170,0),IF(AND($E170="Yearly",$F170=H$118),'Year 4'!S170,0)))</f>
        <v>756</v>
      </c>
      <c r="I171" s="380">
        <f t="shared" ref="I171:S171" si="68">IF($E170="Monthly",H170,IF($E170="Quarterly",IF(AND($E170="Quarterly",OR(I$118=((RIGHT(LEFT($E$3,6),1)-1)*12)+1,I$118=((RIGHT(LEFT($E$3,6),1)-1)*12)+4,I$118=((RIGHT(LEFT($E$3,6),1)-1)*12)+7,I$118=((RIGHT(LEFT($E$3,6),1)-1)*12)+10)),H170,0),IF(AND($E170="Yearly",$F170=I$118),H170,0)))</f>
        <v>780</v>
      </c>
      <c r="J171" s="380">
        <f t="shared" si="68"/>
        <v>806.4</v>
      </c>
      <c r="K171" s="380">
        <f t="shared" si="68"/>
        <v>830.4</v>
      </c>
      <c r="L171" s="380">
        <f t="shared" si="68"/>
        <v>856.80000000000007</v>
      </c>
      <c r="M171" s="380">
        <f t="shared" si="68"/>
        <v>880.80000000000007</v>
      </c>
      <c r="N171" s="380">
        <f t="shared" si="68"/>
        <v>907.2</v>
      </c>
      <c r="O171" s="380">
        <f t="shared" si="68"/>
        <v>931.2</v>
      </c>
      <c r="P171" s="380">
        <f t="shared" si="68"/>
        <v>957.6</v>
      </c>
      <c r="Q171" s="380">
        <f t="shared" si="68"/>
        <v>981.6</v>
      </c>
      <c r="R171" s="380">
        <f t="shared" si="68"/>
        <v>1008</v>
      </c>
      <c r="S171" s="380">
        <f t="shared" si="68"/>
        <v>1032</v>
      </c>
      <c r="T171" s="417">
        <f t="shared" ref="T171:T177" si="69">SUM(H171:S171)</f>
        <v>10728</v>
      </c>
    </row>
    <row r="172" spans="2:20" x14ac:dyDescent="0.2">
      <c r="B172" s="308"/>
      <c r="C172" s="496" t="str">
        <f>"Sales Tax on "&amp;$B14&amp;" Line"</f>
        <v>Sales Tax on Service Revenue Line</v>
      </c>
      <c r="D172" s="454">
        <f>'Year 4'!D172:D173</f>
        <v>0.01</v>
      </c>
      <c r="E172" s="453" t="str">
        <f>'Year 4'!E172:E173</f>
        <v>n.a.</v>
      </c>
      <c r="F172" s="453" t="str">
        <f>IF('Year 4'!F172:F173="","",'Year 1'!F172:F173+'Year 4'!$S$118)</f>
        <v/>
      </c>
      <c r="G172" s="15" t="s">
        <v>303</v>
      </c>
      <c r="H172" s="379">
        <f>IF($E172="n.a.",0,$D172*H$20+IF(H173=0,'Year 4'!S172,0))</f>
        <v>0</v>
      </c>
      <c r="I172" s="380">
        <f>IF($E172="n.a.",0,$D172*I$20+IF(I173=0,H172,0))</f>
        <v>0</v>
      </c>
      <c r="J172" s="380">
        <f t="shared" ref="J172:S172" si="70">IF($E172="n.a.",0,$D172*J$20+IF(J173=0,I172,0))</f>
        <v>0</v>
      </c>
      <c r="K172" s="380">
        <f t="shared" si="70"/>
        <v>0</v>
      </c>
      <c r="L172" s="380">
        <f t="shared" si="70"/>
        <v>0</v>
      </c>
      <c r="M172" s="380">
        <f t="shared" si="70"/>
        <v>0</v>
      </c>
      <c r="N172" s="380">
        <f t="shared" si="70"/>
        <v>0</v>
      </c>
      <c r="O172" s="380">
        <f t="shared" si="70"/>
        <v>0</v>
      </c>
      <c r="P172" s="380">
        <f t="shared" si="70"/>
        <v>0</v>
      </c>
      <c r="Q172" s="380">
        <f t="shared" si="70"/>
        <v>0</v>
      </c>
      <c r="R172" s="380">
        <f t="shared" si="70"/>
        <v>0</v>
      </c>
      <c r="S172" s="380">
        <f t="shared" si="70"/>
        <v>0</v>
      </c>
      <c r="T172" s="417">
        <f t="shared" si="69"/>
        <v>0</v>
      </c>
    </row>
    <row r="173" spans="2:20" x14ac:dyDescent="0.2">
      <c r="B173" s="308"/>
      <c r="C173" s="496"/>
      <c r="D173" s="5"/>
      <c r="E173" s="54"/>
      <c r="F173" s="36"/>
      <c r="G173" s="15" t="s">
        <v>293</v>
      </c>
      <c r="H173" s="379">
        <f>IF($E172="Monthly",'Year 4'!S172,IF($E172="Quarterly",IF(AND($E172="Quarterly",OR(H$118=((RIGHT(LEFT($E$3,6),1)-1)*12)+1,H$118=((RIGHT(LEFT($E$3,6),1)-1)*12)+4,H$118=((RIGHT(LEFT($E$3,6),1)-1)*12)+7,H$118=((RIGHT(LEFT($E$3,6),1)-1)*12)+10)),'Year 4'!S172,0),IF(AND($E172="Yearly",$F172=H$118),'Year 4'!S172,0)))</f>
        <v>0</v>
      </c>
      <c r="I173" s="380">
        <f t="shared" ref="I173:S173" si="71">IF($E172="Monthly",H172,IF($E172="Quarterly",IF(AND($E172="Quarterly",OR(I$118=((RIGHT(LEFT($E$3,6),1)-1)*12)+1,I$118=((RIGHT(LEFT($E$3,6),1)-1)*12)+4,I$118=((RIGHT(LEFT($E$3,6),1)-1)*12)+7,I$118=((RIGHT(LEFT($E$3,6),1)-1)*12)+10)),H172,0),IF(AND($E172="Yearly",$F172=I$118),H172,0)))</f>
        <v>0</v>
      </c>
      <c r="J173" s="380">
        <f t="shared" si="71"/>
        <v>0</v>
      </c>
      <c r="K173" s="380">
        <f t="shared" si="71"/>
        <v>0</v>
      </c>
      <c r="L173" s="380">
        <f t="shared" si="71"/>
        <v>0</v>
      </c>
      <c r="M173" s="380">
        <f t="shared" si="71"/>
        <v>0</v>
      </c>
      <c r="N173" s="380">
        <f t="shared" si="71"/>
        <v>0</v>
      </c>
      <c r="O173" s="380">
        <f t="shared" si="71"/>
        <v>0</v>
      </c>
      <c r="P173" s="380">
        <f t="shared" si="71"/>
        <v>0</v>
      </c>
      <c r="Q173" s="380">
        <f t="shared" si="71"/>
        <v>0</v>
      </c>
      <c r="R173" s="380">
        <f t="shared" si="71"/>
        <v>0</v>
      </c>
      <c r="S173" s="380">
        <f t="shared" si="71"/>
        <v>0</v>
      </c>
      <c r="T173" s="417">
        <f t="shared" si="69"/>
        <v>0</v>
      </c>
    </row>
    <row r="174" spans="2:20" x14ac:dyDescent="0.2">
      <c r="B174" s="308"/>
      <c r="C174" s="496" t="str">
        <f>"Sales Tax on "&amp;$B22&amp;" Line"</f>
        <v>Sales Tax on Billable Hours Revenue Line</v>
      </c>
      <c r="D174" s="454">
        <f>'Year 4'!D174:D175</f>
        <v>0.01</v>
      </c>
      <c r="E174" s="453" t="str">
        <f>'Year 4'!E174:E175</f>
        <v>Yearly</v>
      </c>
      <c r="F174" s="453">
        <f>IF('Year 4'!F174:F175="","",'Year 1'!F174:F175+'Year 4'!$S$118)</f>
        <v>51</v>
      </c>
      <c r="G174" s="15" t="s">
        <v>303</v>
      </c>
      <c r="H174" s="379">
        <f>IF($E174="n.a.",0,$D174*H$28+IF(H175=0,'Year 4'!S174,0))</f>
        <v>3459.75</v>
      </c>
      <c r="I174" s="380">
        <f>IF($E174="n.a.",0,$D174*I$28+IF(I175=0,H174,0))</f>
        <v>3854.25</v>
      </c>
      <c r="J174" s="380">
        <f t="shared" ref="J174:S174" si="72">IF($E174="n.a.",0,$D174*J$28+IF(J175=0,I174,0))</f>
        <v>412.5</v>
      </c>
      <c r="K174" s="380">
        <f t="shared" si="72"/>
        <v>843</v>
      </c>
      <c r="L174" s="380">
        <f t="shared" si="72"/>
        <v>1291.5</v>
      </c>
      <c r="M174" s="380">
        <f t="shared" si="72"/>
        <v>1758</v>
      </c>
      <c r="N174" s="380">
        <f t="shared" si="72"/>
        <v>2242.5</v>
      </c>
      <c r="O174" s="380">
        <f t="shared" si="72"/>
        <v>2745</v>
      </c>
      <c r="P174" s="380">
        <f t="shared" si="72"/>
        <v>3265.5</v>
      </c>
      <c r="Q174" s="380">
        <f t="shared" si="72"/>
        <v>3804</v>
      </c>
      <c r="R174" s="380">
        <f t="shared" si="72"/>
        <v>4360.5</v>
      </c>
      <c r="S174" s="380">
        <f t="shared" si="72"/>
        <v>4935.3</v>
      </c>
      <c r="T174" s="417">
        <f t="shared" si="69"/>
        <v>32971.800000000003</v>
      </c>
    </row>
    <row r="175" spans="2:20" x14ac:dyDescent="0.2">
      <c r="B175" s="308"/>
      <c r="C175" s="496"/>
      <c r="D175" s="5"/>
      <c r="E175" s="54"/>
      <c r="F175" s="36"/>
      <c r="G175" s="15" t="s">
        <v>293</v>
      </c>
      <c r="H175" s="379">
        <f>IF($E174="Monthly",'Year 4'!S174,IF($E174="Quarterly",IF(AND($E174="Quarterly",OR(H$118=((RIGHT(LEFT($E$3,6),1)-1)*12)+1,H$118=((RIGHT(LEFT($E$3,6),1)-1)*12)+4,H$118=((RIGHT(LEFT($E$3,6),1)-1)*12)+7,H$118=((RIGHT(LEFT($E$3,6),1)-1)*12)+10)),'Year 4'!S174,0),IF(AND($E174="Yearly",$F174=H$118),'Year 4'!S174,0)))</f>
        <v>0</v>
      </c>
      <c r="I175" s="380">
        <f t="shared" ref="I175:S175" si="73">IF($E174="Monthly",H174,IF($E174="Quarterly",IF(AND($E174="Quarterly",OR(I$118=((RIGHT(LEFT($E$3,6),1)-1)*12)+1,I$118=((RIGHT(LEFT($E$3,6),1)-1)*12)+4,I$118=((RIGHT(LEFT($E$3,6),1)-1)*12)+7,I$118=((RIGHT(LEFT($E$3,6),1)-1)*12)+10)),H174,0),IF(AND($E174="Yearly",$F174=I$118),H174,0)))</f>
        <v>0</v>
      </c>
      <c r="J175" s="380">
        <f t="shared" si="73"/>
        <v>3854.25</v>
      </c>
      <c r="K175" s="380">
        <f t="shared" si="73"/>
        <v>0</v>
      </c>
      <c r="L175" s="380">
        <f t="shared" si="73"/>
        <v>0</v>
      </c>
      <c r="M175" s="380">
        <f t="shared" si="73"/>
        <v>0</v>
      </c>
      <c r="N175" s="380">
        <f t="shared" si="73"/>
        <v>0</v>
      </c>
      <c r="O175" s="380">
        <f t="shared" si="73"/>
        <v>0</v>
      </c>
      <c r="P175" s="380">
        <f t="shared" si="73"/>
        <v>0</v>
      </c>
      <c r="Q175" s="380">
        <f t="shared" si="73"/>
        <v>0</v>
      </c>
      <c r="R175" s="380">
        <f t="shared" si="73"/>
        <v>0</v>
      </c>
      <c r="S175" s="380">
        <f t="shared" si="73"/>
        <v>0</v>
      </c>
      <c r="T175" s="417">
        <f t="shared" si="69"/>
        <v>3854.25</v>
      </c>
    </row>
    <row r="176" spans="2:20" x14ac:dyDescent="0.2">
      <c r="B176" s="308"/>
      <c r="C176" s="496" t="str">
        <f>"Sales Tax on "&amp;$B30&amp;" Line"</f>
        <v>Sales Tax on Subscription Revenue Line</v>
      </c>
      <c r="D176" s="454">
        <f>'Year 4'!D176:D177</f>
        <v>0</v>
      </c>
      <c r="E176" s="453" t="str">
        <f>'Year 4'!E176:E177</f>
        <v>Quarterly</v>
      </c>
      <c r="F176" s="453" t="str">
        <f>IF('Year 4'!F176:F177="","",'Year 1'!F176:F177+'Year 4'!$S$118)</f>
        <v/>
      </c>
      <c r="G176" s="15" t="s">
        <v>303</v>
      </c>
      <c r="H176" s="379">
        <f>IF($E176="n.a.",0,$D176*H$39+IF(H177=0,'Year 4'!S176,0))</f>
        <v>0</v>
      </c>
      <c r="I176" s="380">
        <f>IF($E176="n.a.",0,$D176*I$39+IF(I177=0,H176,0))</f>
        <v>0</v>
      </c>
      <c r="J176" s="380">
        <f t="shared" ref="J176:S176" si="74">IF($E176="n.a.",0,$D176*J$39+IF(J177=0,I176,0))</f>
        <v>0</v>
      </c>
      <c r="K176" s="380">
        <f t="shared" si="74"/>
        <v>0</v>
      </c>
      <c r="L176" s="380">
        <f t="shared" si="74"/>
        <v>0</v>
      </c>
      <c r="M176" s="380">
        <f t="shared" si="74"/>
        <v>0</v>
      </c>
      <c r="N176" s="380">
        <f t="shared" si="74"/>
        <v>0</v>
      </c>
      <c r="O176" s="380">
        <f t="shared" si="74"/>
        <v>0</v>
      </c>
      <c r="P176" s="380">
        <f t="shared" si="74"/>
        <v>0</v>
      </c>
      <c r="Q176" s="380">
        <f t="shared" si="74"/>
        <v>0</v>
      </c>
      <c r="R176" s="380">
        <f t="shared" si="74"/>
        <v>0</v>
      </c>
      <c r="S176" s="380">
        <f t="shared" si="74"/>
        <v>0</v>
      </c>
      <c r="T176" s="417">
        <f t="shared" si="69"/>
        <v>0</v>
      </c>
    </row>
    <row r="177" spans="2:20" x14ac:dyDescent="0.2">
      <c r="B177" s="308"/>
      <c r="C177" s="496"/>
      <c r="D177" s="5"/>
      <c r="E177" s="54"/>
      <c r="F177" s="36"/>
      <c r="G177" s="15" t="s">
        <v>293</v>
      </c>
      <c r="H177" s="379">
        <f>IF($E176="Monthly",'Year 4'!S176,IF($E176="Quarterly",IF(AND($E176="Quarterly",OR(H$118=((RIGHT(LEFT($E$3,6),1)-1)*12)+1,H$118=((RIGHT(LEFT($E$3,6),1)-1)*12)+4,H$118=((RIGHT(LEFT($E$3,6),1)-1)*12)+7,H$118=((RIGHT(LEFT($E$3,6),1)-1)*12)+10)),'Year 4'!S176,0),IF(AND($E176="Yearly",$F176=H$118),'Year 4'!S176,0)))</f>
        <v>0</v>
      </c>
      <c r="I177" s="380">
        <f t="shared" ref="I177:S177" si="75">IF($E176="Monthly",H176,IF($E176="Quarterly",IF(AND($E176="Quarterly",OR(I$118=((RIGHT(LEFT($E$3,6),1)-1)*12)+1,I$118=((RIGHT(LEFT($E$3,6),1)-1)*12)+4,I$118=((RIGHT(LEFT($E$3,6),1)-1)*12)+7,I$118=((RIGHT(LEFT($E$3,6),1)-1)*12)+10)),H176,0),IF(AND($E176="Yearly",$F176=I$118),H176,0)))</f>
        <v>0</v>
      </c>
      <c r="J177" s="380">
        <f t="shared" si="75"/>
        <v>0</v>
      </c>
      <c r="K177" s="380">
        <f t="shared" si="75"/>
        <v>0</v>
      </c>
      <c r="L177" s="380">
        <f t="shared" si="75"/>
        <v>0</v>
      </c>
      <c r="M177" s="380">
        <f t="shared" si="75"/>
        <v>0</v>
      </c>
      <c r="N177" s="380">
        <f t="shared" si="75"/>
        <v>0</v>
      </c>
      <c r="O177" s="380">
        <f t="shared" si="75"/>
        <v>0</v>
      </c>
      <c r="P177" s="380">
        <f t="shared" si="75"/>
        <v>0</v>
      </c>
      <c r="Q177" s="380">
        <f t="shared" si="75"/>
        <v>0</v>
      </c>
      <c r="R177" s="380">
        <f t="shared" si="75"/>
        <v>0</v>
      </c>
      <c r="S177" s="380">
        <f t="shared" si="75"/>
        <v>0</v>
      </c>
      <c r="T177" s="417">
        <f t="shared" si="69"/>
        <v>0</v>
      </c>
    </row>
    <row r="178" spans="2:20" x14ac:dyDescent="0.2">
      <c r="B178" s="308"/>
      <c r="C178" s="106"/>
      <c r="D178" s="60"/>
      <c r="E178" s="60"/>
      <c r="F178" s="61"/>
      <c r="H178" s="379"/>
      <c r="I178" s="380"/>
      <c r="J178" s="380"/>
      <c r="K178" s="380"/>
      <c r="L178" s="380"/>
      <c r="M178" s="380"/>
      <c r="N178" s="380"/>
      <c r="O178" s="380"/>
      <c r="P178" s="380"/>
      <c r="Q178" s="380"/>
      <c r="R178" s="380"/>
      <c r="S178" s="380"/>
      <c r="T178" s="417"/>
    </row>
    <row r="179" spans="2:20" x14ac:dyDescent="0.2">
      <c r="B179" s="308"/>
      <c r="C179" s="106"/>
      <c r="D179" s="454">
        <f>'Year 4'!D179:D180</f>
        <v>0.24</v>
      </c>
      <c r="E179" s="453" t="str">
        <f>'Year 4'!E179:E180</f>
        <v>Quarterly</v>
      </c>
      <c r="F179" s="453" t="str">
        <f>IF('Year 4'!F179:F180="","",'Year 1'!F179:F180+'Year 4'!$S$118)</f>
        <v/>
      </c>
      <c r="G179" s="15" t="s">
        <v>303</v>
      </c>
      <c r="H179" s="379">
        <f>IF($E179="n.a.",0,$D179*H$157+IF(H$180=0,'Year 4'!S179,IF(H$180&lt;0,'Year 4'!S179+($D179*H$157),0)))</f>
        <v>-127603.94413154815</v>
      </c>
      <c r="I179" s="380">
        <f t="shared" ref="I179:J179" si="76">IF($E179="n.a.",0,$D179*I$157+IF(I$180=0,H$179,IF(I$180&lt;0,H$179+($D179*I$157),0)))</f>
        <v>-123778.30081580032</v>
      </c>
      <c r="J179" s="380">
        <f t="shared" si="76"/>
        <v>-119459.22710005248</v>
      </c>
      <c r="K179" s="380">
        <f>IF($E179="n.a.",0,$D179*K$157+IF(K$180=0,J$179,IF(K$180&lt;0,J$179+($D179*K$157),0)))</f>
        <v>-114622.64618430464</v>
      </c>
      <c r="L179" s="380">
        <f t="shared" ref="L179:S179" si="77">IF($E179="n.a.",0,$D179*L$157+IF(L$180=0,K$179,IF(L$180&lt;0,K$179+($D179*L$157),0)))</f>
        <v>-109294.9132685568</v>
      </c>
      <c r="M179" s="380">
        <f t="shared" si="77"/>
        <v>-103449.67315280896</v>
      </c>
      <c r="N179" s="380">
        <f t="shared" si="77"/>
        <v>-97111.602637061122</v>
      </c>
      <c r="O179" s="380">
        <f t="shared" si="77"/>
        <v>-90256.024921313277</v>
      </c>
      <c r="P179" s="380">
        <f t="shared" si="77"/>
        <v>-82909.33520556544</v>
      </c>
      <c r="Q179" s="380">
        <f t="shared" si="77"/>
        <v>-75045.338289817606</v>
      </c>
      <c r="R179" s="380">
        <f t="shared" si="77"/>
        <v>-66687.91097406976</v>
      </c>
      <c r="S179" s="380">
        <f t="shared" si="77"/>
        <v>-57808.973258321923</v>
      </c>
      <c r="T179" s="417">
        <f>SUM(H179:S179)</f>
        <v>-1168027.8899392204</v>
      </c>
    </row>
    <row r="180" spans="2:20" ht="17" thickBot="1" x14ac:dyDescent="0.25">
      <c r="B180" s="308"/>
      <c r="C180" t="s">
        <v>290</v>
      </c>
      <c r="D180" s="5"/>
      <c r="E180" s="54"/>
      <c r="F180" s="36"/>
      <c r="G180" s="15" t="s">
        <v>293</v>
      </c>
      <c r="H180" s="379">
        <f>IF(H$157&lt;0,0,IF('Year 4'!S179&lt;0,0,IF($E179="Monthly",'Year 4'!S179,IF($E179="Quarterly",IF(AND($E179="Quarterly",OR(H$118=((RIGHT(LEFT($E$3,6),1)-1)*12)+1,H$118=((RIGHT(LEFT($E$3,6),1)-1)*12)+4,H$118=((RIGHT(LEFT($E$3,6),1)-1)*12)+7,H$118=((RIGHT(LEFT($E$3,6),1)-1)*12)+10)),'Year 4'!S179,0),IF(AND($E179="Yearly",$F179=H$118),'Year 4'!S179,0)))))</f>
        <v>0</v>
      </c>
      <c r="I180" s="380">
        <f t="shared" ref="I180:S180" si="78">IF(I$157&lt;0,0,IF(H179&lt;0,0,IF($E179="Monthly",H179,IF($E179="Quarterly",IF(AND($E179="Quarterly",OR(I$118=((RIGHT(LEFT($E$3,6),1)-1)*12)+1,I$118=((RIGHT(LEFT($E$3,6),1)-1)*12)+4,I$118=((RIGHT(LEFT($E$3,6),1)-1)*12)+7,I$118=((RIGHT(LEFT($E$3,6),1)-1)*12)+10)),H179,0),IF(AND($E179="Yearly",$F179=I$118),H179,0)))))</f>
        <v>0</v>
      </c>
      <c r="J180" s="380">
        <f t="shared" si="78"/>
        <v>0</v>
      </c>
      <c r="K180" s="380">
        <f t="shared" si="78"/>
        <v>0</v>
      </c>
      <c r="L180" s="380">
        <f t="shared" si="78"/>
        <v>0</v>
      </c>
      <c r="M180" s="380">
        <f t="shared" si="78"/>
        <v>0</v>
      </c>
      <c r="N180" s="380">
        <f t="shared" si="78"/>
        <v>0</v>
      </c>
      <c r="O180" s="380">
        <f t="shared" si="78"/>
        <v>0</v>
      </c>
      <c r="P180" s="380">
        <f t="shared" si="78"/>
        <v>0</v>
      </c>
      <c r="Q180" s="380">
        <f t="shared" si="78"/>
        <v>0</v>
      </c>
      <c r="R180" s="380">
        <f t="shared" si="78"/>
        <v>0</v>
      </c>
      <c r="S180" s="380">
        <f t="shared" si="78"/>
        <v>0</v>
      </c>
      <c r="T180" s="417">
        <f>SUM(H180:S180)</f>
        <v>0</v>
      </c>
    </row>
    <row r="181" spans="2:20" ht="17" thickTop="1" x14ac:dyDescent="0.2">
      <c r="B181" s="418" t="s">
        <v>305</v>
      </c>
      <c r="C181" s="419"/>
      <c r="D181" s="419"/>
      <c r="E181" s="419"/>
      <c r="F181" s="419"/>
      <c r="G181" s="420"/>
      <c r="H181" s="421">
        <f t="shared" ref="H181:S181" si="79">SUM(H171,H173,H175,H177,H180)</f>
        <v>756</v>
      </c>
      <c r="I181" s="422">
        <f t="shared" si="79"/>
        <v>780</v>
      </c>
      <c r="J181" s="422">
        <f t="shared" si="79"/>
        <v>4660.6499999999996</v>
      </c>
      <c r="K181" s="422">
        <f t="shared" si="79"/>
        <v>830.4</v>
      </c>
      <c r="L181" s="422">
        <f t="shared" si="79"/>
        <v>856.80000000000007</v>
      </c>
      <c r="M181" s="422">
        <f t="shared" si="79"/>
        <v>880.80000000000007</v>
      </c>
      <c r="N181" s="422">
        <f t="shared" si="79"/>
        <v>907.2</v>
      </c>
      <c r="O181" s="422">
        <f t="shared" si="79"/>
        <v>931.2</v>
      </c>
      <c r="P181" s="422">
        <f t="shared" si="79"/>
        <v>957.6</v>
      </c>
      <c r="Q181" s="422">
        <f t="shared" si="79"/>
        <v>981.6</v>
      </c>
      <c r="R181" s="422">
        <f t="shared" si="79"/>
        <v>1008</v>
      </c>
      <c r="S181" s="422">
        <f t="shared" si="79"/>
        <v>1032</v>
      </c>
      <c r="T181" s="423">
        <f>SUM(H181:S181)</f>
        <v>14582.250000000002</v>
      </c>
    </row>
    <row r="182" spans="2:20" ht="17" thickBot="1" x14ac:dyDescent="0.25">
      <c r="B182" s="431"/>
      <c r="E182" s="8"/>
      <c r="F182" s="8"/>
      <c r="H182" s="382"/>
      <c r="I182" s="383"/>
      <c r="J182" s="383"/>
      <c r="K182" s="383"/>
      <c r="L182" s="383"/>
      <c r="M182" s="383"/>
      <c r="N182" s="383"/>
      <c r="O182" s="383"/>
      <c r="P182" s="383"/>
      <c r="Q182" s="383"/>
      <c r="R182" s="383"/>
      <c r="S182" s="383"/>
      <c r="T182" s="425"/>
    </row>
    <row r="183" spans="2:20" ht="17" thickTop="1" x14ac:dyDescent="0.2">
      <c r="B183" s="434" t="s">
        <v>23</v>
      </c>
      <c r="C183" s="237"/>
      <c r="D183" s="237"/>
      <c r="E183" s="237"/>
      <c r="F183" s="237"/>
      <c r="G183" s="237"/>
      <c r="H183" s="239">
        <f t="shared" ref="H183:S183" si="80">H157-H166-H181</f>
        <v>13028.900482282663</v>
      </c>
      <c r="I183" s="240">
        <f t="shared" si="80"/>
        <v>15160.180482282662</v>
      </c>
      <c r="J183" s="240">
        <f t="shared" si="80"/>
        <v>13335.49048228267</v>
      </c>
      <c r="K183" s="240">
        <f t="shared" si="80"/>
        <v>19322.020482282667</v>
      </c>
      <c r="L183" s="240">
        <f t="shared" si="80"/>
        <v>21342.087148949337</v>
      </c>
      <c r="M183" s="240">
        <f t="shared" si="80"/>
        <v>23474.367148949335</v>
      </c>
      <c r="N183" s="240">
        <f t="shared" si="80"/>
        <v>25501.427148949326</v>
      </c>
      <c r="O183" s="240">
        <f t="shared" si="80"/>
        <v>27633.707148949325</v>
      </c>
      <c r="P183" s="240">
        <f t="shared" si="80"/>
        <v>29653.60714894933</v>
      </c>
      <c r="Q183" s="240">
        <f t="shared" si="80"/>
        <v>31785.053815615996</v>
      </c>
      <c r="R183" s="240">
        <f t="shared" si="80"/>
        <v>33814.613815616001</v>
      </c>
      <c r="S183" s="240">
        <f t="shared" si="80"/>
        <v>35963.573815615993</v>
      </c>
      <c r="T183" s="251">
        <f>SUM(H183:S183)</f>
        <v>290015.02912072529</v>
      </c>
    </row>
    <row r="184" spans="2:20" x14ac:dyDescent="0.2">
      <c r="E184" s="8"/>
      <c r="F184" s="8"/>
      <c r="H184" s="382"/>
      <c r="I184" s="383"/>
      <c r="J184" s="383"/>
      <c r="K184" s="383"/>
      <c r="L184" s="383"/>
      <c r="M184" s="383"/>
      <c r="N184" s="383"/>
      <c r="O184" s="383"/>
      <c r="P184" s="383"/>
      <c r="Q184" s="383"/>
      <c r="R184" s="383"/>
      <c r="S184" s="383"/>
      <c r="T184" s="395"/>
    </row>
    <row r="185" spans="2:20" ht="20" x14ac:dyDescent="0.2">
      <c r="B185" s="116" t="s">
        <v>35</v>
      </c>
      <c r="C185" s="327"/>
      <c r="D185" s="327"/>
      <c r="E185" s="327" t="str">
        <f>$E$3</f>
        <v>Year 5 (2024)</v>
      </c>
      <c r="F185" s="327"/>
      <c r="G185" s="327"/>
      <c r="H185" s="360" t="s">
        <v>127</v>
      </c>
      <c r="I185" s="361" t="s">
        <v>128</v>
      </c>
      <c r="J185" s="361" t="s">
        <v>129</v>
      </c>
      <c r="K185" s="361" t="s">
        <v>130</v>
      </c>
      <c r="L185" s="361" t="s">
        <v>131</v>
      </c>
      <c r="M185" s="361" t="s">
        <v>132</v>
      </c>
      <c r="N185" s="361" t="s">
        <v>133</v>
      </c>
      <c r="O185" s="361" t="s">
        <v>134</v>
      </c>
      <c r="P185" s="361" t="s">
        <v>135</v>
      </c>
      <c r="Q185" s="361" t="s">
        <v>136</v>
      </c>
      <c r="R185" s="361" t="s">
        <v>137</v>
      </c>
      <c r="S185" s="361" t="s">
        <v>138</v>
      </c>
      <c r="T185" s="362" t="s">
        <v>179</v>
      </c>
    </row>
    <row r="186" spans="2:20" x14ac:dyDescent="0.2">
      <c r="B186" s="401"/>
      <c r="C186" s="402"/>
      <c r="D186" s="402"/>
      <c r="E186" s="402"/>
      <c r="F186" s="402"/>
      <c r="G186" s="403" t="s">
        <v>57</v>
      </c>
      <c r="H186" s="363">
        <f>H$4</f>
        <v>49</v>
      </c>
      <c r="I186" s="364">
        <f t="shared" ref="I186:S186" si="81">I$4</f>
        <v>50</v>
      </c>
      <c r="J186" s="364">
        <f t="shared" si="81"/>
        <v>51</v>
      </c>
      <c r="K186" s="364">
        <f t="shared" si="81"/>
        <v>52</v>
      </c>
      <c r="L186" s="364">
        <f t="shared" si="81"/>
        <v>53</v>
      </c>
      <c r="M186" s="364">
        <f t="shared" si="81"/>
        <v>54</v>
      </c>
      <c r="N186" s="364">
        <f t="shared" si="81"/>
        <v>55</v>
      </c>
      <c r="O186" s="364">
        <f t="shared" si="81"/>
        <v>56</v>
      </c>
      <c r="P186" s="364">
        <f t="shared" si="81"/>
        <v>57</v>
      </c>
      <c r="Q186" s="364">
        <f t="shared" si="81"/>
        <v>58</v>
      </c>
      <c r="R186" s="364">
        <f t="shared" si="81"/>
        <v>59</v>
      </c>
      <c r="S186" s="364">
        <f t="shared" si="81"/>
        <v>60</v>
      </c>
      <c r="T186" s="405" t="str">
        <f>"Total for " &amp; $E$3</f>
        <v>Total for Year 5 (2024)</v>
      </c>
    </row>
    <row r="187" spans="2:20" x14ac:dyDescent="0.2">
      <c r="B187" s="307" t="s">
        <v>289</v>
      </c>
      <c r="D187" s="8" t="s">
        <v>242</v>
      </c>
      <c r="E187" s="52" t="s">
        <v>241</v>
      </c>
      <c r="G187" s="8"/>
      <c r="H187" s="367"/>
      <c r="I187" s="368"/>
      <c r="J187" s="368"/>
      <c r="K187" s="368"/>
      <c r="L187" s="368"/>
      <c r="M187" s="368"/>
      <c r="N187" s="368"/>
      <c r="O187" s="368"/>
      <c r="P187" s="368"/>
      <c r="Q187" s="368"/>
      <c r="R187" s="368"/>
      <c r="S187" s="368"/>
      <c r="T187" s="427"/>
    </row>
    <row r="188" spans="2:20" x14ac:dyDescent="0.2">
      <c r="B188" s="428"/>
      <c r="C188" t="s">
        <v>238</v>
      </c>
      <c r="D188" s="453">
        <f>'Year 4'!D188</f>
        <v>1</v>
      </c>
      <c r="E188" s="452">
        <v>100000</v>
      </c>
      <c r="G188" s="8"/>
      <c r="H188" s="379">
        <f>IFERROR(INDEX($D188:$F188,MATCH(H$186,$D188,FALSE),2),0)</f>
        <v>0</v>
      </c>
      <c r="I188" s="380">
        <f t="shared" ref="I188:S188" si="82">IFERROR(INDEX($D188:$F188,MATCH(I$186,$D188,FALSE),2),0)</f>
        <v>0</v>
      </c>
      <c r="J188" s="380">
        <f t="shared" si="82"/>
        <v>0</v>
      </c>
      <c r="K188" s="380">
        <f t="shared" si="82"/>
        <v>0</v>
      </c>
      <c r="L188" s="380">
        <f t="shared" si="82"/>
        <v>0</v>
      </c>
      <c r="M188" s="380">
        <f t="shared" si="82"/>
        <v>0</v>
      </c>
      <c r="N188" s="380">
        <f t="shared" si="82"/>
        <v>0</v>
      </c>
      <c r="O188" s="380">
        <f t="shared" si="82"/>
        <v>0</v>
      </c>
      <c r="P188" s="380">
        <f t="shared" si="82"/>
        <v>0</v>
      </c>
      <c r="Q188" s="380">
        <f t="shared" si="82"/>
        <v>0</v>
      </c>
      <c r="R188" s="380">
        <f t="shared" si="82"/>
        <v>0</v>
      </c>
      <c r="S188" s="380">
        <f t="shared" si="82"/>
        <v>0</v>
      </c>
      <c r="T188" s="417">
        <f>SUM(H188:S188)</f>
        <v>0</v>
      </c>
    </row>
    <row r="189" spans="2:20" x14ac:dyDescent="0.2">
      <c r="B189" s="428"/>
      <c r="C189" t="s">
        <v>239</v>
      </c>
      <c r="D189" s="453">
        <f>'Year 4'!D189</f>
        <v>1</v>
      </c>
      <c r="E189" s="452">
        <v>4000000</v>
      </c>
      <c r="G189" s="8"/>
      <c r="H189" s="379">
        <f t="shared" ref="H189:S191" si="83">IFERROR(INDEX($D189:$F189,MATCH(H$186,$D189,FALSE),2),0)</f>
        <v>0</v>
      </c>
      <c r="I189" s="380">
        <f t="shared" si="83"/>
        <v>0</v>
      </c>
      <c r="J189" s="380">
        <f t="shared" si="83"/>
        <v>0</v>
      </c>
      <c r="K189" s="380">
        <f t="shared" si="83"/>
        <v>0</v>
      </c>
      <c r="L189" s="380">
        <f t="shared" si="83"/>
        <v>0</v>
      </c>
      <c r="M189" s="380">
        <f t="shared" si="83"/>
        <v>0</v>
      </c>
      <c r="N189" s="380">
        <f t="shared" si="83"/>
        <v>0</v>
      </c>
      <c r="O189" s="380">
        <f t="shared" si="83"/>
        <v>0</v>
      </c>
      <c r="P189" s="380">
        <f t="shared" si="83"/>
        <v>0</v>
      </c>
      <c r="Q189" s="380">
        <f t="shared" si="83"/>
        <v>0</v>
      </c>
      <c r="R189" s="380">
        <f t="shared" si="83"/>
        <v>0</v>
      </c>
      <c r="S189" s="380">
        <f t="shared" si="83"/>
        <v>0</v>
      </c>
      <c r="T189" s="417">
        <f t="shared" ref="T189:T191" si="84">SUM(H189:S189)</f>
        <v>0</v>
      </c>
    </row>
    <row r="190" spans="2:20" x14ac:dyDescent="0.2">
      <c r="B190" s="428"/>
      <c r="C190" t="s">
        <v>240</v>
      </c>
      <c r="D190" s="453">
        <f>'Year 4'!D190</f>
        <v>6</v>
      </c>
      <c r="E190" s="452">
        <v>23000</v>
      </c>
      <c r="G190" s="8"/>
      <c r="H190" s="379">
        <f t="shared" si="83"/>
        <v>0</v>
      </c>
      <c r="I190" s="380">
        <f t="shared" si="83"/>
        <v>0</v>
      </c>
      <c r="J190" s="380">
        <f t="shared" si="83"/>
        <v>0</v>
      </c>
      <c r="K190" s="380">
        <f t="shared" si="83"/>
        <v>0</v>
      </c>
      <c r="L190" s="380">
        <f t="shared" si="83"/>
        <v>0</v>
      </c>
      <c r="M190" s="380">
        <f t="shared" si="83"/>
        <v>0</v>
      </c>
      <c r="N190" s="380">
        <f t="shared" si="83"/>
        <v>0</v>
      </c>
      <c r="O190" s="380">
        <f t="shared" si="83"/>
        <v>0</v>
      </c>
      <c r="P190" s="380">
        <f t="shared" si="83"/>
        <v>0</v>
      </c>
      <c r="Q190" s="380">
        <f t="shared" si="83"/>
        <v>0</v>
      </c>
      <c r="R190" s="380">
        <f t="shared" si="83"/>
        <v>0</v>
      </c>
      <c r="S190" s="380">
        <f t="shared" si="83"/>
        <v>0</v>
      </c>
      <c r="T190" s="417">
        <f t="shared" si="84"/>
        <v>0</v>
      </c>
    </row>
    <row r="191" spans="2:20" x14ac:dyDescent="0.2">
      <c r="B191" s="428"/>
      <c r="C191" t="s">
        <v>24</v>
      </c>
      <c r="D191" s="453">
        <f>'Year 4'!D191</f>
        <v>2</v>
      </c>
      <c r="E191" s="452">
        <v>20000</v>
      </c>
      <c r="G191" s="8"/>
      <c r="H191" s="379">
        <f t="shared" si="83"/>
        <v>0</v>
      </c>
      <c r="I191" s="380">
        <f t="shared" si="83"/>
        <v>0</v>
      </c>
      <c r="J191" s="380">
        <f t="shared" si="83"/>
        <v>0</v>
      </c>
      <c r="K191" s="380">
        <f t="shared" si="83"/>
        <v>0</v>
      </c>
      <c r="L191" s="380">
        <f t="shared" si="83"/>
        <v>0</v>
      </c>
      <c r="M191" s="380">
        <f t="shared" si="83"/>
        <v>0</v>
      </c>
      <c r="N191" s="380">
        <f t="shared" si="83"/>
        <v>0</v>
      </c>
      <c r="O191" s="380">
        <f t="shared" si="83"/>
        <v>0</v>
      </c>
      <c r="P191" s="380">
        <f t="shared" si="83"/>
        <v>0</v>
      </c>
      <c r="Q191" s="380">
        <f t="shared" si="83"/>
        <v>0</v>
      </c>
      <c r="R191" s="380">
        <f t="shared" si="83"/>
        <v>0</v>
      </c>
      <c r="S191" s="380">
        <f t="shared" si="83"/>
        <v>0</v>
      </c>
      <c r="T191" s="417">
        <f t="shared" si="84"/>
        <v>0</v>
      </c>
    </row>
    <row r="192" spans="2:20" ht="16" customHeight="1" x14ac:dyDescent="0.2">
      <c r="B192" s="428"/>
      <c r="D192" s="37"/>
      <c r="E192" s="53"/>
      <c r="G192" s="8"/>
      <c r="H192" s="367"/>
      <c r="I192" s="368"/>
      <c r="J192" s="368"/>
      <c r="K192" s="396"/>
      <c r="L192" s="368"/>
      <c r="M192" s="368"/>
      <c r="N192" s="397"/>
      <c r="O192" s="368"/>
      <c r="P192" s="368"/>
      <c r="Q192" s="368"/>
      <c r="R192" s="368"/>
      <c r="S192" s="368"/>
      <c r="T192" s="427"/>
    </row>
    <row r="193" spans="2:20" x14ac:dyDescent="0.2">
      <c r="B193" s="307" t="s">
        <v>288</v>
      </c>
      <c r="D193" s="52" t="s">
        <v>241</v>
      </c>
      <c r="E193" s="8" t="s">
        <v>242</v>
      </c>
      <c r="F193" t="s">
        <v>243</v>
      </c>
      <c r="G193" s="8"/>
      <c r="H193" s="367"/>
      <c r="I193" s="368"/>
      <c r="J193" s="368"/>
      <c r="K193" s="368"/>
      <c r="L193" s="368"/>
      <c r="M193" s="368"/>
      <c r="N193" s="368"/>
      <c r="O193" s="368"/>
      <c r="P193" s="368"/>
      <c r="Q193" s="368"/>
      <c r="R193" s="368"/>
      <c r="S193" s="368"/>
      <c r="T193" s="427"/>
    </row>
    <row r="194" spans="2:20" x14ac:dyDescent="0.2">
      <c r="B194" s="308"/>
      <c r="C194" t="s">
        <v>238</v>
      </c>
      <c r="D194" s="452">
        <f>'Year 4'!$D194</f>
        <v>1200</v>
      </c>
      <c r="E194" s="453">
        <f>CEILING('Year 4'!$S$186,$F194)+'Year 4'!$E194-IFERROR(FLOOR('Year 4'!$E194,F194),0)</f>
        <v>50</v>
      </c>
      <c r="F194" s="453">
        <f>'Year 4'!$F194</f>
        <v>7</v>
      </c>
      <c r="H194" s="379">
        <f>IFERROR(IF(INT((H$186-$E194)/$F194)=(H$186-$E194)/$F194,$D194,0),0)</f>
        <v>0</v>
      </c>
      <c r="I194" s="380">
        <f t="shared" ref="I194:S199" si="85">IF(I$186=$E194,$D194,IFERROR(IF(INT((I$186-$E194)/$F194)=(I$186-$E194)/$F194,$D194,0),0))</f>
        <v>1200</v>
      </c>
      <c r="J194" s="380">
        <f t="shared" si="85"/>
        <v>0</v>
      </c>
      <c r="K194" s="380">
        <f t="shared" si="85"/>
        <v>0</v>
      </c>
      <c r="L194" s="380">
        <f t="shared" si="85"/>
        <v>0</v>
      </c>
      <c r="M194" s="380">
        <f t="shared" si="85"/>
        <v>0</v>
      </c>
      <c r="N194" s="380">
        <f t="shared" si="85"/>
        <v>0</v>
      </c>
      <c r="O194" s="380">
        <f t="shared" si="85"/>
        <v>0</v>
      </c>
      <c r="P194" s="380">
        <f t="shared" si="85"/>
        <v>1200</v>
      </c>
      <c r="Q194" s="380">
        <f t="shared" si="85"/>
        <v>0</v>
      </c>
      <c r="R194" s="380">
        <f t="shared" si="85"/>
        <v>0</v>
      </c>
      <c r="S194" s="380">
        <f t="shared" si="85"/>
        <v>0</v>
      </c>
      <c r="T194" s="417">
        <f t="shared" ref="T194:T199" si="86">SUM(H194:S194)</f>
        <v>2400</v>
      </c>
    </row>
    <row r="195" spans="2:20" x14ac:dyDescent="0.2">
      <c r="B195" s="308"/>
      <c r="C195" t="s">
        <v>239</v>
      </c>
      <c r="D195" s="452">
        <f>'Year 4'!$D195</f>
        <v>1000</v>
      </c>
      <c r="E195" s="453">
        <f>CEILING('Year 4'!$S$186,$F195)+'Year 4'!$E195-IFERROR(FLOOR('Year 4'!$E195,F195),0)</f>
        <v>53</v>
      </c>
      <c r="F195" s="453">
        <f>'Year 4'!$F195</f>
        <v>5</v>
      </c>
      <c r="H195" s="379">
        <f t="shared" ref="H195:H199" si="87">IF(H$186=$E195,$D195,IFERROR(IF(INT((H$186-$E195)/$F195)=(H$186-$E195)/$F195,$D195,0),0))</f>
        <v>0</v>
      </c>
      <c r="I195" s="380">
        <f t="shared" si="85"/>
        <v>0</v>
      </c>
      <c r="J195" s="380">
        <f t="shared" si="85"/>
        <v>0</v>
      </c>
      <c r="K195" s="380">
        <f t="shared" si="85"/>
        <v>0</v>
      </c>
      <c r="L195" s="380">
        <f t="shared" si="85"/>
        <v>1000</v>
      </c>
      <c r="M195" s="380">
        <f t="shared" si="85"/>
        <v>0</v>
      </c>
      <c r="N195" s="380">
        <f t="shared" si="85"/>
        <v>0</v>
      </c>
      <c r="O195" s="380">
        <f t="shared" si="85"/>
        <v>0</v>
      </c>
      <c r="P195" s="380">
        <f t="shared" si="85"/>
        <v>0</v>
      </c>
      <c r="Q195" s="380">
        <f t="shared" si="85"/>
        <v>1000</v>
      </c>
      <c r="R195" s="380">
        <f t="shared" si="85"/>
        <v>0</v>
      </c>
      <c r="S195" s="380">
        <f t="shared" si="85"/>
        <v>0</v>
      </c>
      <c r="T195" s="417">
        <f t="shared" si="86"/>
        <v>2000</v>
      </c>
    </row>
    <row r="196" spans="2:20" x14ac:dyDescent="0.2">
      <c r="B196" s="308"/>
      <c r="C196" t="s">
        <v>240</v>
      </c>
      <c r="D196" s="452">
        <f>'Year 4'!$D196</f>
        <v>1000</v>
      </c>
      <c r="E196" s="453">
        <f>CEILING('Year 4'!$S$186,$F196)+'Year 4'!$E196-IFERROR(FLOOR('Year 4'!$E196,F196),0)</f>
        <v>49</v>
      </c>
      <c r="F196" s="453">
        <f>'Year 4'!$F196</f>
        <v>12</v>
      </c>
      <c r="H196" s="379">
        <f t="shared" si="87"/>
        <v>1000</v>
      </c>
      <c r="I196" s="380">
        <f t="shared" si="85"/>
        <v>0</v>
      </c>
      <c r="J196" s="380">
        <f t="shared" si="85"/>
        <v>0</v>
      </c>
      <c r="K196" s="380">
        <f t="shared" si="85"/>
        <v>0</v>
      </c>
      <c r="L196" s="380">
        <f t="shared" si="85"/>
        <v>0</v>
      </c>
      <c r="M196" s="380">
        <f t="shared" si="85"/>
        <v>0</v>
      </c>
      <c r="N196" s="380">
        <f t="shared" si="85"/>
        <v>0</v>
      </c>
      <c r="O196" s="380">
        <f t="shared" si="85"/>
        <v>0</v>
      </c>
      <c r="P196" s="380">
        <f t="shared" si="85"/>
        <v>0</v>
      </c>
      <c r="Q196" s="380">
        <f t="shared" si="85"/>
        <v>0</v>
      </c>
      <c r="R196" s="380">
        <f t="shared" si="85"/>
        <v>0</v>
      </c>
      <c r="S196" s="380">
        <f t="shared" si="85"/>
        <v>0</v>
      </c>
      <c r="T196" s="417">
        <f t="shared" si="86"/>
        <v>1000</v>
      </c>
    </row>
    <row r="197" spans="2:20" x14ac:dyDescent="0.2">
      <c r="B197" s="308"/>
      <c r="C197" t="s">
        <v>36</v>
      </c>
      <c r="D197" s="452">
        <f>'Year 4'!$D197</f>
        <v>3000</v>
      </c>
      <c r="E197" s="453">
        <f>CEILING('Year 4'!$S$186,$F197)+'Year 4'!$E197-IFERROR(FLOOR('Year 4'!$E197,F197),0)</f>
        <v>49</v>
      </c>
      <c r="F197" s="453">
        <f>'Year 4'!$F197</f>
        <v>6</v>
      </c>
      <c r="H197" s="379">
        <f t="shared" si="87"/>
        <v>3000</v>
      </c>
      <c r="I197" s="380">
        <f t="shared" si="85"/>
        <v>0</v>
      </c>
      <c r="J197" s="380">
        <f t="shared" si="85"/>
        <v>0</v>
      </c>
      <c r="K197" s="380">
        <f t="shared" si="85"/>
        <v>0</v>
      </c>
      <c r="L197" s="380">
        <f t="shared" si="85"/>
        <v>0</v>
      </c>
      <c r="M197" s="380">
        <f t="shared" si="85"/>
        <v>0</v>
      </c>
      <c r="N197" s="380">
        <f t="shared" si="85"/>
        <v>3000</v>
      </c>
      <c r="O197" s="380">
        <f t="shared" si="85"/>
        <v>0</v>
      </c>
      <c r="P197" s="380">
        <f t="shared" si="85"/>
        <v>0</v>
      </c>
      <c r="Q197" s="380">
        <f t="shared" si="85"/>
        <v>0</v>
      </c>
      <c r="R197" s="380">
        <f t="shared" si="85"/>
        <v>0</v>
      </c>
      <c r="S197" s="380">
        <f t="shared" si="85"/>
        <v>0</v>
      </c>
      <c r="T197" s="417">
        <f t="shared" si="86"/>
        <v>6000</v>
      </c>
    </row>
    <row r="198" spans="2:20" x14ac:dyDescent="0.2">
      <c r="B198" s="308"/>
      <c r="C198" t="s">
        <v>37</v>
      </c>
      <c r="D198" s="452">
        <f>'Year 4'!$D198</f>
        <v>900</v>
      </c>
      <c r="E198" s="453">
        <f>CEILING('Year 4'!$S$186,$F198)+'Year 4'!$E198-IFERROR(FLOOR('Year 4'!$E198,F198),0)</f>
        <v>1</v>
      </c>
      <c r="F198" s="453">
        <f>'Year 4'!$F198</f>
        <v>0</v>
      </c>
      <c r="H198" s="379">
        <f t="shared" si="87"/>
        <v>0</v>
      </c>
      <c r="I198" s="380">
        <f t="shared" si="85"/>
        <v>0</v>
      </c>
      <c r="J198" s="380">
        <f t="shared" si="85"/>
        <v>0</v>
      </c>
      <c r="K198" s="380">
        <f t="shared" si="85"/>
        <v>0</v>
      </c>
      <c r="L198" s="380">
        <f t="shared" si="85"/>
        <v>0</v>
      </c>
      <c r="M198" s="380">
        <f t="shared" si="85"/>
        <v>0</v>
      </c>
      <c r="N198" s="380">
        <f t="shared" si="85"/>
        <v>0</v>
      </c>
      <c r="O198" s="380">
        <f t="shared" si="85"/>
        <v>0</v>
      </c>
      <c r="P198" s="380">
        <f t="shared" si="85"/>
        <v>0</v>
      </c>
      <c r="Q198" s="380">
        <f t="shared" si="85"/>
        <v>0</v>
      </c>
      <c r="R198" s="380">
        <f t="shared" si="85"/>
        <v>0</v>
      </c>
      <c r="S198" s="380">
        <f t="shared" si="85"/>
        <v>0</v>
      </c>
      <c r="T198" s="417">
        <f t="shared" si="86"/>
        <v>0</v>
      </c>
    </row>
    <row r="199" spans="2:20" ht="17" thickBot="1" x14ac:dyDescent="0.25">
      <c r="B199" s="308"/>
      <c r="C199" s="24" t="s">
        <v>38</v>
      </c>
      <c r="D199" s="452">
        <f>'Year 4'!$D199</f>
        <v>15000</v>
      </c>
      <c r="E199" s="453">
        <f>CEILING('Year 4'!$S$186,$F199)+'Year 4'!$E199-IFERROR(FLOOR('Year 4'!$E199,F199),0)</f>
        <v>49</v>
      </c>
      <c r="F199" s="453">
        <f>'Year 4'!$F199</f>
        <v>24</v>
      </c>
      <c r="H199" s="379">
        <f t="shared" si="87"/>
        <v>15000</v>
      </c>
      <c r="I199" s="380">
        <f t="shared" si="85"/>
        <v>0</v>
      </c>
      <c r="J199" s="380">
        <f t="shared" si="85"/>
        <v>0</v>
      </c>
      <c r="K199" s="380">
        <f t="shared" si="85"/>
        <v>0</v>
      </c>
      <c r="L199" s="380">
        <f t="shared" si="85"/>
        <v>0</v>
      </c>
      <c r="M199" s="380">
        <f t="shared" si="85"/>
        <v>0</v>
      </c>
      <c r="N199" s="380">
        <f t="shared" si="85"/>
        <v>0</v>
      </c>
      <c r="O199" s="380">
        <f t="shared" si="85"/>
        <v>0</v>
      </c>
      <c r="P199" s="380">
        <f t="shared" si="85"/>
        <v>0</v>
      </c>
      <c r="Q199" s="380">
        <f t="shared" si="85"/>
        <v>0</v>
      </c>
      <c r="R199" s="380">
        <f t="shared" si="85"/>
        <v>0</v>
      </c>
      <c r="S199" s="380">
        <f t="shared" si="85"/>
        <v>0</v>
      </c>
      <c r="T199" s="417">
        <f t="shared" si="86"/>
        <v>15000</v>
      </c>
    </row>
    <row r="200" spans="2:20" ht="17" thickTop="1" x14ac:dyDescent="0.2">
      <c r="B200" s="250" t="s">
        <v>39</v>
      </c>
      <c r="C200" s="237"/>
      <c r="D200" s="237"/>
      <c r="E200" s="237"/>
      <c r="F200" s="237"/>
      <c r="G200" s="237"/>
      <c r="H200" s="239">
        <f>SUM(H188:H199)</f>
        <v>19000</v>
      </c>
      <c r="I200" s="240">
        <f t="shared" ref="I200:S200" si="88">SUM(I188:I199)</f>
        <v>1200</v>
      </c>
      <c r="J200" s="240">
        <f t="shared" si="88"/>
        <v>0</v>
      </c>
      <c r="K200" s="240">
        <f t="shared" si="88"/>
        <v>0</v>
      </c>
      <c r="L200" s="240">
        <f t="shared" si="88"/>
        <v>1000</v>
      </c>
      <c r="M200" s="240">
        <f t="shared" si="88"/>
        <v>0</v>
      </c>
      <c r="N200" s="240">
        <f t="shared" si="88"/>
        <v>3000</v>
      </c>
      <c r="O200" s="240">
        <f t="shared" si="88"/>
        <v>0</v>
      </c>
      <c r="P200" s="240">
        <f t="shared" si="88"/>
        <v>1200</v>
      </c>
      <c r="Q200" s="240">
        <f t="shared" si="88"/>
        <v>1000</v>
      </c>
      <c r="R200" s="240">
        <f t="shared" si="88"/>
        <v>0</v>
      </c>
      <c r="S200" s="240">
        <f t="shared" si="88"/>
        <v>0</v>
      </c>
      <c r="T200" s="251">
        <f>SUM(H200:S200)</f>
        <v>26400</v>
      </c>
    </row>
    <row r="201" spans="2:20" x14ac:dyDescent="0.2">
      <c r="H201" s="367"/>
      <c r="I201" s="368"/>
      <c r="J201" s="368"/>
      <c r="K201" s="368"/>
      <c r="L201" s="368"/>
      <c r="M201" s="368"/>
      <c r="N201" s="368"/>
      <c r="O201" s="368"/>
      <c r="P201" s="368"/>
      <c r="Q201" s="368"/>
      <c r="R201" s="368"/>
      <c r="S201" s="368"/>
      <c r="T201" s="381"/>
    </row>
    <row r="202" spans="2:20" ht="20" x14ac:dyDescent="0.2">
      <c r="B202" s="116" t="s">
        <v>41</v>
      </c>
      <c r="C202" s="327"/>
      <c r="D202" s="327"/>
      <c r="E202" s="327" t="str">
        <f>$E$3</f>
        <v>Year 5 (2024)</v>
      </c>
      <c r="F202" s="327"/>
      <c r="G202" s="327"/>
      <c r="H202" s="360" t="s">
        <v>127</v>
      </c>
      <c r="I202" s="361" t="s">
        <v>128</v>
      </c>
      <c r="J202" s="361" t="s">
        <v>129</v>
      </c>
      <c r="K202" s="361" t="s">
        <v>130</v>
      </c>
      <c r="L202" s="361" t="s">
        <v>131</v>
      </c>
      <c r="M202" s="361" t="s">
        <v>132</v>
      </c>
      <c r="N202" s="361" t="s">
        <v>133</v>
      </c>
      <c r="O202" s="361" t="s">
        <v>134</v>
      </c>
      <c r="P202" s="361" t="s">
        <v>135</v>
      </c>
      <c r="Q202" s="361" t="s">
        <v>136</v>
      </c>
      <c r="R202" s="361" t="s">
        <v>137</v>
      </c>
      <c r="S202" s="361" t="s">
        <v>138</v>
      </c>
      <c r="T202" s="362" t="s">
        <v>179</v>
      </c>
    </row>
    <row r="203" spans="2:20" x14ac:dyDescent="0.2">
      <c r="B203" s="401"/>
      <c r="C203" s="402"/>
      <c r="D203" s="402"/>
      <c r="E203" s="402"/>
      <c r="F203" s="402"/>
      <c r="G203" s="403" t="s">
        <v>57</v>
      </c>
      <c r="H203" s="363">
        <f>H$4</f>
        <v>49</v>
      </c>
      <c r="I203" s="364">
        <f t="shared" ref="I203:S203" si="89">I$4</f>
        <v>50</v>
      </c>
      <c r="J203" s="364">
        <f t="shared" si="89"/>
        <v>51</v>
      </c>
      <c r="K203" s="364">
        <f t="shared" si="89"/>
        <v>52</v>
      </c>
      <c r="L203" s="364">
        <f t="shared" si="89"/>
        <v>53</v>
      </c>
      <c r="M203" s="364">
        <f t="shared" si="89"/>
        <v>54</v>
      </c>
      <c r="N203" s="364">
        <f t="shared" si="89"/>
        <v>55</v>
      </c>
      <c r="O203" s="364">
        <f t="shared" si="89"/>
        <v>56</v>
      </c>
      <c r="P203" s="364">
        <f t="shared" si="89"/>
        <v>57</v>
      </c>
      <c r="Q203" s="364">
        <f t="shared" si="89"/>
        <v>58</v>
      </c>
      <c r="R203" s="364">
        <f t="shared" si="89"/>
        <v>59</v>
      </c>
      <c r="S203" s="364">
        <f t="shared" si="89"/>
        <v>60</v>
      </c>
      <c r="T203" s="405" t="str">
        <f>"Total for " &amp; $E$3</f>
        <v>Total for Year 5 (2024)</v>
      </c>
    </row>
    <row r="204" spans="2:20" x14ac:dyDescent="0.2">
      <c r="B204" s="307" t="s">
        <v>149</v>
      </c>
      <c r="E204" s="24" t="s">
        <v>42</v>
      </c>
      <c r="H204" s="367"/>
      <c r="I204" s="368"/>
      <c r="J204" s="368"/>
      <c r="K204" s="368"/>
      <c r="L204" s="368"/>
      <c r="M204" s="368"/>
      <c r="N204" s="368"/>
      <c r="O204" s="368"/>
      <c r="P204" s="368"/>
      <c r="Q204" s="368"/>
      <c r="R204" s="368"/>
      <c r="S204" s="368"/>
      <c r="T204" s="407"/>
    </row>
    <row r="205" spans="2:20" x14ac:dyDescent="0.2">
      <c r="B205" s="307"/>
      <c r="C205" t="str">
        <f>"Receivable days for "&amp;$B6</f>
        <v>Receivable days for Product Revenue</v>
      </c>
      <c r="E205" s="453">
        <f>'Year 4'!E205</f>
        <v>30</v>
      </c>
      <c r="H205" s="379">
        <f t="shared" ref="H205:S205" si="90">H$12*$E205/30</f>
        <v>39000</v>
      </c>
      <c r="I205" s="380">
        <f t="shared" si="90"/>
        <v>40320</v>
      </c>
      <c r="J205" s="380">
        <f t="shared" si="90"/>
        <v>41520</v>
      </c>
      <c r="K205" s="380">
        <f t="shared" si="90"/>
        <v>42840</v>
      </c>
      <c r="L205" s="380">
        <f t="shared" si="90"/>
        <v>44040</v>
      </c>
      <c r="M205" s="380">
        <f t="shared" si="90"/>
        <v>45360</v>
      </c>
      <c r="N205" s="380">
        <f t="shared" si="90"/>
        <v>46560</v>
      </c>
      <c r="O205" s="380">
        <f t="shared" si="90"/>
        <v>47880</v>
      </c>
      <c r="P205" s="380">
        <f t="shared" si="90"/>
        <v>49080</v>
      </c>
      <c r="Q205" s="380">
        <f t="shared" si="90"/>
        <v>50400</v>
      </c>
      <c r="R205" s="380">
        <f t="shared" si="90"/>
        <v>51600</v>
      </c>
      <c r="S205" s="380">
        <f t="shared" si="90"/>
        <v>52920</v>
      </c>
      <c r="T205" s="417">
        <f>SUM(H205:S205)</f>
        <v>551520</v>
      </c>
    </row>
    <row r="206" spans="2:20" x14ac:dyDescent="0.2">
      <c r="B206" s="307"/>
      <c r="C206" t="str">
        <f>"Receivable days for "&amp;$B14</f>
        <v>Receivable days for Service Revenue</v>
      </c>
      <c r="E206" s="453">
        <f>'Year 4'!E206</f>
        <v>0</v>
      </c>
      <c r="H206" s="379">
        <f t="shared" ref="H206:S206" si="91">H$20*$E206/30</f>
        <v>0</v>
      </c>
      <c r="I206" s="380">
        <f t="shared" si="91"/>
        <v>0</v>
      </c>
      <c r="J206" s="380">
        <f t="shared" si="91"/>
        <v>0</v>
      </c>
      <c r="K206" s="380">
        <f t="shared" si="91"/>
        <v>0</v>
      </c>
      <c r="L206" s="380">
        <f t="shared" si="91"/>
        <v>0</v>
      </c>
      <c r="M206" s="380">
        <f t="shared" si="91"/>
        <v>0</v>
      </c>
      <c r="N206" s="380">
        <f t="shared" si="91"/>
        <v>0</v>
      </c>
      <c r="O206" s="380">
        <f t="shared" si="91"/>
        <v>0</v>
      </c>
      <c r="P206" s="380">
        <f t="shared" si="91"/>
        <v>0</v>
      </c>
      <c r="Q206" s="380">
        <f t="shared" si="91"/>
        <v>0</v>
      </c>
      <c r="R206" s="380">
        <f t="shared" si="91"/>
        <v>0</v>
      </c>
      <c r="S206" s="380">
        <f t="shared" si="91"/>
        <v>0</v>
      </c>
      <c r="T206" s="417">
        <f t="shared" ref="T206:T208" si="92">SUM(H206:S206)</f>
        <v>0</v>
      </c>
    </row>
    <row r="207" spans="2:20" x14ac:dyDescent="0.2">
      <c r="B207" s="307"/>
      <c r="C207" t="str">
        <f>"Receivable days for "&amp;$B22</f>
        <v>Receivable days for Billable Hours Revenue</v>
      </c>
      <c r="E207" s="453">
        <f>'Year 4'!E207</f>
        <v>15</v>
      </c>
      <c r="H207" s="379">
        <f t="shared" ref="H207:S207" si="93">H$28*$E207/30</f>
        <v>18825</v>
      </c>
      <c r="I207" s="380">
        <f t="shared" si="93"/>
        <v>19725</v>
      </c>
      <c r="J207" s="380">
        <f t="shared" si="93"/>
        <v>20625</v>
      </c>
      <c r="K207" s="380">
        <f t="shared" si="93"/>
        <v>21525</v>
      </c>
      <c r="L207" s="380">
        <f t="shared" si="93"/>
        <v>22425</v>
      </c>
      <c r="M207" s="380">
        <f t="shared" si="93"/>
        <v>23325</v>
      </c>
      <c r="N207" s="380">
        <f t="shared" si="93"/>
        <v>24225</v>
      </c>
      <c r="O207" s="380">
        <f t="shared" si="93"/>
        <v>25125</v>
      </c>
      <c r="P207" s="380">
        <f t="shared" si="93"/>
        <v>26025</v>
      </c>
      <c r="Q207" s="380">
        <f t="shared" si="93"/>
        <v>26925</v>
      </c>
      <c r="R207" s="380">
        <f t="shared" si="93"/>
        <v>27825</v>
      </c>
      <c r="S207" s="380">
        <f t="shared" si="93"/>
        <v>28740</v>
      </c>
      <c r="T207" s="417">
        <f t="shared" si="92"/>
        <v>285315</v>
      </c>
    </row>
    <row r="208" spans="2:20" ht="17" thickBot="1" x14ac:dyDescent="0.25">
      <c r="B208" s="308"/>
      <c r="C208" t="str">
        <f>"Receivable days for "&amp;$B30</f>
        <v>Receivable days for Subscription Revenue</v>
      </c>
      <c r="E208" s="453">
        <f>'Year 4'!E208</f>
        <v>30</v>
      </c>
      <c r="H208" s="379">
        <f t="shared" ref="H208:S208" si="94">H$39*$E208/30</f>
        <v>894</v>
      </c>
      <c r="I208" s="380">
        <f t="shared" si="94"/>
        <v>894</v>
      </c>
      <c r="J208" s="380">
        <f t="shared" si="94"/>
        <v>894</v>
      </c>
      <c r="K208" s="380">
        <f t="shared" si="94"/>
        <v>894</v>
      </c>
      <c r="L208" s="380">
        <f t="shared" si="94"/>
        <v>894</v>
      </c>
      <c r="M208" s="380">
        <f t="shared" si="94"/>
        <v>894</v>
      </c>
      <c r="N208" s="380">
        <f t="shared" si="94"/>
        <v>894</v>
      </c>
      <c r="O208" s="380">
        <f t="shared" si="94"/>
        <v>894</v>
      </c>
      <c r="P208" s="380">
        <f t="shared" si="94"/>
        <v>894</v>
      </c>
      <c r="Q208" s="380">
        <f t="shared" si="94"/>
        <v>894</v>
      </c>
      <c r="R208" s="380">
        <f t="shared" si="94"/>
        <v>894</v>
      </c>
      <c r="S208" s="380">
        <f t="shared" si="94"/>
        <v>894</v>
      </c>
      <c r="T208" s="417">
        <f t="shared" si="92"/>
        <v>10728</v>
      </c>
    </row>
    <row r="209" spans="2:20" ht="17" thickTop="1" x14ac:dyDescent="0.2">
      <c r="B209" s="418" t="s">
        <v>151</v>
      </c>
      <c r="C209" s="419"/>
      <c r="D209" s="419"/>
      <c r="E209" s="419"/>
      <c r="F209" s="419"/>
      <c r="G209" s="420"/>
      <c r="H209" s="421">
        <f>SUM(H205:H208)</f>
        <v>58719</v>
      </c>
      <c r="I209" s="422">
        <f t="shared" ref="I209:S209" si="95">SUM(I205:I208)</f>
        <v>60939</v>
      </c>
      <c r="J209" s="422">
        <f t="shared" si="95"/>
        <v>63039</v>
      </c>
      <c r="K209" s="422">
        <f t="shared" si="95"/>
        <v>65259</v>
      </c>
      <c r="L209" s="422">
        <f t="shared" si="95"/>
        <v>67359</v>
      </c>
      <c r="M209" s="422">
        <f t="shared" si="95"/>
        <v>69579</v>
      </c>
      <c r="N209" s="422">
        <f t="shared" si="95"/>
        <v>71679</v>
      </c>
      <c r="O209" s="422">
        <f t="shared" si="95"/>
        <v>73899</v>
      </c>
      <c r="P209" s="422">
        <f t="shared" si="95"/>
        <v>75999</v>
      </c>
      <c r="Q209" s="422">
        <f t="shared" si="95"/>
        <v>78219</v>
      </c>
      <c r="R209" s="422">
        <f t="shared" si="95"/>
        <v>80319</v>
      </c>
      <c r="S209" s="422">
        <f t="shared" si="95"/>
        <v>82554</v>
      </c>
      <c r="T209" s="423">
        <f>SUM(H209:S209)</f>
        <v>847563</v>
      </c>
    </row>
    <row r="210" spans="2:20" x14ac:dyDescent="0.2">
      <c r="B210" s="308"/>
      <c r="C210" s="40"/>
      <c r="E210" s="44"/>
      <c r="H210" s="379"/>
      <c r="I210" s="380"/>
      <c r="J210" s="380"/>
      <c r="K210" s="380"/>
      <c r="L210" s="380"/>
      <c r="M210" s="380"/>
      <c r="N210" s="380"/>
      <c r="O210" s="380"/>
      <c r="P210" s="380"/>
      <c r="Q210" s="380"/>
      <c r="R210" s="380"/>
      <c r="S210" s="380"/>
      <c r="T210" s="417"/>
    </row>
    <row r="211" spans="2:20" x14ac:dyDescent="0.2">
      <c r="B211" s="307" t="s">
        <v>371</v>
      </c>
      <c r="E211" t="s">
        <v>373</v>
      </c>
      <c r="G211" s="13"/>
      <c r="H211" s="370"/>
      <c r="I211" s="371"/>
      <c r="J211" s="371"/>
      <c r="K211" s="371"/>
      <c r="L211" s="371"/>
      <c r="M211" s="371"/>
      <c r="N211" s="371"/>
      <c r="O211" s="371"/>
      <c r="P211" s="371"/>
      <c r="Q211" s="371"/>
      <c r="R211" s="371"/>
      <c r="S211" s="372"/>
      <c r="T211" s="410"/>
    </row>
    <row r="212" spans="2:20" ht="17" thickBot="1" x14ac:dyDescent="0.25">
      <c r="B212" s="307"/>
      <c r="C212" t="s">
        <v>372</v>
      </c>
      <c r="E212" s="454">
        <v>0.3</v>
      </c>
      <c r="G212" s="13" t="s">
        <v>375</v>
      </c>
      <c r="H212" s="460"/>
      <c r="I212" s="461"/>
      <c r="J212" s="461"/>
      <c r="K212" s="461"/>
      <c r="L212" s="461"/>
      <c r="M212" s="461"/>
      <c r="N212" s="461"/>
      <c r="O212" s="461"/>
      <c r="P212" s="461"/>
      <c r="Q212" s="461"/>
      <c r="R212" s="461"/>
      <c r="S212" s="461"/>
      <c r="T212" s="417" t="str">
        <f>IF(SUM($H$212:$S$212)=0,"",SUM($H$212:$S$212))</f>
        <v/>
      </c>
    </row>
    <row r="213" spans="2:20" ht="17" thickTop="1" x14ac:dyDescent="0.2">
      <c r="B213" s="418" t="s">
        <v>374</v>
      </c>
      <c r="C213" s="419"/>
      <c r="D213" s="419"/>
      <c r="E213" s="419"/>
      <c r="F213" s="419"/>
      <c r="G213" s="420"/>
      <c r="H213" s="421">
        <f>IF(H$212="",$E$212*H$12,"")</f>
        <v>11700</v>
      </c>
      <c r="I213" s="422">
        <f t="shared" ref="I213:S213" si="96">IF(I$212="",$E$212*I$12,"")</f>
        <v>12096</v>
      </c>
      <c r="J213" s="422">
        <f t="shared" si="96"/>
        <v>12456</v>
      </c>
      <c r="K213" s="422">
        <f t="shared" si="96"/>
        <v>12852</v>
      </c>
      <c r="L213" s="422">
        <f t="shared" si="96"/>
        <v>13212</v>
      </c>
      <c r="M213" s="422">
        <f t="shared" si="96"/>
        <v>13608</v>
      </c>
      <c r="N213" s="422">
        <f t="shared" si="96"/>
        <v>13968</v>
      </c>
      <c r="O213" s="422">
        <f t="shared" si="96"/>
        <v>14364</v>
      </c>
      <c r="P213" s="422">
        <f t="shared" si="96"/>
        <v>14724</v>
      </c>
      <c r="Q213" s="422">
        <f t="shared" si="96"/>
        <v>15120</v>
      </c>
      <c r="R213" s="422">
        <f t="shared" si="96"/>
        <v>15480</v>
      </c>
      <c r="S213" s="422">
        <f t="shared" si="96"/>
        <v>15876</v>
      </c>
      <c r="T213" s="423">
        <f>IFERROR(SUM(H213:S213)+T212,SUM(H213:S213))</f>
        <v>165456</v>
      </c>
    </row>
    <row r="214" spans="2:20" x14ac:dyDescent="0.2">
      <c r="B214" s="308"/>
      <c r="C214" s="40"/>
      <c r="E214" s="44"/>
      <c r="H214" s="379"/>
      <c r="I214" s="380"/>
      <c r="J214" s="380"/>
      <c r="K214" s="380"/>
      <c r="L214" s="380"/>
      <c r="M214" s="380"/>
      <c r="N214" s="380"/>
      <c r="O214" s="380"/>
      <c r="P214" s="380"/>
      <c r="Q214" s="380"/>
      <c r="R214" s="380"/>
      <c r="S214" s="380"/>
      <c r="T214" s="417"/>
    </row>
    <row r="215" spans="2:20" x14ac:dyDescent="0.2">
      <c r="B215" s="307" t="s">
        <v>150</v>
      </c>
      <c r="C215" s="40"/>
      <c r="E215" s="24" t="s">
        <v>42</v>
      </c>
      <c r="H215" s="379"/>
      <c r="I215" s="380"/>
      <c r="J215" s="380"/>
      <c r="K215" s="380"/>
      <c r="L215" s="380"/>
      <c r="M215" s="380"/>
      <c r="N215" s="380"/>
      <c r="O215" s="380"/>
      <c r="P215" s="380"/>
      <c r="Q215" s="380"/>
      <c r="R215" s="380"/>
      <c r="S215" s="380"/>
      <c r="T215" s="417"/>
    </row>
    <row r="216" spans="2:20" x14ac:dyDescent="0.2">
      <c r="B216" s="307"/>
      <c r="C216" t="str">
        <f>"Payable Days for "&amp;$C56</f>
        <v>Payable Days for Commission on Product Revenue</v>
      </c>
      <c r="E216" s="453">
        <f>'Year 4'!E216</f>
        <v>14</v>
      </c>
      <c r="H216" s="379">
        <f t="shared" ref="H216:S216" si="97">H56*$E216/30</f>
        <v>546</v>
      </c>
      <c r="I216" s="380">
        <f t="shared" si="97"/>
        <v>564.4799999999999</v>
      </c>
      <c r="J216" s="380">
        <f t="shared" si="97"/>
        <v>581.28</v>
      </c>
      <c r="K216" s="380">
        <f t="shared" si="97"/>
        <v>599.76</v>
      </c>
      <c r="L216" s="380">
        <f t="shared" si="97"/>
        <v>616.55999999999995</v>
      </c>
      <c r="M216" s="380">
        <f t="shared" si="97"/>
        <v>635.04000000000008</v>
      </c>
      <c r="N216" s="380">
        <f t="shared" si="97"/>
        <v>651.84</v>
      </c>
      <c r="O216" s="380">
        <f t="shared" si="97"/>
        <v>670.31999999999994</v>
      </c>
      <c r="P216" s="380">
        <f t="shared" si="97"/>
        <v>687.12</v>
      </c>
      <c r="Q216" s="380">
        <f t="shared" si="97"/>
        <v>705.6</v>
      </c>
      <c r="R216" s="380">
        <f t="shared" si="97"/>
        <v>722.4</v>
      </c>
      <c r="S216" s="380">
        <f t="shared" si="97"/>
        <v>740.87999999999988</v>
      </c>
      <c r="T216" s="417">
        <f t="shared" ref="T216:T219" si="98">SUM(H216:S216)</f>
        <v>7721.28</v>
      </c>
    </row>
    <row r="217" spans="2:20" x14ac:dyDescent="0.2">
      <c r="B217" s="307"/>
      <c r="C217" t="str">
        <f>"Payable Days for "&amp;$C57</f>
        <v>Payable Days for Commission on Service Revenue</v>
      </c>
      <c r="E217" s="453">
        <f>'Year 4'!E217</f>
        <v>14</v>
      </c>
      <c r="H217" s="379">
        <f t="shared" ref="H217:S217" si="99">H57*$E217/30</f>
        <v>11.293333333333333</v>
      </c>
      <c r="I217" s="380">
        <f t="shared" si="99"/>
        <v>11.853333333333333</v>
      </c>
      <c r="J217" s="380">
        <f t="shared" si="99"/>
        <v>12.413333333333334</v>
      </c>
      <c r="K217" s="380">
        <f t="shared" si="99"/>
        <v>12.973333333333333</v>
      </c>
      <c r="L217" s="380">
        <f t="shared" si="99"/>
        <v>13.44</v>
      </c>
      <c r="M217" s="380">
        <f t="shared" si="99"/>
        <v>14</v>
      </c>
      <c r="N217" s="380">
        <f t="shared" si="99"/>
        <v>14.56</v>
      </c>
      <c r="O217" s="380">
        <f t="shared" si="99"/>
        <v>15.12</v>
      </c>
      <c r="P217" s="380">
        <f t="shared" si="99"/>
        <v>15.586666666666666</v>
      </c>
      <c r="Q217" s="380">
        <f t="shared" si="99"/>
        <v>16.146666666666668</v>
      </c>
      <c r="R217" s="380">
        <f t="shared" si="99"/>
        <v>16.706666666666667</v>
      </c>
      <c r="S217" s="380">
        <f t="shared" si="99"/>
        <v>17.266666666666666</v>
      </c>
      <c r="T217" s="417">
        <f t="shared" si="98"/>
        <v>171.36</v>
      </c>
    </row>
    <row r="218" spans="2:20" x14ac:dyDescent="0.2">
      <c r="B218" s="307"/>
      <c r="C218" t="str">
        <f>"Payable Days for "&amp;$C58</f>
        <v>Payable Days for Commission on Billable Hours Revenue</v>
      </c>
      <c r="E218" s="453">
        <f>'Year 4'!E218</f>
        <v>14</v>
      </c>
      <c r="H218" s="379">
        <f t="shared" ref="H218:S218" si="100">H58*$E218/30</f>
        <v>175.7</v>
      </c>
      <c r="I218" s="380">
        <f t="shared" si="100"/>
        <v>184.1</v>
      </c>
      <c r="J218" s="380">
        <f t="shared" si="100"/>
        <v>192.5</v>
      </c>
      <c r="K218" s="380">
        <f t="shared" si="100"/>
        <v>200.9</v>
      </c>
      <c r="L218" s="380">
        <f t="shared" si="100"/>
        <v>209.3</v>
      </c>
      <c r="M218" s="380">
        <f t="shared" si="100"/>
        <v>217.7</v>
      </c>
      <c r="N218" s="380">
        <f t="shared" si="100"/>
        <v>226.1</v>
      </c>
      <c r="O218" s="380">
        <f t="shared" si="100"/>
        <v>234.5</v>
      </c>
      <c r="P218" s="380">
        <f t="shared" si="100"/>
        <v>242.9</v>
      </c>
      <c r="Q218" s="380">
        <f t="shared" si="100"/>
        <v>251.3</v>
      </c>
      <c r="R218" s="380">
        <f t="shared" si="100"/>
        <v>259.7</v>
      </c>
      <c r="S218" s="380">
        <f t="shared" si="100"/>
        <v>268.24</v>
      </c>
      <c r="T218" s="417">
        <f t="shared" si="98"/>
        <v>2662.9399999999996</v>
      </c>
    </row>
    <row r="219" spans="2:20" x14ac:dyDescent="0.2">
      <c r="B219" s="307"/>
      <c r="C219" t="str">
        <f>"Payable Days for "&amp;$C59</f>
        <v>Payable Days for Commission on Subscription Revenue</v>
      </c>
      <c r="E219" s="453">
        <f>'Year 4'!E219</f>
        <v>14</v>
      </c>
      <c r="H219" s="379">
        <f t="shared" ref="H219:S219" si="101">H59*$E219/30</f>
        <v>16.687999999999999</v>
      </c>
      <c r="I219" s="380">
        <f t="shared" si="101"/>
        <v>16.687999999999999</v>
      </c>
      <c r="J219" s="380">
        <f t="shared" si="101"/>
        <v>16.687999999999999</v>
      </c>
      <c r="K219" s="380">
        <f t="shared" si="101"/>
        <v>16.687999999999999</v>
      </c>
      <c r="L219" s="380">
        <f t="shared" si="101"/>
        <v>16.687999999999999</v>
      </c>
      <c r="M219" s="380">
        <f t="shared" si="101"/>
        <v>16.687999999999999</v>
      </c>
      <c r="N219" s="380">
        <f t="shared" si="101"/>
        <v>16.687999999999999</v>
      </c>
      <c r="O219" s="380">
        <f t="shared" si="101"/>
        <v>16.687999999999999</v>
      </c>
      <c r="P219" s="380">
        <f t="shared" si="101"/>
        <v>16.687999999999999</v>
      </c>
      <c r="Q219" s="380">
        <f t="shared" si="101"/>
        <v>16.687999999999999</v>
      </c>
      <c r="R219" s="380">
        <f t="shared" si="101"/>
        <v>16.687999999999999</v>
      </c>
      <c r="S219" s="380">
        <f t="shared" si="101"/>
        <v>16.687999999999999</v>
      </c>
      <c r="T219" s="417">
        <f t="shared" si="98"/>
        <v>200.25599999999994</v>
      </c>
    </row>
    <row r="220" spans="2:20" x14ac:dyDescent="0.2">
      <c r="B220" s="308"/>
      <c r="C220" t="str">
        <f>"Payable Days for "&amp;$C70</f>
        <v>Payable Days for S&amp;M Expenses for Product Line</v>
      </c>
      <c r="E220" s="453">
        <f>'Year 4'!E220</f>
        <v>30</v>
      </c>
      <c r="H220" s="379">
        <f t="shared" ref="H220:S220" si="102">H70*$E220/30</f>
        <v>0</v>
      </c>
      <c r="I220" s="380">
        <f t="shared" si="102"/>
        <v>0</v>
      </c>
      <c r="J220" s="380">
        <f t="shared" si="102"/>
        <v>0</v>
      </c>
      <c r="K220" s="380">
        <f t="shared" si="102"/>
        <v>0</v>
      </c>
      <c r="L220" s="380">
        <f t="shared" si="102"/>
        <v>0</v>
      </c>
      <c r="M220" s="380">
        <f t="shared" si="102"/>
        <v>0</v>
      </c>
      <c r="N220" s="380">
        <f t="shared" si="102"/>
        <v>0</v>
      </c>
      <c r="O220" s="380">
        <f t="shared" si="102"/>
        <v>0</v>
      </c>
      <c r="P220" s="380">
        <f t="shared" si="102"/>
        <v>0</v>
      </c>
      <c r="Q220" s="380">
        <f t="shared" si="102"/>
        <v>0</v>
      </c>
      <c r="R220" s="380">
        <f t="shared" si="102"/>
        <v>0</v>
      </c>
      <c r="S220" s="380">
        <f t="shared" si="102"/>
        <v>0</v>
      </c>
      <c r="T220" s="417">
        <f>SUM(H220:S220)</f>
        <v>0</v>
      </c>
    </row>
    <row r="221" spans="2:20" x14ac:dyDescent="0.2">
      <c r="B221" s="308"/>
      <c r="C221" t="str">
        <f>"Payable Days for "&amp;$C71</f>
        <v>Payable Days for S&amp;M Expenses for Services Line</v>
      </c>
      <c r="E221" s="453">
        <f>'Year 4'!E221</f>
        <v>30</v>
      </c>
      <c r="H221" s="379">
        <f t="shared" ref="H221:S221" si="103">H71*$E221/30</f>
        <v>0</v>
      </c>
      <c r="I221" s="380">
        <f t="shared" si="103"/>
        <v>0</v>
      </c>
      <c r="J221" s="380">
        <f t="shared" si="103"/>
        <v>0</v>
      </c>
      <c r="K221" s="380">
        <f t="shared" si="103"/>
        <v>0</v>
      </c>
      <c r="L221" s="380">
        <f t="shared" si="103"/>
        <v>0</v>
      </c>
      <c r="M221" s="380">
        <f t="shared" si="103"/>
        <v>0</v>
      </c>
      <c r="N221" s="380">
        <f t="shared" si="103"/>
        <v>0</v>
      </c>
      <c r="O221" s="380">
        <f t="shared" si="103"/>
        <v>0</v>
      </c>
      <c r="P221" s="380">
        <f t="shared" si="103"/>
        <v>0</v>
      </c>
      <c r="Q221" s="380">
        <f t="shared" si="103"/>
        <v>0</v>
      </c>
      <c r="R221" s="380">
        <f t="shared" si="103"/>
        <v>0</v>
      </c>
      <c r="S221" s="380">
        <f t="shared" si="103"/>
        <v>0</v>
      </c>
      <c r="T221" s="417">
        <f t="shared" ref="T221:T245" si="104">SUM(H221:S221)</f>
        <v>0</v>
      </c>
    </row>
    <row r="222" spans="2:20" x14ac:dyDescent="0.2">
      <c r="B222" s="308"/>
      <c r="C222" t="str">
        <f>"Payable Days for "&amp;$C72</f>
        <v>Payable Days for S&amp;M Expenses for Billable Hours Line</v>
      </c>
      <c r="E222" s="453">
        <f>'Year 4'!E222</f>
        <v>0</v>
      </c>
      <c r="H222" s="379">
        <f t="shared" ref="H222:S222" si="105">H72*$E222/30</f>
        <v>0</v>
      </c>
      <c r="I222" s="380">
        <f t="shared" si="105"/>
        <v>0</v>
      </c>
      <c r="J222" s="380">
        <f t="shared" si="105"/>
        <v>0</v>
      </c>
      <c r="K222" s="380">
        <f t="shared" si="105"/>
        <v>0</v>
      </c>
      <c r="L222" s="380">
        <f t="shared" si="105"/>
        <v>0</v>
      </c>
      <c r="M222" s="380">
        <f t="shared" si="105"/>
        <v>0</v>
      </c>
      <c r="N222" s="380">
        <f t="shared" si="105"/>
        <v>0</v>
      </c>
      <c r="O222" s="380">
        <f t="shared" si="105"/>
        <v>0</v>
      </c>
      <c r="P222" s="380">
        <f t="shared" si="105"/>
        <v>0</v>
      </c>
      <c r="Q222" s="380">
        <f t="shared" si="105"/>
        <v>0</v>
      </c>
      <c r="R222" s="380">
        <f t="shared" si="105"/>
        <v>0</v>
      </c>
      <c r="S222" s="380">
        <f t="shared" si="105"/>
        <v>0</v>
      </c>
      <c r="T222" s="417">
        <f t="shared" si="104"/>
        <v>0</v>
      </c>
    </row>
    <row r="223" spans="2:20" x14ac:dyDescent="0.2">
      <c r="B223" s="308"/>
      <c r="C223" t="str">
        <f>"Payable Days for "&amp;$C73</f>
        <v>Payable Days for S&amp;M Expenses for Subscriptions Line</v>
      </c>
      <c r="E223" s="453">
        <f>'Year 4'!E223</f>
        <v>14</v>
      </c>
      <c r="H223" s="379">
        <f t="shared" ref="H223:S223" si="106">H73*$E223/30</f>
        <v>0</v>
      </c>
      <c r="I223" s="380">
        <f t="shared" si="106"/>
        <v>0</v>
      </c>
      <c r="J223" s="380">
        <f t="shared" si="106"/>
        <v>0</v>
      </c>
      <c r="K223" s="380">
        <f t="shared" si="106"/>
        <v>0</v>
      </c>
      <c r="L223" s="380">
        <f t="shared" si="106"/>
        <v>0</v>
      </c>
      <c r="M223" s="380">
        <f t="shared" si="106"/>
        <v>0</v>
      </c>
      <c r="N223" s="380">
        <f t="shared" si="106"/>
        <v>0</v>
      </c>
      <c r="O223" s="380">
        <f t="shared" si="106"/>
        <v>0</v>
      </c>
      <c r="P223" s="380">
        <f t="shared" si="106"/>
        <v>0</v>
      </c>
      <c r="Q223" s="380">
        <f t="shared" si="106"/>
        <v>0</v>
      </c>
      <c r="R223" s="380">
        <f t="shared" si="106"/>
        <v>0</v>
      </c>
      <c r="S223" s="380">
        <f t="shared" si="106"/>
        <v>0</v>
      </c>
      <c r="T223" s="417">
        <f t="shared" si="104"/>
        <v>0</v>
      </c>
    </row>
    <row r="224" spans="2:20" x14ac:dyDescent="0.2">
      <c r="B224" s="308"/>
      <c r="C224" t="str">
        <f t="shared" ref="C224:C242" si="107">"Payable Days for "&amp;$C121</f>
        <v>Payable Days for Advertising Campaigns</v>
      </c>
      <c r="E224" s="453">
        <f>'Year 4'!E224</f>
        <v>12</v>
      </c>
      <c r="H224" s="379">
        <f t="shared" ref="H224:S224" si="108">H121*$E224/30</f>
        <v>200</v>
      </c>
      <c r="I224" s="380">
        <f t="shared" si="108"/>
        <v>200</v>
      </c>
      <c r="J224" s="380">
        <f t="shared" si="108"/>
        <v>200</v>
      </c>
      <c r="K224" s="380">
        <f t="shared" si="108"/>
        <v>200</v>
      </c>
      <c r="L224" s="380">
        <f t="shared" si="108"/>
        <v>200</v>
      </c>
      <c r="M224" s="380">
        <f t="shared" si="108"/>
        <v>200</v>
      </c>
      <c r="N224" s="380">
        <f t="shared" si="108"/>
        <v>200</v>
      </c>
      <c r="O224" s="380">
        <f t="shared" si="108"/>
        <v>200</v>
      </c>
      <c r="P224" s="380">
        <f t="shared" si="108"/>
        <v>200</v>
      </c>
      <c r="Q224" s="380">
        <f t="shared" si="108"/>
        <v>200</v>
      </c>
      <c r="R224" s="380">
        <f t="shared" si="108"/>
        <v>200</v>
      </c>
      <c r="S224" s="380">
        <f t="shared" si="108"/>
        <v>200</v>
      </c>
      <c r="T224" s="417">
        <f t="shared" si="104"/>
        <v>2400</v>
      </c>
    </row>
    <row r="225" spans="2:20" x14ac:dyDescent="0.2">
      <c r="B225" s="308"/>
      <c r="C225" t="str">
        <f t="shared" si="107"/>
        <v>Payable Days for Car and Truck Expenses</v>
      </c>
      <c r="E225" s="453">
        <f>'Year 4'!E225</f>
        <v>12</v>
      </c>
      <c r="H225" s="379">
        <f t="shared" ref="H225:S225" si="109">H122*$E225/30</f>
        <v>240</v>
      </c>
      <c r="I225" s="380">
        <f t="shared" si="109"/>
        <v>240</v>
      </c>
      <c r="J225" s="380">
        <f t="shared" si="109"/>
        <v>240</v>
      </c>
      <c r="K225" s="380">
        <f t="shared" si="109"/>
        <v>240</v>
      </c>
      <c r="L225" s="380">
        <f t="shared" si="109"/>
        <v>240</v>
      </c>
      <c r="M225" s="380">
        <f t="shared" si="109"/>
        <v>240</v>
      </c>
      <c r="N225" s="380">
        <f t="shared" si="109"/>
        <v>240</v>
      </c>
      <c r="O225" s="380">
        <f t="shared" si="109"/>
        <v>240</v>
      </c>
      <c r="P225" s="380">
        <f t="shared" si="109"/>
        <v>240</v>
      </c>
      <c r="Q225" s="380">
        <f t="shared" si="109"/>
        <v>240</v>
      </c>
      <c r="R225" s="380">
        <f t="shared" si="109"/>
        <v>240</v>
      </c>
      <c r="S225" s="380">
        <f t="shared" si="109"/>
        <v>240</v>
      </c>
      <c r="T225" s="417">
        <f t="shared" si="104"/>
        <v>2880</v>
      </c>
    </row>
    <row r="226" spans="2:20" x14ac:dyDescent="0.2">
      <c r="B226" s="308"/>
      <c r="C226" t="str">
        <f t="shared" si="107"/>
        <v>Payable Days for Bank &amp; Merchant Fees</v>
      </c>
      <c r="E226" s="453">
        <f>'Year 4'!E226</f>
        <v>12</v>
      </c>
      <c r="H226" s="379">
        <f t="shared" ref="H226:S226" si="110">H123*$E226/30</f>
        <v>0</v>
      </c>
      <c r="I226" s="380">
        <f t="shared" si="110"/>
        <v>0</v>
      </c>
      <c r="J226" s="380">
        <f t="shared" si="110"/>
        <v>0</v>
      </c>
      <c r="K226" s="380">
        <f t="shared" si="110"/>
        <v>0</v>
      </c>
      <c r="L226" s="380">
        <f t="shared" si="110"/>
        <v>0</v>
      </c>
      <c r="M226" s="380">
        <f t="shared" si="110"/>
        <v>0</v>
      </c>
      <c r="N226" s="380">
        <f t="shared" si="110"/>
        <v>0</v>
      </c>
      <c r="O226" s="380">
        <f t="shared" si="110"/>
        <v>0</v>
      </c>
      <c r="P226" s="380">
        <f t="shared" si="110"/>
        <v>0</v>
      </c>
      <c r="Q226" s="380">
        <f t="shared" si="110"/>
        <v>0</v>
      </c>
      <c r="R226" s="380">
        <f t="shared" si="110"/>
        <v>0</v>
      </c>
      <c r="S226" s="380">
        <f t="shared" si="110"/>
        <v>0</v>
      </c>
      <c r="T226" s="417">
        <f t="shared" si="104"/>
        <v>0</v>
      </c>
    </row>
    <row r="227" spans="2:20" x14ac:dyDescent="0.2">
      <c r="B227" s="308"/>
      <c r="C227" t="str">
        <f t="shared" si="107"/>
        <v>Payable Days for Conferences &amp; Seminars</v>
      </c>
      <c r="E227" s="453">
        <f>'Year 4'!E227</f>
        <v>12</v>
      </c>
      <c r="H227" s="379">
        <f t="shared" ref="H227:S227" si="111">H124*$E227/30</f>
        <v>0</v>
      </c>
      <c r="I227" s="380">
        <f t="shared" si="111"/>
        <v>0</v>
      </c>
      <c r="J227" s="380">
        <f t="shared" si="111"/>
        <v>0</v>
      </c>
      <c r="K227" s="380">
        <f t="shared" si="111"/>
        <v>0</v>
      </c>
      <c r="L227" s="380">
        <f t="shared" si="111"/>
        <v>0</v>
      </c>
      <c r="M227" s="380">
        <f t="shared" si="111"/>
        <v>0</v>
      </c>
      <c r="N227" s="380">
        <f t="shared" si="111"/>
        <v>0</v>
      </c>
      <c r="O227" s="380">
        <f t="shared" si="111"/>
        <v>0</v>
      </c>
      <c r="P227" s="380">
        <f t="shared" si="111"/>
        <v>0</v>
      </c>
      <c r="Q227" s="380">
        <f t="shared" si="111"/>
        <v>0</v>
      </c>
      <c r="R227" s="380">
        <f t="shared" si="111"/>
        <v>0</v>
      </c>
      <c r="S227" s="380">
        <f t="shared" si="111"/>
        <v>0</v>
      </c>
      <c r="T227" s="417">
        <f t="shared" si="104"/>
        <v>0</v>
      </c>
    </row>
    <row r="228" spans="2:20" x14ac:dyDescent="0.2">
      <c r="B228" s="308"/>
      <c r="C228" t="str">
        <f t="shared" si="107"/>
        <v>Payable Days for Dues and Subscriptions</v>
      </c>
      <c r="E228" s="453">
        <f>'Year 4'!E228</f>
        <v>12</v>
      </c>
      <c r="H228" s="379">
        <f t="shared" ref="H228:S228" si="112">H125*$E228/30</f>
        <v>80</v>
      </c>
      <c r="I228" s="380">
        <f t="shared" si="112"/>
        <v>80</v>
      </c>
      <c r="J228" s="380">
        <f t="shared" si="112"/>
        <v>80</v>
      </c>
      <c r="K228" s="380">
        <f t="shared" si="112"/>
        <v>80</v>
      </c>
      <c r="L228" s="380">
        <f t="shared" si="112"/>
        <v>80</v>
      </c>
      <c r="M228" s="380">
        <f t="shared" si="112"/>
        <v>80</v>
      </c>
      <c r="N228" s="380">
        <f t="shared" si="112"/>
        <v>80</v>
      </c>
      <c r="O228" s="380">
        <f t="shared" si="112"/>
        <v>80</v>
      </c>
      <c r="P228" s="380">
        <f t="shared" si="112"/>
        <v>80</v>
      </c>
      <c r="Q228" s="380">
        <f t="shared" si="112"/>
        <v>80</v>
      </c>
      <c r="R228" s="380">
        <f t="shared" si="112"/>
        <v>80</v>
      </c>
      <c r="S228" s="380">
        <f t="shared" si="112"/>
        <v>80</v>
      </c>
      <c r="T228" s="417">
        <f t="shared" si="104"/>
        <v>960</v>
      </c>
    </row>
    <row r="229" spans="2:20" x14ac:dyDescent="0.2">
      <c r="B229" s="308"/>
      <c r="C229" t="str">
        <f t="shared" si="107"/>
        <v>Payable Days for Miscellaneous</v>
      </c>
      <c r="E229" s="453">
        <f>'Year 4'!E229</f>
        <v>12</v>
      </c>
      <c r="H229" s="379">
        <f t="shared" ref="H229:S229" si="113">H126*$E229/30</f>
        <v>0</v>
      </c>
      <c r="I229" s="380">
        <f t="shared" si="113"/>
        <v>0</v>
      </c>
      <c r="J229" s="380">
        <f t="shared" si="113"/>
        <v>0</v>
      </c>
      <c r="K229" s="380">
        <f t="shared" si="113"/>
        <v>0</v>
      </c>
      <c r="L229" s="380">
        <f t="shared" si="113"/>
        <v>0</v>
      </c>
      <c r="M229" s="380">
        <f t="shared" si="113"/>
        <v>0</v>
      </c>
      <c r="N229" s="380">
        <f t="shared" si="113"/>
        <v>0</v>
      </c>
      <c r="O229" s="380">
        <f t="shared" si="113"/>
        <v>0</v>
      </c>
      <c r="P229" s="380">
        <f t="shared" si="113"/>
        <v>0</v>
      </c>
      <c r="Q229" s="380">
        <f t="shared" si="113"/>
        <v>0</v>
      </c>
      <c r="R229" s="380">
        <f t="shared" si="113"/>
        <v>0</v>
      </c>
      <c r="S229" s="380">
        <f t="shared" si="113"/>
        <v>0</v>
      </c>
      <c r="T229" s="417">
        <f t="shared" si="104"/>
        <v>0</v>
      </c>
    </row>
    <row r="230" spans="2:20" x14ac:dyDescent="0.2">
      <c r="B230" s="308"/>
      <c r="C230" t="str">
        <f t="shared" si="107"/>
        <v>Payable Days for Insurance (Liability and Property)</v>
      </c>
      <c r="E230" s="453">
        <f>'Year 4'!E230</f>
        <v>12</v>
      </c>
      <c r="H230" s="379">
        <f t="shared" ref="H230:S230" si="114">H127*$E230/30</f>
        <v>0</v>
      </c>
      <c r="I230" s="380">
        <f t="shared" si="114"/>
        <v>0</v>
      </c>
      <c r="J230" s="380">
        <f t="shared" si="114"/>
        <v>0</v>
      </c>
      <c r="K230" s="380">
        <f t="shared" si="114"/>
        <v>0</v>
      </c>
      <c r="L230" s="380">
        <f t="shared" si="114"/>
        <v>0</v>
      </c>
      <c r="M230" s="380">
        <f t="shared" si="114"/>
        <v>0</v>
      </c>
      <c r="N230" s="380">
        <f t="shared" si="114"/>
        <v>0</v>
      </c>
      <c r="O230" s="380">
        <f t="shared" si="114"/>
        <v>0</v>
      </c>
      <c r="P230" s="380">
        <f t="shared" si="114"/>
        <v>0</v>
      </c>
      <c r="Q230" s="380">
        <f t="shared" si="114"/>
        <v>0</v>
      </c>
      <c r="R230" s="380">
        <f t="shared" si="114"/>
        <v>0</v>
      </c>
      <c r="S230" s="380">
        <f t="shared" si="114"/>
        <v>0</v>
      </c>
      <c r="T230" s="417">
        <f t="shared" si="104"/>
        <v>0</v>
      </c>
    </row>
    <row r="231" spans="2:20" x14ac:dyDescent="0.2">
      <c r="B231" s="308"/>
      <c r="C231" t="str">
        <f t="shared" si="107"/>
        <v>Payable Days for Licenses/Fees/Permits</v>
      </c>
      <c r="E231" s="453">
        <f>'Year 4'!E231</f>
        <v>12</v>
      </c>
      <c r="H231" s="379">
        <f t="shared" ref="H231:S231" si="115">H128*$E231/30</f>
        <v>0</v>
      </c>
      <c r="I231" s="380">
        <f t="shared" si="115"/>
        <v>0</v>
      </c>
      <c r="J231" s="380">
        <f t="shared" si="115"/>
        <v>0</v>
      </c>
      <c r="K231" s="380">
        <f t="shared" si="115"/>
        <v>0</v>
      </c>
      <c r="L231" s="380">
        <f t="shared" si="115"/>
        <v>0</v>
      </c>
      <c r="M231" s="380">
        <f t="shared" si="115"/>
        <v>0</v>
      </c>
      <c r="N231" s="380">
        <f t="shared" si="115"/>
        <v>0</v>
      </c>
      <c r="O231" s="380">
        <f t="shared" si="115"/>
        <v>0</v>
      </c>
      <c r="P231" s="380">
        <f t="shared" si="115"/>
        <v>0</v>
      </c>
      <c r="Q231" s="380">
        <f t="shared" si="115"/>
        <v>0</v>
      </c>
      <c r="R231" s="380">
        <f t="shared" si="115"/>
        <v>0</v>
      </c>
      <c r="S231" s="380">
        <f t="shared" si="115"/>
        <v>0</v>
      </c>
      <c r="T231" s="417">
        <f t="shared" si="104"/>
        <v>0</v>
      </c>
    </row>
    <row r="232" spans="2:20" x14ac:dyDescent="0.2">
      <c r="B232" s="308"/>
      <c r="C232" t="str">
        <f t="shared" si="107"/>
        <v>Payable Days for Legal and Professional Fees</v>
      </c>
      <c r="E232" s="453">
        <f>'Year 4'!E232</f>
        <v>12</v>
      </c>
      <c r="H232" s="379">
        <f t="shared" ref="H232:S232" si="116">H129*$E232/30</f>
        <v>0</v>
      </c>
      <c r="I232" s="380">
        <f t="shared" si="116"/>
        <v>0</v>
      </c>
      <c r="J232" s="380">
        <f t="shared" si="116"/>
        <v>0</v>
      </c>
      <c r="K232" s="380">
        <f t="shared" si="116"/>
        <v>0</v>
      </c>
      <c r="L232" s="380">
        <f t="shared" si="116"/>
        <v>0</v>
      </c>
      <c r="M232" s="380">
        <f t="shared" si="116"/>
        <v>0</v>
      </c>
      <c r="N232" s="380">
        <f t="shared" si="116"/>
        <v>0</v>
      </c>
      <c r="O232" s="380">
        <f t="shared" si="116"/>
        <v>0</v>
      </c>
      <c r="P232" s="380">
        <f t="shared" si="116"/>
        <v>0</v>
      </c>
      <c r="Q232" s="380">
        <f t="shared" si="116"/>
        <v>0</v>
      </c>
      <c r="R232" s="380">
        <f t="shared" si="116"/>
        <v>0</v>
      </c>
      <c r="S232" s="380">
        <f t="shared" si="116"/>
        <v>0</v>
      </c>
      <c r="T232" s="417">
        <f t="shared" si="104"/>
        <v>0</v>
      </c>
    </row>
    <row r="233" spans="2:20" x14ac:dyDescent="0.2">
      <c r="B233" s="308"/>
      <c r="C233" t="str">
        <f t="shared" si="107"/>
        <v>Payable Days for Office Expenses &amp; Supplies</v>
      </c>
      <c r="E233" s="453">
        <f>'Year 4'!E233</f>
        <v>12</v>
      </c>
      <c r="H233" s="379">
        <f t="shared" ref="H233:S233" si="117">H130*$E233/30</f>
        <v>0</v>
      </c>
      <c r="I233" s="380">
        <f t="shared" si="117"/>
        <v>0</v>
      </c>
      <c r="J233" s="380">
        <f t="shared" si="117"/>
        <v>0</v>
      </c>
      <c r="K233" s="380">
        <f t="shared" si="117"/>
        <v>0</v>
      </c>
      <c r="L233" s="380">
        <f t="shared" si="117"/>
        <v>0</v>
      </c>
      <c r="M233" s="380">
        <f t="shared" si="117"/>
        <v>0</v>
      </c>
      <c r="N233" s="380">
        <f t="shared" si="117"/>
        <v>0</v>
      </c>
      <c r="O233" s="380">
        <f t="shared" si="117"/>
        <v>0</v>
      </c>
      <c r="P233" s="380">
        <f t="shared" si="117"/>
        <v>0</v>
      </c>
      <c r="Q233" s="380">
        <f t="shared" si="117"/>
        <v>0</v>
      </c>
      <c r="R233" s="380">
        <f t="shared" si="117"/>
        <v>0</v>
      </c>
      <c r="S233" s="380">
        <f t="shared" si="117"/>
        <v>0</v>
      </c>
      <c r="T233" s="417">
        <f t="shared" si="104"/>
        <v>0</v>
      </c>
    </row>
    <row r="234" spans="2:20" x14ac:dyDescent="0.2">
      <c r="B234" s="308"/>
      <c r="C234" t="str">
        <f t="shared" si="107"/>
        <v>Payable Days for Postage and Delivery</v>
      </c>
      <c r="E234" s="453">
        <f>'Year 4'!E234</f>
        <v>12</v>
      </c>
      <c r="H234" s="379">
        <f t="shared" ref="H234:S234" si="118">H131*$E234/30</f>
        <v>80</v>
      </c>
      <c r="I234" s="380">
        <f t="shared" si="118"/>
        <v>80</v>
      </c>
      <c r="J234" s="380">
        <f t="shared" si="118"/>
        <v>80</v>
      </c>
      <c r="K234" s="380">
        <f t="shared" si="118"/>
        <v>80</v>
      </c>
      <c r="L234" s="380">
        <f t="shared" si="118"/>
        <v>80</v>
      </c>
      <c r="M234" s="380">
        <f t="shared" si="118"/>
        <v>80</v>
      </c>
      <c r="N234" s="380">
        <f t="shared" si="118"/>
        <v>80</v>
      </c>
      <c r="O234" s="380">
        <f t="shared" si="118"/>
        <v>80</v>
      </c>
      <c r="P234" s="380">
        <f t="shared" si="118"/>
        <v>80</v>
      </c>
      <c r="Q234" s="380">
        <f t="shared" si="118"/>
        <v>80</v>
      </c>
      <c r="R234" s="380">
        <f t="shared" si="118"/>
        <v>80</v>
      </c>
      <c r="S234" s="380">
        <f t="shared" si="118"/>
        <v>80</v>
      </c>
      <c r="T234" s="417">
        <f t="shared" si="104"/>
        <v>960</v>
      </c>
    </row>
    <row r="235" spans="2:20" x14ac:dyDescent="0.2">
      <c r="B235" s="308"/>
      <c r="C235" t="str">
        <f t="shared" si="107"/>
        <v>Payable Days for Rent (on business property)</v>
      </c>
      <c r="E235" s="453">
        <f>'Year 4'!E235</f>
        <v>12</v>
      </c>
      <c r="H235" s="379">
        <f t="shared" ref="H235:S235" si="119">H132*$E235/30</f>
        <v>1200</v>
      </c>
      <c r="I235" s="380">
        <f t="shared" si="119"/>
        <v>1200</v>
      </c>
      <c r="J235" s="380">
        <f t="shared" si="119"/>
        <v>1200</v>
      </c>
      <c r="K235" s="380">
        <f t="shared" si="119"/>
        <v>1200</v>
      </c>
      <c r="L235" s="380">
        <f t="shared" si="119"/>
        <v>1200</v>
      </c>
      <c r="M235" s="380">
        <f t="shared" si="119"/>
        <v>1200</v>
      </c>
      <c r="N235" s="380">
        <f t="shared" si="119"/>
        <v>1200</v>
      </c>
      <c r="O235" s="380">
        <f t="shared" si="119"/>
        <v>1200</v>
      </c>
      <c r="P235" s="380">
        <f t="shared" si="119"/>
        <v>1200</v>
      </c>
      <c r="Q235" s="380">
        <f t="shared" si="119"/>
        <v>1200</v>
      </c>
      <c r="R235" s="380">
        <f t="shared" si="119"/>
        <v>1200</v>
      </c>
      <c r="S235" s="380">
        <f t="shared" si="119"/>
        <v>1200</v>
      </c>
      <c r="T235" s="417">
        <f t="shared" si="104"/>
        <v>14400</v>
      </c>
    </row>
    <row r="236" spans="2:20" x14ac:dyDescent="0.2">
      <c r="B236" s="308"/>
      <c r="C236" t="str">
        <f t="shared" si="107"/>
        <v>Payable Days for Rent of Vehicles and Equipment</v>
      </c>
      <c r="E236" s="453">
        <f>'Year 4'!E236</f>
        <v>12</v>
      </c>
      <c r="H236" s="379">
        <f t="shared" ref="H236:S236" si="120">H133*$E236/30</f>
        <v>296</v>
      </c>
      <c r="I236" s="380">
        <f t="shared" si="120"/>
        <v>296</v>
      </c>
      <c r="J236" s="380">
        <f t="shared" si="120"/>
        <v>296</v>
      </c>
      <c r="K236" s="380">
        <f t="shared" si="120"/>
        <v>296</v>
      </c>
      <c r="L236" s="380">
        <f t="shared" si="120"/>
        <v>296</v>
      </c>
      <c r="M236" s="380">
        <f t="shared" si="120"/>
        <v>296</v>
      </c>
      <c r="N236" s="380">
        <f t="shared" si="120"/>
        <v>296</v>
      </c>
      <c r="O236" s="380">
        <f t="shared" si="120"/>
        <v>296</v>
      </c>
      <c r="P236" s="380">
        <f t="shared" si="120"/>
        <v>296</v>
      </c>
      <c r="Q236" s="380">
        <f t="shared" si="120"/>
        <v>296</v>
      </c>
      <c r="R236" s="380">
        <f t="shared" si="120"/>
        <v>296</v>
      </c>
      <c r="S236" s="380">
        <f t="shared" si="120"/>
        <v>296</v>
      </c>
      <c r="T236" s="417">
        <f t="shared" si="104"/>
        <v>3552</v>
      </c>
    </row>
    <row r="237" spans="2:20" x14ac:dyDescent="0.2">
      <c r="B237" s="308"/>
      <c r="C237" t="str">
        <f t="shared" si="107"/>
        <v>Payable Days for Taxes-Other</v>
      </c>
      <c r="E237" s="453">
        <f>'Year 4'!E237</f>
        <v>12</v>
      </c>
      <c r="H237" s="379">
        <f t="shared" ref="H237:S237" si="121">H134*$E237/30</f>
        <v>0</v>
      </c>
      <c r="I237" s="380">
        <f t="shared" si="121"/>
        <v>0</v>
      </c>
      <c r="J237" s="380">
        <f t="shared" si="121"/>
        <v>0</v>
      </c>
      <c r="K237" s="380">
        <f t="shared" si="121"/>
        <v>0</v>
      </c>
      <c r="L237" s="380">
        <f t="shared" si="121"/>
        <v>0</v>
      </c>
      <c r="M237" s="380">
        <f t="shared" si="121"/>
        <v>0</v>
      </c>
      <c r="N237" s="380">
        <f t="shared" si="121"/>
        <v>0</v>
      </c>
      <c r="O237" s="380">
        <f t="shared" si="121"/>
        <v>0</v>
      </c>
      <c r="P237" s="380">
        <f t="shared" si="121"/>
        <v>0</v>
      </c>
      <c r="Q237" s="380">
        <f t="shared" si="121"/>
        <v>0</v>
      </c>
      <c r="R237" s="380">
        <f t="shared" si="121"/>
        <v>0</v>
      </c>
      <c r="S237" s="380">
        <f t="shared" si="121"/>
        <v>0</v>
      </c>
      <c r="T237" s="417">
        <f t="shared" si="104"/>
        <v>0</v>
      </c>
    </row>
    <row r="238" spans="2:20" x14ac:dyDescent="0.2">
      <c r="B238" s="308"/>
      <c r="C238" t="str">
        <f t="shared" si="107"/>
        <v>Payable Days for Telephone and Communications</v>
      </c>
      <c r="E238" s="453">
        <f>'Year 4'!E238</f>
        <v>12</v>
      </c>
      <c r="H238" s="379">
        <f t="shared" ref="H238:S238" si="122">H135*$E238/30</f>
        <v>0</v>
      </c>
      <c r="I238" s="380">
        <f t="shared" si="122"/>
        <v>0</v>
      </c>
      <c r="J238" s="380">
        <f t="shared" si="122"/>
        <v>0</v>
      </c>
      <c r="K238" s="380">
        <f t="shared" si="122"/>
        <v>0</v>
      </c>
      <c r="L238" s="380">
        <f t="shared" si="122"/>
        <v>0</v>
      </c>
      <c r="M238" s="380">
        <f t="shared" si="122"/>
        <v>0</v>
      </c>
      <c r="N238" s="380">
        <f t="shared" si="122"/>
        <v>0</v>
      </c>
      <c r="O238" s="380">
        <f t="shared" si="122"/>
        <v>0</v>
      </c>
      <c r="P238" s="380">
        <f t="shared" si="122"/>
        <v>0</v>
      </c>
      <c r="Q238" s="380">
        <f t="shared" si="122"/>
        <v>0</v>
      </c>
      <c r="R238" s="380">
        <f t="shared" si="122"/>
        <v>0</v>
      </c>
      <c r="S238" s="380">
        <f t="shared" si="122"/>
        <v>0</v>
      </c>
      <c r="T238" s="417">
        <f t="shared" si="104"/>
        <v>0</v>
      </c>
    </row>
    <row r="239" spans="2:20" x14ac:dyDescent="0.2">
      <c r="B239" s="308"/>
      <c r="C239" t="str">
        <f t="shared" si="107"/>
        <v>Payable Days for Travel</v>
      </c>
      <c r="E239" s="453">
        <f>'Year 4'!E239</f>
        <v>12</v>
      </c>
      <c r="H239" s="379">
        <f t="shared" ref="H239:S239" si="123">H136*$E239/30</f>
        <v>0</v>
      </c>
      <c r="I239" s="380">
        <f t="shared" si="123"/>
        <v>0</v>
      </c>
      <c r="J239" s="380">
        <f t="shared" si="123"/>
        <v>0</v>
      </c>
      <c r="K239" s="380">
        <f t="shared" si="123"/>
        <v>0</v>
      </c>
      <c r="L239" s="380">
        <f t="shared" si="123"/>
        <v>0</v>
      </c>
      <c r="M239" s="380">
        <f t="shared" si="123"/>
        <v>0</v>
      </c>
      <c r="N239" s="380">
        <f t="shared" si="123"/>
        <v>0</v>
      </c>
      <c r="O239" s="380">
        <f t="shared" si="123"/>
        <v>0</v>
      </c>
      <c r="P239" s="380">
        <f t="shared" si="123"/>
        <v>0</v>
      </c>
      <c r="Q239" s="380">
        <f t="shared" si="123"/>
        <v>0</v>
      </c>
      <c r="R239" s="380">
        <f t="shared" si="123"/>
        <v>0</v>
      </c>
      <c r="S239" s="380">
        <f t="shared" si="123"/>
        <v>0</v>
      </c>
      <c r="T239" s="417">
        <f t="shared" si="104"/>
        <v>0</v>
      </c>
    </row>
    <row r="240" spans="2:20" x14ac:dyDescent="0.2">
      <c r="B240" s="308"/>
      <c r="C240" t="str">
        <f t="shared" si="107"/>
        <v>Payable Days for IT services (infrastructure, security etc)</v>
      </c>
      <c r="E240" s="453">
        <f>'Year 4'!E240</f>
        <v>12</v>
      </c>
      <c r="H240" s="379">
        <f t="shared" ref="H240:S240" si="124">H137*$E240/30</f>
        <v>0</v>
      </c>
      <c r="I240" s="380">
        <f t="shared" si="124"/>
        <v>0</v>
      </c>
      <c r="J240" s="380">
        <f t="shared" si="124"/>
        <v>0</v>
      </c>
      <c r="K240" s="380">
        <f t="shared" si="124"/>
        <v>0</v>
      </c>
      <c r="L240" s="380">
        <f t="shared" si="124"/>
        <v>0</v>
      </c>
      <c r="M240" s="380">
        <f t="shared" si="124"/>
        <v>0</v>
      </c>
      <c r="N240" s="380">
        <f t="shared" si="124"/>
        <v>0</v>
      </c>
      <c r="O240" s="380">
        <f t="shared" si="124"/>
        <v>0</v>
      </c>
      <c r="P240" s="380">
        <f t="shared" si="124"/>
        <v>0</v>
      </c>
      <c r="Q240" s="380">
        <f t="shared" si="124"/>
        <v>0</v>
      </c>
      <c r="R240" s="380">
        <f t="shared" si="124"/>
        <v>0</v>
      </c>
      <c r="S240" s="380">
        <f t="shared" si="124"/>
        <v>0</v>
      </c>
      <c r="T240" s="417">
        <f t="shared" si="104"/>
        <v>0</v>
      </c>
    </row>
    <row r="241" spans="2:20" x14ac:dyDescent="0.2">
      <c r="B241" s="308"/>
      <c r="C241" t="str">
        <f t="shared" si="107"/>
        <v>Payable Days for Utilities</v>
      </c>
      <c r="E241" s="453">
        <f>'Year 4'!E241</f>
        <v>12</v>
      </c>
      <c r="H241" s="379">
        <f t="shared" ref="H241:S241" si="125">H138*$E241/30</f>
        <v>60</v>
      </c>
      <c r="I241" s="380">
        <f t="shared" si="125"/>
        <v>60</v>
      </c>
      <c r="J241" s="380">
        <f t="shared" si="125"/>
        <v>60</v>
      </c>
      <c r="K241" s="380">
        <f t="shared" si="125"/>
        <v>60</v>
      </c>
      <c r="L241" s="380">
        <f t="shared" si="125"/>
        <v>60</v>
      </c>
      <c r="M241" s="380">
        <f t="shared" si="125"/>
        <v>60</v>
      </c>
      <c r="N241" s="380">
        <f t="shared" si="125"/>
        <v>60</v>
      </c>
      <c r="O241" s="380">
        <f t="shared" si="125"/>
        <v>60</v>
      </c>
      <c r="P241" s="380">
        <f t="shared" si="125"/>
        <v>60</v>
      </c>
      <c r="Q241" s="380">
        <f t="shared" si="125"/>
        <v>60</v>
      </c>
      <c r="R241" s="380">
        <f t="shared" si="125"/>
        <v>60</v>
      </c>
      <c r="S241" s="380">
        <f t="shared" si="125"/>
        <v>60</v>
      </c>
      <c r="T241" s="417">
        <f t="shared" si="104"/>
        <v>720</v>
      </c>
    </row>
    <row r="242" spans="2:20" x14ac:dyDescent="0.2">
      <c r="B242" s="308"/>
      <c r="C242" t="str">
        <f t="shared" si="107"/>
        <v>Payable Days for Others</v>
      </c>
      <c r="E242" s="453">
        <f>'Year 4'!E242</f>
        <v>12</v>
      </c>
      <c r="H242" s="379">
        <f t="shared" ref="H242:S242" si="126">H139*$E242/30</f>
        <v>0</v>
      </c>
      <c r="I242" s="380">
        <f t="shared" si="126"/>
        <v>0</v>
      </c>
      <c r="J242" s="380">
        <f t="shared" si="126"/>
        <v>0</v>
      </c>
      <c r="K242" s="380">
        <f t="shared" si="126"/>
        <v>0</v>
      </c>
      <c r="L242" s="380">
        <f t="shared" si="126"/>
        <v>0</v>
      </c>
      <c r="M242" s="380">
        <f t="shared" si="126"/>
        <v>0</v>
      </c>
      <c r="N242" s="380">
        <f t="shared" si="126"/>
        <v>0</v>
      </c>
      <c r="O242" s="380">
        <f t="shared" si="126"/>
        <v>0</v>
      </c>
      <c r="P242" s="380">
        <f t="shared" si="126"/>
        <v>0</v>
      </c>
      <c r="Q242" s="380">
        <f t="shared" si="126"/>
        <v>0</v>
      </c>
      <c r="R242" s="380">
        <f t="shared" si="126"/>
        <v>0</v>
      </c>
      <c r="S242" s="380">
        <f t="shared" si="126"/>
        <v>0</v>
      </c>
      <c r="T242" s="417">
        <f t="shared" si="104"/>
        <v>0</v>
      </c>
    </row>
    <row r="243" spans="2:20" x14ac:dyDescent="0.2">
      <c r="B243" s="308"/>
      <c r="C243" t="str">
        <f>"Payable Days for "&amp;$B86</f>
        <v>Payable Days for Employee Wages</v>
      </c>
      <c r="E243" s="453">
        <f>'Year 4'!E243</f>
        <v>30</v>
      </c>
      <c r="H243" s="379">
        <f t="shared" ref="H243:S243" si="127">H$102*$E243/30</f>
        <v>27582.262912000002</v>
      </c>
      <c r="I243" s="380">
        <f t="shared" si="127"/>
        <v>27582.262912000002</v>
      </c>
      <c r="J243" s="380">
        <f t="shared" si="127"/>
        <v>27582.262912000002</v>
      </c>
      <c r="K243" s="380">
        <f t="shared" si="127"/>
        <v>27582.262912000002</v>
      </c>
      <c r="L243" s="380">
        <f t="shared" si="127"/>
        <v>27582.262912000002</v>
      </c>
      <c r="M243" s="380">
        <f t="shared" si="127"/>
        <v>27582.262912000002</v>
      </c>
      <c r="N243" s="380">
        <f t="shared" si="127"/>
        <v>27582.262912000002</v>
      </c>
      <c r="O243" s="380">
        <f t="shared" si="127"/>
        <v>27582.262912000002</v>
      </c>
      <c r="P243" s="380">
        <f t="shared" si="127"/>
        <v>27582.262912000002</v>
      </c>
      <c r="Q243" s="380">
        <f t="shared" si="127"/>
        <v>27582.262912000002</v>
      </c>
      <c r="R243" s="380">
        <f t="shared" si="127"/>
        <v>27582.262912000002</v>
      </c>
      <c r="S243" s="380">
        <f t="shared" si="127"/>
        <v>27582.262912000002</v>
      </c>
      <c r="T243" s="417">
        <f t="shared" si="104"/>
        <v>330987.15494400001</v>
      </c>
    </row>
    <row r="244" spans="2:20" x14ac:dyDescent="0.2">
      <c r="B244" s="308"/>
      <c r="C244" t="str">
        <f>"Payable Days for "&amp;$B104</f>
        <v>Payable Days for Payroll Taxes and Benefits</v>
      </c>
      <c r="E244" s="453">
        <f>'Year 4'!E244</f>
        <v>60</v>
      </c>
      <c r="H244" s="379">
        <f t="shared" ref="H244:S244" si="128">H$113*$E244/30</f>
        <v>16971.934544767999</v>
      </c>
      <c r="I244" s="380">
        <f t="shared" si="128"/>
        <v>16971.934544767999</v>
      </c>
      <c r="J244" s="380">
        <f t="shared" si="128"/>
        <v>16971.934544767999</v>
      </c>
      <c r="K244" s="380">
        <f t="shared" si="128"/>
        <v>16971.934544767999</v>
      </c>
      <c r="L244" s="380">
        <f t="shared" si="128"/>
        <v>16971.934544767999</v>
      </c>
      <c r="M244" s="380">
        <f t="shared" si="128"/>
        <v>16971.934544767999</v>
      </c>
      <c r="N244" s="380">
        <f t="shared" si="128"/>
        <v>16971.934544767999</v>
      </c>
      <c r="O244" s="380">
        <f t="shared" si="128"/>
        <v>16971.934544767999</v>
      </c>
      <c r="P244" s="380">
        <f t="shared" si="128"/>
        <v>16971.934544767999</v>
      </c>
      <c r="Q244" s="380">
        <f t="shared" si="128"/>
        <v>16971.934544767999</v>
      </c>
      <c r="R244" s="380">
        <f t="shared" si="128"/>
        <v>16971.934544767999</v>
      </c>
      <c r="S244" s="380">
        <f t="shared" si="128"/>
        <v>16971.934544767999</v>
      </c>
      <c r="T244" s="417">
        <f t="shared" si="104"/>
        <v>203663.21453721603</v>
      </c>
    </row>
    <row r="245" spans="2:20" ht="17" thickBot="1" x14ac:dyDescent="0.25">
      <c r="B245" s="308"/>
      <c r="C245" t="str">
        <f>"Payable Days for "&amp;$C159</f>
        <v xml:space="preserve">Payable Days for </v>
      </c>
      <c r="E245" s="453">
        <f>'Year 4'!E245</f>
        <v>90</v>
      </c>
      <c r="H245" s="379">
        <f t="shared" ref="H245:S245" si="129">H$166*$E245/30</f>
        <v>0</v>
      </c>
      <c r="I245" s="380">
        <f t="shared" si="129"/>
        <v>0</v>
      </c>
      <c r="J245" s="380">
        <f t="shared" si="129"/>
        <v>0</v>
      </c>
      <c r="K245" s="380">
        <f t="shared" si="129"/>
        <v>0</v>
      </c>
      <c r="L245" s="380">
        <f t="shared" si="129"/>
        <v>0</v>
      </c>
      <c r="M245" s="380">
        <f t="shared" si="129"/>
        <v>0</v>
      </c>
      <c r="N245" s="380">
        <f t="shared" si="129"/>
        <v>0</v>
      </c>
      <c r="O245" s="380">
        <f t="shared" si="129"/>
        <v>0</v>
      </c>
      <c r="P245" s="380">
        <f t="shared" si="129"/>
        <v>0</v>
      </c>
      <c r="Q245" s="380">
        <f t="shared" si="129"/>
        <v>0</v>
      </c>
      <c r="R245" s="380">
        <f t="shared" si="129"/>
        <v>0</v>
      </c>
      <c r="S245" s="380">
        <f t="shared" si="129"/>
        <v>0</v>
      </c>
      <c r="T245" s="417">
        <f t="shared" si="104"/>
        <v>0</v>
      </c>
    </row>
    <row r="246" spans="2:20" ht="17" thickTop="1" x14ac:dyDescent="0.2">
      <c r="B246" s="418" t="s">
        <v>152</v>
      </c>
      <c r="C246" s="419"/>
      <c r="D246" s="419"/>
      <c r="E246" s="419"/>
      <c r="F246" s="419"/>
      <c r="G246" s="420"/>
      <c r="H246" s="421">
        <f>SUM(H216:H245)</f>
        <v>47459.878790101335</v>
      </c>
      <c r="I246" s="422">
        <f t="shared" ref="I246:S246" si="130">SUM(I216:I245)</f>
        <v>47487.31879010133</v>
      </c>
      <c r="J246" s="422">
        <f t="shared" si="130"/>
        <v>47513.078790101339</v>
      </c>
      <c r="K246" s="422">
        <f t="shared" si="130"/>
        <v>47540.518790101334</v>
      </c>
      <c r="L246" s="422">
        <f t="shared" si="130"/>
        <v>47566.185456767998</v>
      </c>
      <c r="M246" s="422">
        <f t="shared" si="130"/>
        <v>47593.625456768001</v>
      </c>
      <c r="N246" s="422">
        <f t="shared" si="130"/>
        <v>47619.385456767995</v>
      </c>
      <c r="O246" s="422">
        <f t="shared" si="130"/>
        <v>47646.825456767998</v>
      </c>
      <c r="P246" s="422">
        <f t="shared" si="130"/>
        <v>47672.492123434669</v>
      </c>
      <c r="Q246" s="422">
        <f t="shared" si="130"/>
        <v>47699.932123434672</v>
      </c>
      <c r="R246" s="422">
        <f t="shared" si="130"/>
        <v>47725.692123434666</v>
      </c>
      <c r="S246" s="422">
        <f t="shared" si="130"/>
        <v>47753.272123434668</v>
      </c>
      <c r="T246" s="423">
        <f>SUM(H246:S246)</f>
        <v>571278.20548121596</v>
      </c>
    </row>
    <row r="247" spans="2:20" ht="17" thickBot="1" x14ac:dyDescent="0.25">
      <c r="B247" s="308"/>
      <c r="H247" s="367"/>
      <c r="I247" s="368"/>
      <c r="J247" s="368"/>
      <c r="K247" s="368"/>
      <c r="L247" s="368"/>
      <c r="M247" s="368"/>
      <c r="N247" s="368"/>
      <c r="O247" s="368"/>
      <c r="P247" s="368"/>
      <c r="Q247" s="368"/>
      <c r="R247" s="368"/>
      <c r="S247" s="368"/>
      <c r="T247" s="407"/>
    </row>
    <row r="248" spans="2:20" ht="17" thickTop="1" x14ac:dyDescent="0.2">
      <c r="B248" s="250" t="s">
        <v>41</v>
      </c>
      <c r="C248" s="237"/>
      <c r="D248" s="237"/>
      <c r="E248" s="237"/>
      <c r="F248" s="237"/>
      <c r="G248" s="237"/>
      <c r="H248" s="239">
        <f>H209+IF(H212="",H213,H212)-H246</f>
        <v>22959.121209898665</v>
      </c>
      <c r="I248" s="240">
        <f t="shared" ref="I248:S248" si="131">I209+IF(I212="",I213,I212)-I246</f>
        <v>25547.68120989867</v>
      </c>
      <c r="J248" s="240">
        <f t="shared" si="131"/>
        <v>27981.921209898661</v>
      </c>
      <c r="K248" s="240">
        <f t="shared" si="131"/>
        <v>30570.481209898666</v>
      </c>
      <c r="L248" s="240">
        <f t="shared" si="131"/>
        <v>33004.814543232002</v>
      </c>
      <c r="M248" s="240">
        <f t="shared" si="131"/>
        <v>35593.374543231999</v>
      </c>
      <c r="N248" s="240">
        <f t="shared" si="131"/>
        <v>38027.614543232005</v>
      </c>
      <c r="O248" s="240">
        <f t="shared" si="131"/>
        <v>40616.174543232002</v>
      </c>
      <c r="P248" s="240">
        <f t="shared" si="131"/>
        <v>43050.507876565331</v>
      </c>
      <c r="Q248" s="240">
        <f t="shared" si="131"/>
        <v>45639.067876565328</v>
      </c>
      <c r="R248" s="240">
        <f t="shared" si="131"/>
        <v>48073.307876565334</v>
      </c>
      <c r="S248" s="240">
        <f t="shared" si="131"/>
        <v>50676.727876565332</v>
      </c>
      <c r="T248" s="251">
        <f>SUM(H248:S248)</f>
        <v>441740.79451878404</v>
      </c>
    </row>
    <row r="249" spans="2:20" x14ac:dyDescent="0.2">
      <c r="H249" s="367"/>
      <c r="I249" s="368"/>
      <c r="J249" s="368"/>
      <c r="K249" s="368"/>
      <c r="L249" s="368"/>
      <c r="M249" s="368"/>
      <c r="N249" s="368"/>
      <c r="O249" s="368"/>
      <c r="P249" s="368"/>
      <c r="Q249" s="368"/>
      <c r="R249" s="368"/>
      <c r="S249" s="368"/>
      <c r="T249" s="381"/>
    </row>
    <row r="250" spans="2:20" ht="20" x14ac:dyDescent="0.2">
      <c r="B250" s="116" t="s">
        <v>52</v>
      </c>
      <c r="C250" s="327"/>
      <c r="D250" s="327"/>
      <c r="E250" s="327" t="str">
        <f>$E$3</f>
        <v>Year 5 (2024)</v>
      </c>
      <c r="F250" s="327"/>
      <c r="G250" s="327"/>
      <c r="H250" s="360" t="s">
        <v>127</v>
      </c>
      <c r="I250" s="361" t="s">
        <v>128</v>
      </c>
      <c r="J250" s="361" t="s">
        <v>129</v>
      </c>
      <c r="K250" s="361" t="s">
        <v>130</v>
      </c>
      <c r="L250" s="361" t="s">
        <v>131</v>
      </c>
      <c r="M250" s="361" t="s">
        <v>132</v>
      </c>
      <c r="N250" s="361" t="s">
        <v>133</v>
      </c>
      <c r="O250" s="361" t="s">
        <v>134</v>
      </c>
      <c r="P250" s="361" t="s">
        <v>135</v>
      </c>
      <c r="Q250" s="361" t="s">
        <v>136</v>
      </c>
      <c r="R250" s="361" t="s">
        <v>137</v>
      </c>
      <c r="S250" s="361" t="s">
        <v>138</v>
      </c>
      <c r="T250" s="362" t="s">
        <v>179</v>
      </c>
    </row>
    <row r="251" spans="2:20" x14ac:dyDescent="0.2">
      <c r="B251" s="401"/>
      <c r="C251" s="402"/>
      <c r="D251" s="402"/>
      <c r="E251" s="402"/>
      <c r="F251" s="402"/>
      <c r="G251" s="403" t="s">
        <v>57</v>
      </c>
      <c r="H251" s="363">
        <f>H$4</f>
        <v>49</v>
      </c>
      <c r="I251" s="364">
        <f t="shared" ref="I251:S251" si="132">I$4</f>
        <v>50</v>
      </c>
      <c r="J251" s="364">
        <f t="shared" si="132"/>
        <v>51</v>
      </c>
      <c r="K251" s="364">
        <f t="shared" si="132"/>
        <v>52</v>
      </c>
      <c r="L251" s="364">
        <f t="shared" si="132"/>
        <v>53</v>
      </c>
      <c r="M251" s="364">
        <f t="shared" si="132"/>
        <v>54</v>
      </c>
      <c r="N251" s="364">
        <f t="shared" si="132"/>
        <v>55</v>
      </c>
      <c r="O251" s="364">
        <f t="shared" si="132"/>
        <v>56</v>
      </c>
      <c r="P251" s="364">
        <f t="shared" si="132"/>
        <v>57</v>
      </c>
      <c r="Q251" s="364">
        <f t="shared" si="132"/>
        <v>58</v>
      </c>
      <c r="R251" s="364">
        <f t="shared" si="132"/>
        <v>59</v>
      </c>
      <c r="S251" s="364">
        <f t="shared" si="132"/>
        <v>60</v>
      </c>
      <c r="T251" s="405" t="str">
        <f>"Total for " &amp; $E$3</f>
        <v>Total for Year 5 (2024)</v>
      </c>
    </row>
    <row r="252" spans="2:20" x14ac:dyDescent="0.2">
      <c r="B252" s="307" t="s">
        <v>146</v>
      </c>
      <c r="G252" s="15"/>
      <c r="H252" s="398"/>
      <c r="I252" s="399"/>
      <c r="J252" s="399"/>
      <c r="K252" s="399"/>
      <c r="L252" s="399"/>
      <c r="M252" s="399"/>
      <c r="N252" s="399"/>
      <c r="O252" s="399"/>
      <c r="P252" s="399"/>
      <c r="Q252" s="399"/>
      <c r="R252" s="399"/>
      <c r="S252" s="399"/>
      <c r="T252" s="432"/>
    </row>
    <row r="253" spans="2:20" x14ac:dyDescent="0.2">
      <c r="B253" s="308"/>
      <c r="C253" t="s">
        <v>23</v>
      </c>
      <c r="D253" s="5"/>
      <c r="E253" s="7"/>
      <c r="F253" s="7"/>
      <c r="G253" s="5"/>
      <c r="H253" s="379">
        <f>H$183</f>
        <v>13028.900482282663</v>
      </c>
      <c r="I253" s="380">
        <f t="shared" ref="I253:S253" si="133">I$183</f>
        <v>15160.180482282662</v>
      </c>
      <c r="J253" s="380">
        <f t="shared" si="133"/>
        <v>13335.49048228267</v>
      </c>
      <c r="K253" s="380">
        <f t="shared" si="133"/>
        <v>19322.020482282667</v>
      </c>
      <c r="L253" s="380">
        <f>L$183</f>
        <v>21342.087148949337</v>
      </c>
      <c r="M253" s="380">
        <f t="shared" si="133"/>
        <v>23474.367148949335</v>
      </c>
      <c r="N253" s="380">
        <f t="shared" si="133"/>
        <v>25501.427148949326</v>
      </c>
      <c r="O253" s="380">
        <f t="shared" si="133"/>
        <v>27633.707148949325</v>
      </c>
      <c r="P253" s="380">
        <f t="shared" si="133"/>
        <v>29653.60714894933</v>
      </c>
      <c r="Q253" s="380">
        <f t="shared" si="133"/>
        <v>31785.053815615996</v>
      </c>
      <c r="R253" s="380">
        <f t="shared" si="133"/>
        <v>33814.613815616001</v>
      </c>
      <c r="S253" s="380">
        <f t="shared" si="133"/>
        <v>35963.573815615993</v>
      </c>
      <c r="T253" s="417">
        <f t="shared" ref="T253:T257" si="134">SUM(H253:S253)</f>
        <v>290015.02912072529</v>
      </c>
    </row>
    <row r="254" spans="2:20" x14ac:dyDescent="0.2">
      <c r="B254" s="308"/>
      <c r="C254" t="s">
        <v>147</v>
      </c>
      <c r="D254" s="5"/>
      <c r="E254" s="7"/>
      <c r="F254" s="7"/>
      <c r="G254" s="5"/>
      <c r="H254" s="379">
        <f>H$155</f>
        <v>15.833333333333334</v>
      </c>
      <c r="I254" s="380">
        <f t="shared" ref="I254:S254" si="135">I$155</f>
        <v>16.833333333333336</v>
      </c>
      <c r="J254" s="380">
        <f t="shared" si="135"/>
        <v>16.833333333333336</v>
      </c>
      <c r="K254" s="380">
        <f t="shared" si="135"/>
        <v>16.833333333333336</v>
      </c>
      <c r="L254" s="380">
        <f t="shared" si="135"/>
        <v>17.666666666666668</v>
      </c>
      <c r="M254" s="380">
        <f t="shared" si="135"/>
        <v>17.666666666666668</v>
      </c>
      <c r="N254" s="380">
        <f t="shared" si="135"/>
        <v>20.166666666666668</v>
      </c>
      <c r="O254" s="380">
        <f t="shared" si="135"/>
        <v>20.166666666666668</v>
      </c>
      <c r="P254" s="380">
        <f t="shared" si="135"/>
        <v>21.166666666666668</v>
      </c>
      <c r="Q254" s="380">
        <f t="shared" si="135"/>
        <v>22</v>
      </c>
      <c r="R254" s="380">
        <f t="shared" si="135"/>
        <v>22</v>
      </c>
      <c r="S254" s="380">
        <f t="shared" si="135"/>
        <v>22</v>
      </c>
      <c r="T254" s="417">
        <f t="shared" si="134"/>
        <v>229.16666666666669</v>
      </c>
    </row>
    <row r="255" spans="2:20" x14ac:dyDescent="0.2">
      <c r="B255" s="308"/>
      <c r="C255" t="s">
        <v>153</v>
      </c>
      <c r="D255" s="5"/>
      <c r="E255" s="7"/>
      <c r="F255" s="7"/>
      <c r="G255" s="5"/>
      <c r="H255" s="379">
        <f>H246-G246</f>
        <v>47459.878790101335</v>
      </c>
      <c r="I255" s="380">
        <f t="shared" ref="I255:S255" si="136">I246-H246</f>
        <v>27.439999999995052</v>
      </c>
      <c r="J255" s="380">
        <f t="shared" si="136"/>
        <v>25.760000000009313</v>
      </c>
      <c r="K255" s="380">
        <f t="shared" si="136"/>
        <v>27.439999999995052</v>
      </c>
      <c r="L255" s="380">
        <f t="shared" si="136"/>
        <v>25.666666666664241</v>
      </c>
      <c r="M255" s="380">
        <f t="shared" si="136"/>
        <v>27.440000000002328</v>
      </c>
      <c r="N255" s="380">
        <f t="shared" si="136"/>
        <v>25.759999999994761</v>
      </c>
      <c r="O255" s="380">
        <f t="shared" si="136"/>
        <v>27.440000000002328</v>
      </c>
      <c r="P255" s="380">
        <f t="shared" si="136"/>
        <v>25.666666666671517</v>
      </c>
      <c r="Q255" s="380">
        <f t="shared" si="136"/>
        <v>27.440000000002328</v>
      </c>
      <c r="R255" s="380">
        <f t="shared" si="136"/>
        <v>25.759999999994761</v>
      </c>
      <c r="S255" s="380">
        <f t="shared" si="136"/>
        <v>27.580000000001746</v>
      </c>
      <c r="T255" s="417">
        <f t="shared" si="134"/>
        <v>47753.272123434668</v>
      </c>
    </row>
    <row r="256" spans="2:20" ht="17" thickBot="1" x14ac:dyDescent="0.25">
      <c r="B256" s="308"/>
      <c r="C256" t="s">
        <v>148</v>
      </c>
      <c r="H256" s="379">
        <f t="shared" ref="H256:S256" si="137">H$200</f>
        <v>19000</v>
      </c>
      <c r="I256" s="380">
        <f t="shared" si="137"/>
        <v>1200</v>
      </c>
      <c r="J256" s="380">
        <f t="shared" si="137"/>
        <v>0</v>
      </c>
      <c r="K256" s="380">
        <f t="shared" si="137"/>
        <v>0</v>
      </c>
      <c r="L256" s="380">
        <f t="shared" si="137"/>
        <v>1000</v>
      </c>
      <c r="M256" s="380">
        <f t="shared" si="137"/>
        <v>0</v>
      </c>
      <c r="N256" s="380">
        <f t="shared" si="137"/>
        <v>3000</v>
      </c>
      <c r="O256" s="380">
        <f t="shared" si="137"/>
        <v>0</v>
      </c>
      <c r="P256" s="380">
        <f t="shared" si="137"/>
        <v>1200</v>
      </c>
      <c r="Q256" s="380">
        <f t="shared" si="137"/>
        <v>1000</v>
      </c>
      <c r="R256" s="380">
        <f t="shared" si="137"/>
        <v>0</v>
      </c>
      <c r="S256" s="380">
        <f t="shared" si="137"/>
        <v>0</v>
      </c>
      <c r="T256" s="417">
        <f t="shared" si="134"/>
        <v>26400</v>
      </c>
    </row>
    <row r="257" spans="2:20" ht="17" thickTop="1" x14ac:dyDescent="0.2">
      <c r="B257" s="250" t="s">
        <v>146</v>
      </c>
      <c r="C257" s="237"/>
      <c r="D257" s="237"/>
      <c r="E257" s="237"/>
      <c r="F257" s="237"/>
      <c r="G257" s="237"/>
      <c r="H257" s="167">
        <f>H253+H254+H255-H256</f>
        <v>41504.612605717331</v>
      </c>
      <c r="I257" s="167">
        <f t="shared" ref="I257:S257" si="138">I253+I254+I255-I256</f>
        <v>14004.453815615991</v>
      </c>
      <c r="J257" s="167">
        <f t="shared" si="138"/>
        <v>13378.083815616013</v>
      </c>
      <c r="K257" s="167">
        <f t="shared" si="138"/>
        <v>19366.293815615994</v>
      </c>
      <c r="L257" s="167">
        <f t="shared" si="138"/>
        <v>20385.420482282669</v>
      </c>
      <c r="M257" s="167">
        <f t="shared" si="138"/>
        <v>23519.473815616006</v>
      </c>
      <c r="N257" s="167">
        <f t="shared" si="138"/>
        <v>22547.353815615988</v>
      </c>
      <c r="O257" s="167">
        <f t="shared" si="138"/>
        <v>27681.313815615995</v>
      </c>
      <c r="P257" s="167">
        <f t="shared" si="138"/>
        <v>28500.440482282669</v>
      </c>
      <c r="Q257" s="167">
        <f t="shared" si="138"/>
        <v>30834.493815615999</v>
      </c>
      <c r="R257" s="167">
        <f t="shared" si="138"/>
        <v>33862.373815615996</v>
      </c>
      <c r="S257" s="167">
        <f t="shared" si="138"/>
        <v>36013.153815615995</v>
      </c>
      <c r="T257" s="167">
        <f t="shared" si="134"/>
        <v>311597.46791082661</v>
      </c>
    </row>
    <row r="258" spans="2:20" x14ac:dyDescent="0.2">
      <c r="B258" s="428"/>
      <c r="C258" s="5"/>
      <c r="D258" s="5"/>
      <c r="E258" s="7"/>
      <c r="F258" s="7"/>
      <c r="G258" s="5"/>
      <c r="H258" s="393"/>
      <c r="I258" s="394"/>
      <c r="J258" s="394"/>
      <c r="K258" s="394"/>
      <c r="L258" s="394"/>
      <c r="M258" s="394"/>
      <c r="N258" s="394"/>
      <c r="O258" s="394"/>
      <c r="P258" s="394"/>
      <c r="Q258" s="394"/>
      <c r="R258" s="394"/>
      <c r="S258" s="394"/>
      <c r="T258" s="430"/>
    </row>
    <row r="259" spans="2:20" x14ac:dyDescent="0.2">
      <c r="B259" s="307" t="s">
        <v>140</v>
      </c>
      <c r="G259" s="15"/>
      <c r="H259" s="398"/>
      <c r="I259" s="399"/>
      <c r="J259" s="399"/>
      <c r="K259" s="399"/>
      <c r="L259" s="399"/>
      <c r="M259" s="399"/>
      <c r="N259" s="399"/>
      <c r="O259" s="399"/>
      <c r="P259" s="399"/>
      <c r="Q259" s="399"/>
      <c r="R259" s="399"/>
      <c r="S259" s="399"/>
      <c r="T259" s="432"/>
    </row>
    <row r="260" spans="2:20" x14ac:dyDescent="0.2">
      <c r="B260" s="308"/>
      <c r="C260" s="24" t="s">
        <v>23</v>
      </c>
      <c r="D260" s="5"/>
      <c r="E260" s="7"/>
      <c r="F260" s="7"/>
      <c r="G260" s="5"/>
      <c r="H260" s="379">
        <f t="shared" ref="H260:T260" si="139">H183</f>
        <v>13028.900482282663</v>
      </c>
      <c r="I260" s="380">
        <f t="shared" si="139"/>
        <v>15160.180482282662</v>
      </c>
      <c r="J260" s="380">
        <f t="shared" si="139"/>
        <v>13335.49048228267</v>
      </c>
      <c r="K260" s="380">
        <f t="shared" si="139"/>
        <v>19322.020482282667</v>
      </c>
      <c r="L260" s="380">
        <f t="shared" si="139"/>
        <v>21342.087148949337</v>
      </c>
      <c r="M260" s="380">
        <f t="shared" si="139"/>
        <v>23474.367148949335</v>
      </c>
      <c r="N260" s="380">
        <f t="shared" si="139"/>
        <v>25501.427148949326</v>
      </c>
      <c r="O260" s="380">
        <f t="shared" si="139"/>
        <v>27633.707148949325</v>
      </c>
      <c r="P260" s="380">
        <f t="shared" si="139"/>
        <v>29653.60714894933</v>
      </c>
      <c r="Q260" s="380">
        <f t="shared" si="139"/>
        <v>31785.053815615996</v>
      </c>
      <c r="R260" s="380">
        <f t="shared" si="139"/>
        <v>33814.613815616001</v>
      </c>
      <c r="S260" s="380">
        <f t="shared" si="139"/>
        <v>35963.573815615993</v>
      </c>
      <c r="T260" s="417">
        <f t="shared" si="139"/>
        <v>290015.02912072529</v>
      </c>
    </row>
    <row r="261" spans="2:20" x14ac:dyDescent="0.2">
      <c r="B261" s="308"/>
      <c r="C261" s="24" t="s">
        <v>45</v>
      </c>
      <c r="H261" s="379">
        <f t="shared" ref="H261:T261" si="140">H155</f>
        <v>15.833333333333334</v>
      </c>
      <c r="I261" s="380">
        <f t="shared" si="140"/>
        <v>16.833333333333336</v>
      </c>
      <c r="J261" s="380">
        <f t="shared" si="140"/>
        <v>16.833333333333336</v>
      </c>
      <c r="K261" s="380">
        <f t="shared" si="140"/>
        <v>16.833333333333336</v>
      </c>
      <c r="L261" s="380">
        <f t="shared" si="140"/>
        <v>17.666666666666668</v>
      </c>
      <c r="M261" s="380">
        <f t="shared" si="140"/>
        <v>17.666666666666668</v>
      </c>
      <c r="N261" s="380">
        <f t="shared" si="140"/>
        <v>20.166666666666668</v>
      </c>
      <c r="O261" s="380">
        <f t="shared" si="140"/>
        <v>20.166666666666668</v>
      </c>
      <c r="P261" s="380">
        <f t="shared" si="140"/>
        <v>21.166666666666668</v>
      </c>
      <c r="Q261" s="380">
        <f t="shared" si="140"/>
        <v>22</v>
      </c>
      <c r="R261" s="380">
        <f t="shared" si="140"/>
        <v>22</v>
      </c>
      <c r="S261" s="380">
        <f t="shared" si="140"/>
        <v>22</v>
      </c>
      <c r="T261" s="417">
        <f t="shared" si="140"/>
        <v>229.16666666666669</v>
      </c>
    </row>
    <row r="262" spans="2:20" ht="17" thickBot="1" x14ac:dyDescent="0.25">
      <c r="B262" s="308"/>
      <c r="C262" s="24" t="s">
        <v>46</v>
      </c>
      <c r="H262" s="379">
        <f t="shared" ref="H262:S262" si="141">H248-G248</f>
        <v>22959.121209898665</v>
      </c>
      <c r="I262" s="380">
        <f t="shared" si="141"/>
        <v>2588.5600000000049</v>
      </c>
      <c r="J262" s="380">
        <f t="shared" si="141"/>
        <v>2434.2399999999907</v>
      </c>
      <c r="K262" s="380">
        <f t="shared" si="141"/>
        <v>2588.5600000000049</v>
      </c>
      <c r="L262" s="380">
        <f t="shared" si="141"/>
        <v>2434.3333333333358</v>
      </c>
      <c r="M262" s="380">
        <f t="shared" si="141"/>
        <v>2588.5599999999977</v>
      </c>
      <c r="N262" s="380">
        <f t="shared" si="141"/>
        <v>2434.2400000000052</v>
      </c>
      <c r="O262" s="380">
        <f t="shared" si="141"/>
        <v>2588.5599999999977</v>
      </c>
      <c r="P262" s="380">
        <f t="shared" si="141"/>
        <v>2434.3333333333285</v>
      </c>
      <c r="Q262" s="380">
        <f t="shared" si="141"/>
        <v>2588.5599999999977</v>
      </c>
      <c r="R262" s="380">
        <f t="shared" si="141"/>
        <v>2434.2400000000052</v>
      </c>
      <c r="S262" s="380">
        <f t="shared" si="141"/>
        <v>2603.4199999999983</v>
      </c>
      <c r="T262" s="417">
        <f t="shared" ref="T262:T268" si="142">SUM(H262:S262)</f>
        <v>50676.727876565332</v>
      </c>
    </row>
    <row r="263" spans="2:20" ht="17" thickTop="1" x14ac:dyDescent="0.2">
      <c r="B263" s="250" t="s">
        <v>141</v>
      </c>
      <c r="C263" s="237"/>
      <c r="D263" s="237"/>
      <c r="E263" s="237"/>
      <c r="F263" s="237"/>
      <c r="G263" s="237"/>
      <c r="H263" s="167">
        <f>H260+H261-H262</f>
        <v>-9914.3873942826685</v>
      </c>
      <c r="I263" s="167">
        <f t="shared" ref="I263:S263" si="143">I260+I261-I262</f>
        <v>12588.453815615991</v>
      </c>
      <c r="J263" s="167">
        <f t="shared" si="143"/>
        <v>10918.083815616013</v>
      </c>
      <c r="K263" s="167">
        <f t="shared" si="143"/>
        <v>16750.293815615994</v>
      </c>
      <c r="L263" s="167">
        <f t="shared" si="143"/>
        <v>18925.420482282669</v>
      </c>
      <c r="M263" s="167">
        <f t="shared" si="143"/>
        <v>20903.473815616006</v>
      </c>
      <c r="N263" s="167">
        <f t="shared" si="143"/>
        <v>23087.353815615988</v>
      </c>
      <c r="O263" s="167">
        <f t="shared" si="143"/>
        <v>25065.313815615995</v>
      </c>
      <c r="P263" s="167">
        <f t="shared" si="143"/>
        <v>27240.440482282669</v>
      </c>
      <c r="Q263" s="167">
        <f t="shared" si="143"/>
        <v>29218.493815615999</v>
      </c>
      <c r="R263" s="167">
        <f t="shared" si="143"/>
        <v>31402.373815615996</v>
      </c>
      <c r="S263" s="167">
        <f t="shared" si="143"/>
        <v>33382.153815615995</v>
      </c>
      <c r="T263" s="167">
        <f t="shared" si="142"/>
        <v>239567.46791082667</v>
      </c>
    </row>
    <row r="264" spans="2:20" x14ac:dyDescent="0.2">
      <c r="B264" s="428"/>
      <c r="C264" s="5"/>
      <c r="D264" s="5"/>
      <c r="E264" s="7"/>
      <c r="F264" s="7"/>
      <c r="G264" s="5"/>
      <c r="H264" s="393"/>
      <c r="I264" s="394"/>
      <c r="J264" s="394"/>
      <c r="K264" s="394"/>
      <c r="L264" s="394"/>
      <c r="M264" s="394"/>
      <c r="N264" s="394"/>
      <c r="O264" s="394"/>
      <c r="P264" s="394"/>
      <c r="Q264" s="394"/>
      <c r="R264" s="394"/>
      <c r="S264" s="394"/>
      <c r="T264" s="430"/>
    </row>
    <row r="265" spans="2:20" x14ac:dyDescent="0.2">
      <c r="B265" s="307" t="s">
        <v>142</v>
      </c>
      <c r="C265" s="5"/>
      <c r="D265" s="5"/>
      <c r="E265" s="7"/>
      <c r="F265" s="7"/>
      <c r="G265" s="5"/>
      <c r="H265" s="393"/>
      <c r="I265" s="394"/>
      <c r="J265" s="394"/>
      <c r="K265" s="394"/>
      <c r="L265" s="394"/>
      <c r="M265" s="394"/>
      <c r="N265" s="394"/>
      <c r="O265" s="394"/>
      <c r="P265" s="394"/>
      <c r="Q265" s="394"/>
      <c r="R265" s="394"/>
      <c r="S265" s="394"/>
      <c r="T265" s="430"/>
    </row>
    <row r="266" spans="2:20" x14ac:dyDescent="0.2">
      <c r="B266" s="308"/>
      <c r="C266" t="s">
        <v>47</v>
      </c>
      <c r="H266" s="382">
        <f t="shared" ref="H266:S266" si="144">H200</f>
        <v>19000</v>
      </c>
      <c r="I266" s="383">
        <f t="shared" si="144"/>
        <v>1200</v>
      </c>
      <c r="J266" s="383">
        <f t="shared" si="144"/>
        <v>0</v>
      </c>
      <c r="K266" s="383">
        <f t="shared" si="144"/>
        <v>0</v>
      </c>
      <c r="L266" s="383">
        <f t="shared" si="144"/>
        <v>1000</v>
      </c>
      <c r="M266" s="383">
        <f t="shared" si="144"/>
        <v>0</v>
      </c>
      <c r="N266" s="383">
        <f t="shared" si="144"/>
        <v>3000</v>
      </c>
      <c r="O266" s="383">
        <f t="shared" si="144"/>
        <v>0</v>
      </c>
      <c r="P266" s="383">
        <f t="shared" si="144"/>
        <v>1200</v>
      </c>
      <c r="Q266" s="383">
        <f t="shared" si="144"/>
        <v>1000</v>
      </c>
      <c r="R266" s="383">
        <f t="shared" si="144"/>
        <v>0</v>
      </c>
      <c r="S266" s="383">
        <f t="shared" si="144"/>
        <v>0</v>
      </c>
      <c r="T266" s="425">
        <f t="shared" si="142"/>
        <v>26400</v>
      </c>
    </row>
    <row r="267" spans="2:20" ht="17" thickBot="1" x14ac:dyDescent="0.25">
      <c r="B267" s="308"/>
      <c r="C267" s="457" t="s">
        <v>43</v>
      </c>
      <c r="D267" s="457"/>
      <c r="E267" s="457"/>
      <c r="F267" s="457"/>
      <c r="G267" s="457"/>
      <c r="H267" s="458">
        <v>0</v>
      </c>
      <c r="I267" s="459">
        <v>0</v>
      </c>
      <c r="J267" s="459">
        <v>0</v>
      </c>
      <c r="K267" s="459">
        <v>0</v>
      </c>
      <c r="L267" s="459">
        <v>0</v>
      </c>
      <c r="M267" s="459">
        <v>0</v>
      </c>
      <c r="N267" s="459">
        <v>0</v>
      </c>
      <c r="O267" s="459">
        <v>0</v>
      </c>
      <c r="P267" s="459">
        <v>0</v>
      </c>
      <c r="Q267" s="459">
        <v>0</v>
      </c>
      <c r="R267" s="459">
        <v>0</v>
      </c>
      <c r="S267" s="459">
        <v>0</v>
      </c>
      <c r="T267" s="417">
        <f t="shared" si="142"/>
        <v>0</v>
      </c>
    </row>
    <row r="268" spans="2:20" ht="17" thickTop="1" x14ac:dyDescent="0.2">
      <c r="B268" s="250" t="s">
        <v>144</v>
      </c>
      <c r="C268" s="237"/>
      <c r="D268" s="237"/>
      <c r="E268" s="237"/>
      <c r="F268" s="237"/>
      <c r="G268" s="237"/>
      <c r="H268" s="167">
        <f>-H266+H267</f>
        <v>-19000</v>
      </c>
      <c r="I268" s="167">
        <f t="shared" ref="I268:S268" si="145">-I266+I267</f>
        <v>-1200</v>
      </c>
      <c r="J268" s="167">
        <f t="shared" si="145"/>
        <v>0</v>
      </c>
      <c r="K268" s="167">
        <f t="shared" si="145"/>
        <v>0</v>
      </c>
      <c r="L268" s="167">
        <f t="shared" si="145"/>
        <v>-1000</v>
      </c>
      <c r="M268" s="167">
        <f t="shared" si="145"/>
        <v>0</v>
      </c>
      <c r="N268" s="167">
        <f t="shared" si="145"/>
        <v>-3000</v>
      </c>
      <c r="O268" s="167">
        <f t="shared" si="145"/>
        <v>0</v>
      </c>
      <c r="P268" s="167">
        <f t="shared" si="145"/>
        <v>-1200</v>
      </c>
      <c r="Q268" s="167">
        <f t="shared" si="145"/>
        <v>-1000</v>
      </c>
      <c r="R268" s="167">
        <f t="shared" si="145"/>
        <v>0</v>
      </c>
      <c r="S268" s="167">
        <f t="shared" si="145"/>
        <v>0</v>
      </c>
      <c r="T268" s="167">
        <f t="shared" si="142"/>
        <v>-26400</v>
      </c>
    </row>
    <row r="269" spans="2:20" x14ac:dyDescent="0.2">
      <c r="B269" s="428"/>
      <c r="C269" s="5"/>
      <c r="D269" s="5"/>
      <c r="E269" s="7"/>
      <c r="F269" s="7"/>
      <c r="G269" s="5"/>
      <c r="H269" s="393"/>
      <c r="I269" s="394"/>
      <c r="J269" s="394"/>
      <c r="K269" s="394"/>
      <c r="L269" s="394"/>
      <c r="M269" s="394"/>
      <c r="N269" s="394"/>
      <c r="O269" s="394"/>
      <c r="P269" s="394"/>
      <c r="Q269" s="394"/>
      <c r="R269" s="394"/>
      <c r="S269" s="394"/>
      <c r="T269" s="430"/>
    </row>
    <row r="270" spans="2:20" x14ac:dyDescent="0.2">
      <c r="B270" s="307" t="s">
        <v>143</v>
      </c>
      <c r="C270" s="5"/>
      <c r="D270" s="5"/>
      <c r="E270" s="7"/>
      <c r="F270" s="7"/>
      <c r="G270" s="5"/>
      <c r="H270" s="393"/>
      <c r="I270" s="394"/>
      <c r="J270" s="394"/>
      <c r="K270" s="394"/>
      <c r="L270" s="394"/>
      <c r="M270" s="394"/>
      <c r="N270" s="394"/>
      <c r="O270" s="394"/>
      <c r="P270" s="394"/>
      <c r="Q270" s="394"/>
      <c r="R270" s="394"/>
      <c r="S270" s="394"/>
      <c r="T270" s="430"/>
    </row>
    <row r="271" spans="2:20" x14ac:dyDescent="0.2">
      <c r="B271" s="308"/>
      <c r="C271" s="457" t="s">
        <v>44</v>
      </c>
      <c r="D271" s="457"/>
      <c r="E271" s="457"/>
      <c r="F271" s="457"/>
      <c r="G271" s="457"/>
      <c r="H271" s="458">
        <v>0</v>
      </c>
      <c r="I271" s="459">
        <v>0</v>
      </c>
      <c r="J271" s="459">
        <v>0</v>
      </c>
      <c r="K271" s="459">
        <v>0</v>
      </c>
      <c r="L271" s="459">
        <v>0</v>
      </c>
      <c r="M271" s="459">
        <v>0</v>
      </c>
      <c r="N271" s="459">
        <v>0</v>
      </c>
      <c r="O271" s="459">
        <v>0</v>
      </c>
      <c r="P271" s="459">
        <v>0</v>
      </c>
      <c r="Q271" s="459">
        <v>0</v>
      </c>
      <c r="R271" s="459">
        <v>0</v>
      </c>
      <c r="S271" s="459">
        <v>0</v>
      </c>
      <c r="T271" s="417">
        <f t="shared" ref="T271:T283" si="146">SUM(H271:S271)</f>
        <v>0</v>
      </c>
    </row>
    <row r="272" spans="2:20" x14ac:dyDescent="0.2">
      <c r="B272" s="308"/>
      <c r="C272" t="s">
        <v>123</v>
      </c>
      <c r="H272" s="379">
        <f>IFERROR(INDEX('Financing Schedule'!$C$13:$E$17,MATCH(H$251,'Financing Schedule'!$B$13:$B$17,FALSE),3),0)</f>
        <v>0</v>
      </c>
      <c r="I272" s="380">
        <f>IFERROR(INDEX('Financing Schedule'!$C$13:$E$17,MATCH(I$251,'Financing Schedule'!$B$13:$B$17,FALSE),3),0)</f>
        <v>0</v>
      </c>
      <c r="J272" s="380">
        <f>IFERROR(INDEX('Financing Schedule'!$C$13:$E$17,MATCH(J$251,'Financing Schedule'!$B$13:$B$17,FALSE),3),0)</f>
        <v>0</v>
      </c>
      <c r="K272" s="380">
        <f>IFERROR(INDEX('Financing Schedule'!$C$13:$E$17,MATCH(K$251,'Financing Schedule'!$B$13:$B$17,FALSE),3),0)</f>
        <v>0</v>
      </c>
      <c r="L272" s="380">
        <f>IFERROR(INDEX('Financing Schedule'!$C$13:$E$17,MATCH(L$251,'Financing Schedule'!$B$13:$B$17,FALSE),3),0)</f>
        <v>0</v>
      </c>
      <c r="M272" s="380">
        <f>IFERROR(INDEX('Financing Schedule'!$C$13:$E$17,MATCH(M$251,'Financing Schedule'!$B$13:$B$17,FALSE),3),0)</f>
        <v>0</v>
      </c>
      <c r="N272" s="380">
        <f>IFERROR(INDEX('Financing Schedule'!$C$13:$E$17,MATCH(N$251,'Financing Schedule'!$B$13:$B$17,FALSE),3),0)</f>
        <v>0</v>
      </c>
      <c r="O272" s="380">
        <f>IFERROR(INDEX('Financing Schedule'!$C$13:$E$17,MATCH(O$251,'Financing Schedule'!$B$13:$B$17,FALSE),3),0)</f>
        <v>0</v>
      </c>
      <c r="P272" s="380">
        <f>IFERROR(INDEX('Financing Schedule'!$C$13:$E$17,MATCH(P$251,'Financing Schedule'!$B$13:$B$17,FALSE),3),0)</f>
        <v>0</v>
      </c>
      <c r="Q272" s="380">
        <f>IFERROR(INDEX('Financing Schedule'!$C$13:$E$17,MATCH(Q$251,'Financing Schedule'!$B$13:$B$17,FALSE),3),0)</f>
        <v>0</v>
      </c>
      <c r="R272" s="380">
        <f>IFERROR(INDEX('Financing Schedule'!$C$13:$E$17,MATCH(R$251,'Financing Schedule'!$B$13:$B$17,FALSE),3),0)</f>
        <v>0</v>
      </c>
      <c r="S272" s="380">
        <f>IFERROR(INDEX('Financing Schedule'!$C$13:$E$17,MATCH(S$251,'Financing Schedule'!$B$13:$B$17,FALSE),3),0)</f>
        <v>0</v>
      </c>
      <c r="T272" s="417">
        <f>SUM(H272:S272)</f>
        <v>0</v>
      </c>
    </row>
    <row r="273" spans="2:20" x14ac:dyDescent="0.2">
      <c r="B273" s="308"/>
      <c r="C273" s="457" t="s">
        <v>122</v>
      </c>
      <c r="D273" s="457"/>
      <c r="E273" s="457"/>
      <c r="F273" s="457"/>
      <c r="G273" s="457"/>
      <c r="H273" s="458">
        <v>0</v>
      </c>
      <c r="I273" s="459">
        <v>0</v>
      </c>
      <c r="J273" s="459">
        <v>0</v>
      </c>
      <c r="K273" s="459">
        <v>0</v>
      </c>
      <c r="L273" s="459">
        <v>0</v>
      </c>
      <c r="M273" s="459">
        <v>0</v>
      </c>
      <c r="N273" s="459">
        <v>0</v>
      </c>
      <c r="O273" s="459">
        <v>0</v>
      </c>
      <c r="P273" s="459">
        <v>0</v>
      </c>
      <c r="Q273" s="459">
        <v>0</v>
      </c>
      <c r="R273" s="459">
        <v>0</v>
      </c>
      <c r="S273" s="459">
        <v>0</v>
      </c>
      <c r="T273" s="417">
        <f>SUM(H273:S273)</f>
        <v>0</v>
      </c>
    </row>
    <row r="274" spans="2:20" x14ac:dyDescent="0.2">
      <c r="B274" s="308"/>
      <c r="C274" t="s">
        <v>125</v>
      </c>
      <c r="H274" s="379">
        <f>IFERROR(INDEX('Financing Schedule'!$H$13:$L$17,MATCH(H$251,'Financing Schedule'!$G$13:$G$17,FALSE),3),0)</f>
        <v>0</v>
      </c>
      <c r="I274" s="380">
        <f>IFERROR(INDEX('Financing Schedule'!$H$13:$L$17,MATCH(I$251,'Financing Schedule'!$G$13:$G$17,FALSE),3),0)</f>
        <v>0</v>
      </c>
      <c r="J274" s="380">
        <f>IFERROR(INDEX('Financing Schedule'!$H$13:$L$17,MATCH(J$251,'Financing Schedule'!$G$13:$G$17,FALSE),3),0)</f>
        <v>0</v>
      </c>
      <c r="K274" s="380">
        <f>IFERROR(INDEX('Financing Schedule'!$H$13:$L$17,MATCH(K$251,'Financing Schedule'!$G$13:$G$17,FALSE),3),0)</f>
        <v>0</v>
      </c>
      <c r="L274" s="380">
        <f>IFERROR(INDEX('Financing Schedule'!$H$13:$L$17,MATCH(L$251,'Financing Schedule'!$G$13:$G$17,FALSE),3),0)</f>
        <v>0</v>
      </c>
      <c r="M274" s="380">
        <f>IFERROR(INDEX('Financing Schedule'!$H$13:$L$17,MATCH(M$251,'Financing Schedule'!$G$13:$G$17,FALSE),3),0)</f>
        <v>0</v>
      </c>
      <c r="N274" s="380">
        <f>IFERROR(INDEX('Financing Schedule'!$H$13:$L$17,MATCH(N$251,'Financing Schedule'!$G$13:$G$17,FALSE),3),0)</f>
        <v>0</v>
      </c>
      <c r="O274" s="380">
        <f>IFERROR(INDEX('Financing Schedule'!$H$13:$L$17,MATCH(O$251,'Financing Schedule'!$G$13:$G$17,FALSE),3),0)</f>
        <v>0</v>
      </c>
      <c r="P274" s="380">
        <f>IFERROR(INDEX('Financing Schedule'!$H$13:$L$17,MATCH(P$251,'Financing Schedule'!$G$13:$G$17,FALSE),3),0)</f>
        <v>0</v>
      </c>
      <c r="Q274" s="380">
        <f>IFERROR(INDEX('Financing Schedule'!$H$13:$L$17,MATCH(Q$251,'Financing Schedule'!$G$13:$G$17,FALSE),3),0)</f>
        <v>0</v>
      </c>
      <c r="R274" s="380">
        <f>IFERROR(INDEX('Financing Schedule'!$H$13:$L$17,MATCH(R$251,'Financing Schedule'!$G$13:$G$17,FALSE),3),0)</f>
        <v>0</v>
      </c>
      <c r="S274" s="380">
        <f>IFERROR(INDEX('Financing Schedule'!$H$13:$L$17,MATCH(S$251,'Financing Schedule'!$G$13:$G$17,FALSE),3),0)</f>
        <v>0</v>
      </c>
      <c r="T274" s="417">
        <f>SUM(H274:S274)</f>
        <v>0</v>
      </c>
    </row>
    <row r="275" spans="2:20" x14ac:dyDescent="0.2">
      <c r="B275" s="308"/>
      <c r="C275" t="s">
        <v>126</v>
      </c>
      <c r="H275" s="379"/>
      <c r="I275" s="380"/>
      <c r="J275" s="380"/>
      <c r="K275" s="380"/>
      <c r="L275" s="380"/>
      <c r="M275" s="380"/>
      <c r="N275" s="380"/>
      <c r="O275" s="380"/>
      <c r="P275" s="380"/>
      <c r="Q275" s="380"/>
      <c r="R275" s="380"/>
      <c r="S275" s="380"/>
      <c r="T275" s="417"/>
    </row>
    <row r="276" spans="2:20" x14ac:dyDescent="0.2">
      <c r="B276" s="308"/>
      <c r="D276" s="457" t="s">
        <v>156</v>
      </c>
      <c r="E276" s="457"/>
      <c r="F276" s="457"/>
      <c r="G276" s="457"/>
      <c r="H276" s="458">
        <v>0</v>
      </c>
      <c r="I276" s="459">
        <v>0</v>
      </c>
      <c r="J276" s="459">
        <v>0</v>
      </c>
      <c r="K276" s="459">
        <v>0</v>
      </c>
      <c r="L276" s="459">
        <v>0</v>
      </c>
      <c r="M276" s="459">
        <v>0</v>
      </c>
      <c r="N276" s="459">
        <v>0</v>
      </c>
      <c r="O276" s="459">
        <v>0</v>
      </c>
      <c r="P276" s="459">
        <v>0</v>
      </c>
      <c r="Q276" s="459">
        <v>0</v>
      </c>
      <c r="R276" s="459">
        <v>0</v>
      </c>
      <c r="S276" s="459">
        <v>0</v>
      </c>
      <c r="T276" s="417">
        <f>SUM(H276:S276)</f>
        <v>0</v>
      </c>
    </row>
    <row r="277" spans="2:20" x14ac:dyDescent="0.2">
      <c r="B277" s="308"/>
      <c r="D277" t="s">
        <v>158</v>
      </c>
      <c r="H277" s="379">
        <f>IFERROR(IF(AND(H$251&gt;'Financing Schedule'!$G13,H$251&lt;='Financing Schedule'!$G13+'Financing Schedule'!$L13),'Financing Schedule'!$I13,0),0)</f>
        <v>0</v>
      </c>
      <c r="I277" s="380">
        <f>IFERROR(IF(AND(I$251&gt;'Financing Schedule'!$G13,I$251&lt;='Financing Schedule'!$G13+'Financing Schedule'!$L13),'Financing Schedule'!$I13,0),0)</f>
        <v>0</v>
      </c>
      <c r="J277" s="380">
        <f>IFERROR(IF(AND(J$251&gt;'Financing Schedule'!$G13,J$251&lt;='Financing Schedule'!$G13+'Financing Schedule'!$L13),'Financing Schedule'!$I13,0),0)</f>
        <v>0</v>
      </c>
      <c r="K277" s="380">
        <f>IFERROR(IF(AND(K$251&gt;'Financing Schedule'!$G13,K$251&lt;='Financing Schedule'!$G13+'Financing Schedule'!$L13),'Financing Schedule'!$I13,0),0)</f>
        <v>0</v>
      </c>
      <c r="L277" s="380">
        <f>IFERROR(IF(AND(L$251&gt;'Financing Schedule'!$G13,L$251&lt;='Financing Schedule'!$G13+'Financing Schedule'!$L13),'Financing Schedule'!$I13,0),0)</f>
        <v>0</v>
      </c>
      <c r="M277" s="380">
        <f>IFERROR(IF(AND(M$251&gt;'Financing Schedule'!$G13,M$251&lt;='Financing Schedule'!$G13+'Financing Schedule'!$L13),'Financing Schedule'!$I13,0),0)</f>
        <v>0</v>
      </c>
      <c r="N277" s="380">
        <f>IFERROR(IF(AND(N$251&gt;'Financing Schedule'!$G13,N$251&lt;='Financing Schedule'!$G13+'Financing Schedule'!$L13),'Financing Schedule'!$I13,0),0)</f>
        <v>0</v>
      </c>
      <c r="O277" s="380">
        <f>IFERROR(IF(AND(O$251&gt;'Financing Schedule'!$G13,O$251&lt;='Financing Schedule'!$G13+'Financing Schedule'!$L13),'Financing Schedule'!$I13,0),0)</f>
        <v>0</v>
      </c>
      <c r="P277" s="380">
        <f>IFERROR(IF(AND(P$251&gt;'Financing Schedule'!$G13,P$251&lt;='Financing Schedule'!$G13+'Financing Schedule'!$L13),'Financing Schedule'!$I13,0),0)</f>
        <v>0</v>
      </c>
      <c r="Q277" s="380">
        <f>IFERROR(IF(AND(Q$251&gt;'Financing Schedule'!$G13,Q$251&lt;='Financing Schedule'!$G13+'Financing Schedule'!$L13),'Financing Schedule'!$I13,0),0)</f>
        <v>0</v>
      </c>
      <c r="R277" s="380">
        <f>IFERROR(IF(AND(R$251&gt;'Financing Schedule'!$G13,R$251&lt;='Financing Schedule'!$G13+'Financing Schedule'!$L13),'Financing Schedule'!$I13,0),0)</f>
        <v>0</v>
      </c>
      <c r="S277" s="380">
        <f>IFERROR(IF(AND(S$251&gt;'Financing Schedule'!$G13,S$251&lt;='Financing Schedule'!$G13+'Financing Schedule'!$L13),'Financing Schedule'!$I13,0),0)</f>
        <v>0</v>
      </c>
      <c r="T277" s="417">
        <f>SUM(H277:S277)</f>
        <v>0</v>
      </c>
    </row>
    <row r="278" spans="2:20" x14ac:dyDescent="0.2">
      <c r="B278" s="308"/>
      <c r="D278" t="s">
        <v>159</v>
      </c>
      <c r="H278" s="379">
        <f>IFERROR(IF(AND(H$251&gt;'Financing Schedule'!$G14,H$251&lt;='Financing Schedule'!$G14+'Financing Schedule'!$L14),'Financing Schedule'!$I14,0),0)</f>
        <v>0</v>
      </c>
      <c r="I278" s="380">
        <f>IFERROR(IF(AND(I$251&gt;'Financing Schedule'!$G14,I$251&lt;='Financing Schedule'!$G14+'Financing Schedule'!$L14),'Financing Schedule'!$I14,0),0)</f>
        <v>0</v>
      </c>
      <c r="J278" s="380">
        <f>IFERROR(IF(AND(J$251&gt;'Financing Schedule'!$G14,J$251&lt;='Financing Schedule'!$G14+'Financing Schedule'!$L14),'Financing Schedule'!$I14,0),0)</f>
        <v>0</v>
      </c>
      <c r="K278" s="380">
        <f>IFERROR(IF(AND(K$251&gt;'Financing Schedule'!$G14,K$251&lt;='Financing Schedule'!$G14+'Financing Schedule'!$L14),'Financing Schedule'!$I14,0),0)</f>
        <v>0</v>
      </c>
      <c r="L278" s="380">
        <f>IFERROR(IF(AND(L$251&gt;'Financing Schedule'!$G14,L$251&lt;='Financing Schedule'!$G14+'Financing Schedule'!$L14),'Financing Schedule'!$I14,0),0)</f>
        <v>0</v>
      </c>
      <c r="M278" s="380">
        <f>IFERROR(IF(AND(M$251&gt;'Financing Schedule'!$G14,M$251&lt;='Financing Schedule'!$G14+'Financing Schedule'!$L14),'Financing Schedule'!$I14,0),0)</f>
        <v>0</v>
      </c>
      <c r="N278" s="380">
        <f>IFERROR(IF(AND(N$251&gt;'Financing Schedule'!$G14,N$251&lt;='Financing Schedule'!$G14+'Financing Schedule'!$L14),'Financing Schedule'!$I14,0),0)</f>
        <v>0</v>
      </c>
      <c r="O278" s="380">
        <f>IFERROR(IF(AND(O$251&gt;'Financing Schedule'!$G14,O$251&lt;='Financing Schedule'!$G14+'Financing Schedule'!$L14),'Financing Schedule'!$I14,0),0)</f>
        <v>0</v>
      </c>
      <c r="P278" s="380">
        <f>IFERROR(IF(AND(P$251&gt;'Financing Schedule'!$G14,P$251&lt;='Financing Schedule'!$G14+'Financing Schedule'!$L14),'Financing Schedule'!$I14,0),0)</f>
        <v>0</v>
      </c>
      <c r="Q278" s="380">
        <f>IFERROR(IF(AND(Q$251&gt;'Financing Schedule'!$G14,Q$251&lt;='Financing Schedule'!$G14+'Financing Schedule'!$L14),'Financing Schedule'!$I14,0),0)</f>
        <v>0</v>
      </c>
      <c r="R278" s="380">
        <f>IFERROR(IF(AND(R$251&gt;'Financing Schedule'!$G14,R$251&lt;='Financing Schedule'!$G14+'Financing Schedule'!$L14),'Financing Schedule'!$I14,0),0)</f>
        <v>0</v>
      </c>
      <c r="S278" s="380">
        <f>IFERROR(IF(AND(S$251&gt;'Financing Schedule'!$G14,S$251&lt;='Financing Schedule'!$G14+'Financing Schedule'!$L14),'Financing Schedule'!$I14,0),0)</f>
        <v>0</v>
      </c>
      <c r="T278" s="417">
        <f t="shared" ref="T278:T281" si="147">SUM(H278:S278)</f>
        <v>0</v>
      </c>
    </row>
    <row r="279" spans="2:20" x14ac:dyDescent="0.2">
      <c r="B279" s="308"/>
      <c r="D279" t="s">
        <v>160</v>
      </c>
      <c r="H279" s="379">
        <f>IFERROR(IF(AND(H$251&gt;'Financing Schedule'!$G15,H$251&lt;='Financing Schedule'!$G15+'Financing Schedule'!$L15),'Financing Schedule'!$I15,0),0)</f>
        <v>0</v>
      </c>
      <c r="I279" s="380">
        <f>IFERROR(IF(AND(I$251&gt;'Financing Schedule'!$G15,I$251&lt;='Financing Schedule'!$G15+'Financing Schedule'!$L15),'Financing Schedule'!$I15,0),0)</f>
        <v>0</v>
      </c>
      <c r="J279" s="380">
        <f>IFERROR(IF(AND(J$251&gt;'Financing Schedule'!$G15,J$251&lt;='Financing Schedule'!$G15+'Financing Schedule'!$L15),'Financing Schedule'!$I15,0),0)</f>
        <v>0</v>
      </c>
      <c r="K279" s="380">
        <f>IFERROR(IF(AND(K$251&gt;'Financing Schedule'!$G15,K$251&lt;='Financing Schedule'!$G15+'Financing Schedule'!$L15),'Financing Schedule'!$I15,0),0)</f>
        <v>0</v>
      </c>
      <c r="L279" s="380">
        <f>IFERROR(IF(AND(L$251&gt;'Financing Schedule'!$G15,L$251&lt;='Financing Schedule'!$G15+'Financing Schedule'!$L15),'Financing Schedule'!$I15,0),0)</f>
        <v>0</v>
      </c>
      <c r="M279" s="380">
        <f>IFERROR(IF(AND(M$251&gt;'Financing Schedule'!$G15,M$251&lt;='Financing Schedule'!$G15+'Financing Schedule'!$L15),'Financing Schedule'!$I15,0),0)</f>
        <v>0</v>
      </c>
      <c r="N279" s="380">
        <f>IFERROR(IF(AND(N$251&gt;'Financing Schedule'!$G15,N$251&lt;='Financing Schedule'!$G15+'Financing Schedule'!$L15),'Financing Schedule'!$I15,0),0)</f>
        <v>0</v>
      </c>
      <c r="O279" s="380">
        <f>IFERROR(IF(AND(O$251&gt;'Financing Schedule'!$G15,O$251&lt;='Financing Schedule'!$G15+'Financing Schedule'!$L15),'Financing Schedule'!$I15,0),0)</f>
        <v>0</v>
      </c>
      <c r="P279" s="380">
        <f>IFERROR(IF(AND(P$251&gt;'Financing Schedule'!$G15,P$251&lt;='Financing Schedule'!$G15+'Financing Schedule'!$L15),'Financing Schedule'!$I15,0),0)</f>
        <v>0</v>
      </c>
      <c r="Q279" s="380">
        <f>IFERROR(IF(AND(Q$251&gt;'Financing Schedule'!$G15,Q$251&lt;='Financing Schedule'!$G15+'Financing Schedule'!$L15),'Financing Schedule'!$I15,0),0)</f>
        <v>0</v>
      </c>
      <c r="R279" s="380">
        <f>IFERROR(IF(AND(R$251&gt;'Financing Schedule'!$G15,R$251&lt;='Financing Schedule'!$G15+'Financing Schedule'!$L15),'Financing Schedule'!$I15,0),0)</f>
        <v>0</v>
      </c>
      <c r="S279" s="380">
        <f>IFERROR(IF(AND(S$251&gt;'Financing Schedule'!$G15,S$251&lt;='Financing Schedule'!$G15+'Financing Schedule'!$L15),'Financing Schedule'!$I15,0),0)</f>
        <v>0</v>
      </c>
      <c r="T279" s="417">
        <f t="shared" si="147"/>
        <v>0</v>
      </c>
    </row>
    <row r="280" spans="2:20" x14ac:dyDescent="0.2">
      <c r="B280" s="308"/>
      <c r="D280" t="s">
        <v>161</v>
      </c>
      <c r="H280" s="379">
        <f>IFERROR(IF(AND(H$251&gt;'Financing Schedule'!$G16,H$251&lt;='Financing Schedule'!$G16+'Financing Schedule'!$L16),'Financing Schedule'!$I16,0),0)</f>
        <v>0</v>
      </c>
      <c r="I280" s="380">
        <f>IFERROR(IF(AND(I$251&gt;'Financing Schedule'!$G16,I$251&lt;='Financing Schedule'!$G16+'Financing Schedule'!$L16),'Financing Schedule'!$I16,0),0)</f>
        <v>0</v>
      </c>
      <c r="J280" s="380">
        <f>IFERROR(IF(AND(J$251&gt;'Financing Schedule'!$G16,J$251&lt;='Financing Schedule'!$G16+'Financing Schedule'!$L16),'Financing Schedule'!$I16,0),0)</f>
        <v>0</v>
      </c>
      <c r="K280" s="380">
        <f>IFERROR(IF(AND(K$251&gt;'Financing Schedule'!$G16,K$251&lt;='Financing Schedule'!$G16+'Financing Schedule'!$L16),'Financing Schedule'!$I16,0),0)</f>
        <v>0</v>
      </c>
      <c r="L280" s="380">
        <f>IFERROR(IF(AND(L$251&gt;'Financing Schedule'!$G16,L$251&lt;='Financing Schedule'!$G16+'Financing Schedule'!$L16),'Financing Schedule'!$I16,0),0)</f>
        <v>0</v>
      </c>
      <c r="M280" s="380">
        <f>IFERROR(IF(AND(M$251&gt;'Financing Schedule'!$G16,M$251&lt;='Financing Schedule'!$G16+'Financing Schedule'!$L16),'Financing Schedule'!$I16,0),0)</f>
        <v>0</v>
      </c>
      <c r="N280" s="380">
        <f>IFERROR(IF(AND(N$251&gt;'Financing Schedule'!$G16,N$251&lt;='Financing Schedule'!$G16+'Financing Schedule'!$L16),'Financing Schedule'!$I16,0),0)</f>
        <v>0</v>
      </c>
      <c r="O280" s="380">
        <f>IFERROR(IF(AND(O$251&gt;'Financing Schedule'!$G16,O$251&lt;='Financing Schedule'!$G16+'Financing Schedule'!$L16),'Financing Schedule'!$I16,0),0)</f>
        <v>0</v>
      </c>
      <c r="P280" s="380">
        <f>IFERROR(IF(AND(P$251&gt;'Financing Schedule'!$G16,P$251&lt;='Financing Schedule'!$G16+'Financing Schedule'!$L16),'Financing Schedule'!$I16,0),0)</f>
        <v>0</v>
      </c>
      <c r="Q280" s="380">
        <f>IFERROR(IF(AND(Q$251&gt;'Financing Schedule'!$G16,Q$251&lt;='Financing Schedule'!$G16+'Financing Schedule'!$L16),'Financing Schedule'!$I16,0),0)</f>
        <v>0</v>
      </c>
      <c r="R280" s="380">
        <f>IFERROR(IF(AND(R$251&gt;'Financing Schedule'!$G16,R$251&lt;='Financing Schedule'!$G16+'Financing Schedule'!$L16),'Financing Schedule'!$I16,0),0)</f>
        <v>0</v>
      </c>
      <c r="S280" s="380">
        <f>IFERROR(IF(AND(S$251&gt;'Financing Schedule'!$G16,S$251&lt;='Financing Schedule'!$G16+'Financing Schedule'!$L16),'Financing Schedule'!$I16,0),0)</f>
        <v>0</v>
      </c>
      <c r="T280" s="417">
        <f t="shared" si="147"/>
        <v>0</v>
      </c>
    </row>
    <row r="281" spans="2:20" ht="17" thickBot="1" x14ac:dyDescent="0.25">
      <c r="B281" s="308"/>
      <c r="D281" t="s">
        <v>162</v>
      </c>
      <c r="H281" s="379">
        <f>IFERROR(IF(AND(H$251&gt;'Financing Schedule'!$G17,H$251&lt;='Financing Schedule'!$G17+'Financing Schedule'!$L17),'Financing Schedule'!$I17,0),0)</f>
        <v>0</v>
      </c>
      <c r="I281" s="380">
        <f>IFERROR(IF(AND(I$251&gt;'Financing Schedule'!$G17,I$251&lt;='Financing Schedule'!$G17+'Financing Schedule'!$L17),'Financing Schedule'!$I17,0),0)</f>
        <v>0</v>
      </c>
      <c r="J281" s="380">
        <f>IFERROR(IF(AND(J$251&gt;'Financing Schedule'!$G17,J$251&lt;='Financing Schedule'!$G17+'Financing Schedule'!$L17),'Financing Schedule'!$I17,0),0)</f>
        <v>0</v>
      </c>
      <c r="K281" s="380">
        <f>IFERROR(IF(AND(K$251&gt;'Financing Schedule'!$G17,K$251&lt;='Financing Schedule'!$G17+'Financing Schedule'!$L17),'Financing Schedule'!$I17,0),0)</f>
        <v>0</v>
      </c>
      <c r="L281" s="380">
        <f>IFERROR(IF(AND(L$251&gt;'Financing Schedule'!$G17,L$251&lt;='Financing Schedule'!$G17+'Financing Schedule'!$L17),'Financing Schedule'!$I17,0),0)</f>
        <v>0</v>
      </c>
      <c r="M281" s="380">
        <f>IFERROR(IF(AND(M$251&gt;'Financing Schedule'!$G17,M$251&lt;='Financing Schedule'!$G17+'Financing Schedule'!$L17),'Financing Schedule'!$I17,0),0)</f>
        <v>0</v>
      </c>
      <c r="N281" s="380">
        <f>IFERROR(IF(AND(N$251&gt;'Financing Schedule'!$G17,N$251&lt;='Financing Schedule'!$G17+'Financing Schedule'!$L17),'Financing Schedule'!$I17,0),0)</f>
        <v>0</v>
      </c>
      <c r="O281" s="380">
        <f>IFERROR(IF(AND(O$251&gt;'Financing Schedule'!$G17,O$251&lt;='Financing Schedule'!$G17+'Financing Schedule'!$L17),'Financing Schedule'!$I17,0),0)</f>
        <v>0</v>
      </c>
      <c r="P281" s="380">
        <f>IFERROR(IF(AND(P$251&gt;'Financing Schedule'!$G17,P$251&lt;='Financing Schedule'!$G17+'Financing Schedule'!$L17),'Financing Schedule'!$I17,0),0)</f>
        <v>0</v>
      </c>
      <c r="Q281" s="380">
        <f>IFERROR(IF(AND(Q$251&gt;'Financing Schedule'!$G17,Q$251&lt;='Financing Schedule'!$G17+'Financing Schedule'!$L17),'Financing Schedule'!$I17,0),0)</f>
        <v>0</v>
      </c>
      <c r="R281" s="380">
        <f>IFERROR(IF(AND(R$251&gt;'Financing Schedule'!$G17,R$251&lt;='Financing Schedule'!$G17+'Financing Schedule'!$L17),'Financing Schedule'!$I17,0),0)</f>
        <v>0</v>
      </c>
      <c r="S281" s="380">
        <f>IFERROR(IF(AND(S$251&gt;'Financing Schedule'!$G17,S$251&lt;='Financing Schedule'!$G17+'Financing Schedule'!$L17),'Financing Schedule'!$I17,0),0)</f>
        <v>0</v>
      </c>
      <c r="T281" s="417">
        <f t="shared" si="147"/>
        <v>0</v>
      </c>
    </row>
    <row r="282" spans="2:20" ht="18" thickTop="1" thickBot="1" x14ac:dyDescent="0.25">
      <c r="B282" s="308"/>
      <c r="C282" s="41" t="s">
        <v>124</v>
      </c>
      <c r="D282" s="42"/>
      <c r="E282" s="41"/>
      <c r="F282" s="43"/>
      <c r="G282" s="42"/>
      <c r="H282" s="391">
        <f>SUM(H276:H281)</f>
        <v>0</v>
      </c>
      <c r="I282" s="392">
        <f t="shared" ref="I282:S282" si="148">SUM(I276:I281)</f>
        <v>0</v>
      </c>
      <c r="J282" s="392">
        <f t="shared" si="148"/>
        <v>0</v>
      </c>
      <c r="K282" s="392">
        <f t="shared" si="148"/>
        <v>0</v>
      </c>
      <c r="L282" s="392">
        <f t="shared" si="148"/>
        <v>0</v>
      </c>
      <c r="M282" s="392">
        <f t="shared" si="148"/>
        <v>0</v>
      </c>
      <c r="N282" s="392">
        <f t="shared" si="148"/>
        <v>0</v>
      </c>
      <c r="O282" s="392">
        <f t="shared" si="148"/>
        <v>0</v>
      </c>
      <c r="P282" s="392">
        <f t="shared" si="148"/>
        <v>0</v>
      </c>
      <c r="Q282" s="392">
        <f t="shared" si="148"/>
        <v>0</v>
      </c>
      <c r="R282" s="392">
        <f t="shared" si="148"/>
        <v>0</v>
      </c>
      <c r="S282" s="392">
        <f t="shared" si="148"/>
        <v>0</v>
      </c>
      <c r="T282" s="433">
        <f>SUM(H282:S282)</f>
        <v>0</v>
      </c>
    </row>
    <row r="283" spans="2:20" ht="17" thickTop="1" x14ac:dyDescent="0.2">
      <c r="B283" s="250" t="s">
        <v>145</v>
      </c>
      <c r="C283" s="237"/>
      <c r="D283" s="237"/>
      <c r="E283" s="237"/>
      <c r="F283" s="237"/>
      <c r="G283" s="237"/>
      <c r="H283" s="167">
        <f t="shared" ref="H283:S283" si="149">SUM(H271,H272,H274)-SUM(H273,H$282)</f>
        <v>0</v>
      </c>
      <c r="I283" s="167">
        <f t="shared" si="149"/>
        <v>0</v>
      </c>
      <c r="J283" s="167">
        <f t="shared" si="149"/>
        <v>0</v>
      </c>
      <c r="K283" s="167">
        <f t="shared" si="149"/>
        <v>0</v>
      </c>
      <c r="L283" s="167">
        <f t="shared" si="149"/>
        <v>0</v>
      </c>
      <c r="M283" s="167">
        <f t="shared" si="149"/>
        <v>0</v>
      </c>
      <c r="N283" s="167">
        <f t="shared" si="149"/>
        <v>0</v>
      </c>
      <c r="O283" s="167">
        <f t="shared" si="149"/>
        <v>0</v>
      </c>
      <c r="P283" s="167">
        <f t="shared" si="149"/>
        <v>0</v>
      </c>
      <c r="Q283" s="167">
        <f t="shared" si="149"/>
        <v>0</v>
      </c>
      <c r="R283" s="167">
        <f t="shared" si="149"/>
        <v>0</v>
      </c>
      <c r="S283" s="167">
        <f t="shared" si="149"/>
        <v>0</v>
      </c>
      <c r="T283" s="167">
        <f t="shared" si="146"/>
        <v>0</v>
      </c>
    </row>
    <row r="284" spans="2:20" x14ac:dyDescent="0.2">
      <c r="B284" s="428"/>
      <c r="C284" s="5"/>
      <c r="D284" s="5"/>
      <c r="E284" s="7"/>
      <c r="F284" s="7"/>
      <c r="G284" s="5"/>
      <c r="H284" s="393"/>
      <c r="I284" s="394"/>
      <c r="J284" s="394"/>
      <c r="K284" s="394"/>
      <c r="L284" s="394"/>
      <c r="M284" s="394"/>
      <c r="N284" s="394"/>
      <c r="O284" s="394"/>
      <c r="P284" s="394"/>
      <c r="Q284" s="394"/>
      <c r="R284" s="394"/>
      <c r="S284" s="394"/>
      <c r="T284" s="430"/>
    </row>
    <row r="285" spans="2:20" x14ac:dyDescent="0.2">
      <c r="B285" s="308" t="s">
        <v>50</v>
      </c>
      <c r="H285" s="379">
        <f>'Year 4'!$S$287</f>
        <v>-877114.97045866644</v>
      </c>
      <c r="I285" s="380">
        <f t="shared" ref="I285:S285" si="150">H287</f>
        <v>-906029.35785294906</v>
      </c>
      <c r="J285" s="380">
        <f t="shared" si="150"/>
        <v>-894640.90403733309</v>
      </c>
      <c r="K285" s="380">
        <f t="shared" si="150"/>
        <v>-883722.82022171712</v>
      </c>
      <c r="L285" s="380">
        <f t="shared" si="150"/>
        <v>-866972.52640610118</v>
      </c>
      <c r="M285" s="380">
        <f t="shared" si="150"/>
        <v>-849047.10592381854</v>
      </c>
      <c r="N285" s="380">
        <f t="shared" si="150"/>
        <v>-828143.63210820255</v>
      </c>
      <c r="O285" s="380">
        <f t="shared" si="150"/>
        <v>-808056.27829258656</v>
      </c>
      <c r="P285" s="380">
        <f t="shared" si="150"/>
        <v>-782990.96447697061</v>
      </c>
      <c r="Q285" s="380">
        <f t="shared" si="150"/>
        <v>-756950.52399468794</v>
      </c>
      <c r="R285" s="380">
        <f t="shared" si="150"/>
        <v>-728732.03017907194</v>
      </c>
      <c r="S285" s="380">
        <f t="shared" si="150"/>
        <v>-697329.65636345593</v>
      </c>
      <c r="T285" s="417">
        <f>H285</f>
        <v>-877114.97045866644</v>
      </c>
    </row>
    <row r="286" spans="2:20" x14ac:dyDescent="0.2">
      <c r="B286" s="308"/>
      <c r="C286" s="24" t="s">
        <v>49</v>
      </c>
      <c r="H286" s="379">
        <f t="shared" ref="H286:T286" si="151">H263+H268+H283</f>
        <v>-28914.387394282669</v>
      </c>
      <c r="I286" s="380">
        <f t="shared" si="151"/>
        <v>11388.453815615991</v>
      </c>
      <c r="J286" s="380">
        <f t="shared" si="151"/>
        <v>10918.083815616013</v>
      </c>
      <c r="K286" s="380">
        <f t="shared" si="151"/>
        <v>16750.293815615994</v>
      </c>
      <c r="L286" s="380">
        <f t="shared" si="151"/>
        <v>17925.420482282669</v>
      </c>
      <c r="M286" s="380">
        <f t="shared" si="151"/>
        <v>20903.473815616006</v>
      </c>
      <c r="N286" s="380">
        <f t="shared" si="151"/>
        <v>20087.353815615988</v>
      </c>
      <c r="O286" s="380">
        <f t="shared" si="151"/>
        <v>25065.313815615995</v>
      </c>
      <c r="P286" s="380">
        <f t="shared" si="151"/>
        <v>26040.440482282669</v>
      </c>
      <c r="Q286" s="380">
        <f t="shared" si="151"/>
        <v>28218.493815615999</v>
      </c>
      <c r="R286" s="380">
        <f t="shared" si="151"/>
        <v>31402.373815615996</v>
      </c>
      <c r="S286" s="380">
        <f t="shared" si="151"/>
        <v>33382.153815615995</v>
      </c>
      <c r="T286" s="417">
        <f t="shared" si="151"/>
        <v>213167.46791082667</v>
      </c>
    </row>
    <row r="287" spans="2:20" ht="17" thickBot="1" x14ac:dyDescent="0.25">
      <c r="B287" s="308" t="s">
        <v>51</v>
      </c>
      <c r="H287" s="379">
        <f>H285+H286</f>
        <v>-906029.35785294906</v>
      </c>
      <c r="I287" s="380">
        <f t="shared" ref="I287:T287" si="152">I285+I286</f>
        <v>-894640.90403733309</v>
      </c>
      <c r="J287" s="380">
        <f t="shared" si="152"/>
        <v>-883722.82022171712</v>
      </c>
      <c r="K287" s="380">
        <f t="shared" si="152"/>
        <v>-866972.52640610118</v>
      </c>
      <c r="L287" s="380">
        <f t="shared" si="152"/>
        <v>-849047.10592381854</v>
      </c>
      <c r="M287" s="380">
        <f t="shared" si="152"/>
        <v>-828143.63210820255</v>
      </c>
      <c r="N287" s="380">
        <f t="shared" si="152"/>
        <v>-808056.27829258656</v>
      </c>
      <c r="O287" s="380">
        <f t="shared" si="152"/>
        <v>-782990.96447697061</v>
      </c>
      <c r="P287" s="380">
        <f t="shared" si="152"/>
        <v>-756950.52399468794</v>
      </c>
      <c r="Q287" s="380">
        <f t="shared" si="152"/>
        <v>-728732.03017907194</v>
      </c>
      <c r="R287" s="380">
        <f t="shared" si="152"/>
        <v>-697329.65636345593</v>
      </c>
      <c r="S287" s="380">
        <f t="shared" si="152"/>
        <v>-663947.50254783989</v>
      </c>
      <c r="T287" s="417">
        <f t="shared" si="152"/>
        <v>-663947.50254783977</v>
      </c>
    </row>
    <row r="288" spans="2:20" ht="17" thickTop="1" x14ac:dyDescent="0.2">
      <c r="B288" s="250" t="s">
        <v>54</v>
      </c>
      <c r="C288" s="237"/>
      <c r="D288" s="237"/>
      <c r="E288" s="237"/>
      <c r="F288" s="237"/>
      <c r="G288" s="237"/>
      <c r="H288" s="167">
        <f>H287</f>
        <v>-906029.35785294906</v>
      </c>
      <c r="I288" s="167">
        <f t="shared" ref="I288:T288" si="153">I287</f>
        <v>-894640.90403733309</v>
      </c>
      <c r="J288" s="167">
        <f t="shared" si="153"/>
        <v>-883722.82022171712</v>
      </c>
      <c r="K288" s="167">
        <f t="shared" si="153"/>
        <v>-866972.52640610118</v>
      </c>
      <c r="L288" s="167">
        <f t="shared" si="153"/>
        <v>-849047.10592381854</v>
      </c>
      <c r="M288" s="167">
        <f t="shared" si="153"/>
        <v>-828143.63210820255</v>
      </c>
      <c r="N288" s="167">
        <f t="shared" si="153"/>
        <v>-808056.27829258656</v>
      </c>
      <c r="O288" s="167">
        <f t="shared" si="153"/>
        <v>-782990.96447697061</v>
      </c>
      <c r="P288" s="167">
        <f t="shared" si="153"/>
        <v>-756950.52399468794</v>
      </c>
      <c r="Q288" s="167">
        <f t="shared" si="153"/>
        <v>-728732.03017907194</v>
      </c>
      <c r="R288" s="167">
        <f t="shared" si="153"/>
        <v>-697329.65636345593</v>
      </c>
      <c r="S288" s="167">
        <f t="shared" si="153"/>
        <v>-663947.50254783989</v>
      </c>
      <c r="T288" s="167">
        <f t="shared" si="153"/>
        <v>-663947.50254783977</v>
      </c>
    </row>
    <row r="289" spans="2:20" ht="17" thickBot="1" x14ac:dyDescent="0.25">
      <c r="B289" s="308"/>
      <c r="H289" s="367"/>
      <c r="I289" s="368"/>
      <c r="J289" s="368"/>
      <c r="K289" s="368"/>
      <c r="L289" s="368"/>
      <c r="M289" s="368"/>
      <c r="N289" s="368"/>
      <c r="O289" s="368"/>
      <c r="P289" s="368"/>
      <c r="Q289" s="368"/>
      <c r="R289" s="368"/>
      <c r="S289" s="368"/>
      <c r="T289" s="407"/>
    </row>
    <row r="290" spans="2:20" ht="17" thickTop="1" x14ac:dyDescent="0.2">
      <c r="B290" s="250" t="s">
        <v>48</v>
      </c>
      <c r="C290" s="237"/>
      <c r="D290" s="237"/>
      <c r="E290" s="237"/>
      <c r="F290" s="237"/>
      <c r="G290" s="237"/>
      <c r="H290" s="239">
        <f>IF(H288&lt;0,ABS(H288),0)</f>
        <v>906029.35785294906</v>
      </c>
      <c r="I290" s="240">
        <f t="shared" ref="I290:T290" si="154">IF(I288&lt;0,ABS(I288),0)</f>
        <v>894640.90403733309</v>
      </c>
      <c r="J290" s="240">
        <f t="shared" si="154"/>
        <v>883722.82022171712</v>
      </c>
      <c r="K290" s="240">
        <f t="shared" si="154"/>
        <v>866972.52640610118</v>
      </c>
      <c r="L290" s="240">
        <f t="shared" si="154"/>
        <v>849047.10592381854</v>
      </c>
      <c r="M290" s="240">
        <f t="shared" si="154"/>
        <v>828143.63210820255</v>
      </c>
      <c r="N290" s="240">
        <f t="shared" si="154"/>
        <v>808056.27829258656</v>
      </c>
      <c r="O290" s="240">
        <f t="shared" si="154"/>
        <v>782990.96447697061</v>
      </c>
      <c r="P290" s="240">
        <f t="shared" si="154"/>
        <v>756950.52399468794</v>
      </c>
      <c r="Q290" s="240">
        <f t="shared" si="154"/>
        <v>728732.03017907194</v>
      </c>
      <c r="R290" s="240">
        <f t="shared" si="154"/>
        <v>697329.65636345593</v>
      </c>
      <c r="S290" s="240">
        <f t="shared" si="154"/>
        <v>663947.50254783989</v>
      </c>
      <c r="T290" s="251">
        <f t="shared" si="154"/>
        <v>663947.50254783977</v>
      </c>
    </row>
  </sheetData>
  <mergeCells count="10">
    <mergeCell ref="C176:C177"/>
    <mergeCell ref="D1:H1"/>
    <mergeCell ref="C172:C173"/>
    <mergeCell ref="C174:C175"/>
    <mergeCell ref="E85:E86"/>
    <mergeCell ref="G85:G86"/>
    <mergeCell ref="E103:E104"/>
    <mergeCell ref="F103:G104"/>
    <mergeCell ref="F168:G169"/>
    <mergeCell ref="C170:C171"/>
  </mergeCells>
  <conditionalFormatting sqref="H257:T257">
    <cfRule type="cellIs" dxfId="5" priority="1" operator="lessThan">
      <formula>0</formula>
    </cfRule>
  </conditionalFormatting>
  <conditionalFormatting sqref="H263:T263">
    <cfRule type="cellIs" dxfId="4" priority="2" operator="lessThan">
      <formula>0</formula>
    </cfRule>
  </conditionalFormatting>
  <conditionalFormatting sqref="H268:T268">
    <cfRule type="cellIs" dxfId="3" priority="3" operator="lessThan">
      <formula>0</formula>
    </cfRule>
  </conditionalFormatting>
  <conditionalFormatting sqref="H283:T283">
    <cfRule type="cellIs" dxfId="2" priority="4" operator="lessThan">
      <formula>0</formula>
    </cfRule>
  </conditionalFormatting>
  <conditionalFormatting sqref="H288:T288">
    <cfRule type="cellIs" dxfId="1" priority="5" operator="lessThan">
      <formula>0</formula>
    </cfRule>
  </conditionalFormatting>
  <dataValidations disablePrompts="1" count="1">
    <dataValidation type="list" showInputMessage="1" showErrorMessage="1" sqref="E170 E178:E179 E174 E176 E172" xr:uid="{00000000-0002-0000-0600-000000000000}">
      <formula1>$A$301:$A$304</formula1>
    </dataValidation>
  </dataValidations>
  <hyperlinks>
    <hyperlink ref="B1" location="Introduction!A1" display="Return to Introduction Page" xr:uid="{00000000-0004-0000-0600-000000000000}"/>
  </hyperlinks>
  <pageMargins left="0.7" right="0.7" top="0.75" bottom="0.75" header="0.3" footer="0.3"/>
  <pageSetup paperSize="9" orientation="portrait" horizontalDpi="0" verticalDpi="0"/>
  <drawing r:id="rId1"/>
  <extLst>
    <ext xmlns:x14="http://schemas.microsoft.com/office/spreadsheetml/2009/9/main" uri="{CCE6A557-97BC-4b89-ADB6-D9C93CAAB3DF}">
      <x14:dataValidations xmlns:xm="http://schemas.microsoft.com/office/excel/2006/main" disablePrompts="1" count="1">
        <x14:dataValidation type="list" showInputMessage="1" showErrorMessage="1" xr:uid="{00000000-0002-0000-0600-000001000000}">
          <x14:formula1>
            <xm:f>Introduction!$A$301:$A$304</xm:f>
          </x14:formula1>
          <xm:sqref>E181</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22"/>
  <sheetViews>
    <sheetView showGridLines="0" workbookViewId="0">
      <selection activeCell="D6" sqref="D6"/>
    </sheetView>
  </sheetViews>
  <sheetFormatPr baseColWidth="10" defaultColWidth="10.83203125" defaultRowHeight="16" x14ac:dyDescent="0.2"/>
  <cols>
    <col min="1" max="1" width="7" style="25" customWidth="1"/>
    <col min="2" max="2" width="13.33203125" style="87" customWidth="1"/>
    <col min="3" max="5" width="24.83203125" style="87" customWidth="1"/>
    <col min="6" max="7" width="12.83203125" style="87" customWidth="1"/>
    <col min="8" max="8" width="24.83203125" style="87" customWidth="1"/>
    <col min="9" max="12" width="18.83203125" style="87" customWidth="1"/>
    <col min="13" max="16384" width="10.83203125" style="87"/>
  </cols>
  <sheetData>
    <row r="1" spans="1:15" ht="25" x14ac:dyDescent="0.25">
      <c r="A1" s="56"/>
      <c r="B1" s="108" t="s">
        <v>88</v>
      </c>
      <c r="C1" s="108"/>
      <c r="D1" s="331"/>
      <c r="E1" s="344" t="s">
        <v>387</v>
      </c>
      <c r="F1" s="331"/>
      <c r="G1" s="331"/>
      <c r="H1" s="331"/>
      <c r="J1" s="47"/>
    </row>
    <row r="2" spans="1:15" ht="15.75" customHeight="1" x14ac:dyDescent="0.2">
      <c r="B2" s="108"/>
      <c r="C2" s="108"/>
    </row>
    <row r="3" spans="1:15" ht="20" x14ac:dyDescent="0.2">
      <c r="B3" s="326" t="s">
        <v>139</v>
      </c>
      <c r="C3" s="326"/>
      <c r="D3" s="327"/>
      <c r="E3" s="327"/>
      <c r="F3" s="327"/>
      <c r="G3" s="327"/>
      <c r="H3" s="327"/>
      <c r="I3" s="327"/>
      <c r="J3" s="327"/>
      <c r="K3" s="327"/>
      <c r="L3" s="328"/>
    </row>
    <row r="4" spans="1:15" ht="14" customHeight="1" x14ac:dyDescent="0.2">
      <c r="B4" s="332"/>
      <c r="C4" s="332"/>
      <c r="D4" s="333"/>
      <c r="E4" s="333"/>
      <c r="H4" s="501" t="s">
        <v>388</v>
      </c>
      <c r="I4" s="501"/>
      <c r="J4" s="501"/>
      <c r="K4" s="501"/>
      <c r="L4" s="502"/>
    </row>
    <row r="5" spans="1:15" ht="16" customHeight="1" x14ac:dyDescent="0.2">
      <c r="B5" s="161"/>
      <c r="C5" s="342" t="s">
        <v>62</v>
      </c>
      <c r="D5" s="462">
        <v>2020</v>
      </c>
      <c r="F5" s="334"/>
      <c r="G5" s="334"/>
      <c r="H5" s="501"/>
      <c r="I5" s="501"/>
      <c r="J5" s="501"/>
      <c r="K5" s="501"/>
      <c r="L5" s="502"/>
    </row>
    <row r="6" spans="1:15" x14ac:dyDescent="0.2">
      <c r="B6" s="161"/>
      <c r="C6" s="161"/>
      <c r="F6" s="334"/>
      <c r="G6" s="334"/>
      <c r="H6" s="501"/>
      <c r="I6" s="501"/>
      <c r="J6" s="501"/>
      <c r="K6" s="501"/>
      <c r="L6" s="502"/>
    </row>
    <row r="7" spans="1:15" ht="17" customHeight="1" x14ac:dyDescent="0.2">
      <c r="B7" s="161"/>
      <c r="C7" s="342" t="s">
        <v>55</v>
      </c>
      <c r="D7" s="452">
        <v>250000</v>
      </c>
      <c r="F7" s="500"/>
      <c r="G7" s="500"/>
      <c r="H7" s="501"/>
      <c r="I7" s="501"/>
      <c r="J7" s="501"/>
      <c r="K7" s="501"/>
      <c r="L7" s="502"/>
    </row>
    <row r="8" spans="1:15" ht="17" customHeight="1" x14ac:dyDescent="0.2">
      <c r="B8" s="161"/>
      <c r="C8" s="335"/>
      <c r="D8" s="336"/>
      <c r="F8" s="334"/>
      <c r="G8" s="334"/>
      <c r="H8" s="334"/>
      <c r="I8" s="334"/>
      <c r="J8" s="334"/>
      <c r="L8" s="337"/>
    </row>
    <row r="9" spans="1:15" ht="17" customHeight="1" x14ac:dyDescent="0.2">
      <c r="B9" s="161"/>
      <c r="C9" s="503" t="s">
        <v>390</v>
      </c>
      <c r="D9" s="501"/>
      <c r="E9" s="501"/>
      <c r="F9" s="334"/>
      <c r="G9" s="334"/>
      <c r="H9" s="501" t="s">
        <v>389</v>
      </c>
      <c r="I9" s="501"/>
      <c r="J9" s="501"/>
      <c r="K9" s="501"/>
      <c r="L9" s="502"/>
    </row>
    <row r="10" spans="1:15" x14ac:dyDescent="0.2">
      <c r="B10" s="161"/>
      <c r="C10" s="503"/>
      <c r="D10" s="501"/>
      <c r="E10" s="501"/>
      <c r="F10" s="334"/>
      <c r="G10" s="334"/>
      <c r="H10" s="501"/>
      <c r="I10" s="501"/>
      <c r="J10" s="501"/>
      <c r="K10" s="501"/>
      <c r="L10" s="502"/>
    </row>
    <row r="11" spans="1:15" ht="18" customHeight="1" x14ac:dyDescent="0.2">
      <c r="B11" s="161"/>
      <c r="C11" s="348" t="s">
        <v>120</v>
      </c>
      <c r="D11" s="329"/>
      <c r="E11" s="330"/>
      <c r="H11" s="348" t="s">
        <v>121</v>
      </c>
      <c r="I11" s="329"/>
      <c r="J11" s="329"/>
      <c r="K11" s="329"/>
      <c r="L11" s="330"/>
      <c r="M11" s="338"/>
      <c r="N11" s="338"/>
      <c r="O11" s="334"/>
    </row>
    <row r="12" spans="1:15" ht="32" customHeight="1" x14ac:dyDescent="0.2">
      <c r="B12" s="354" t="s">
        <v>57</v>
      </c>
      <c r="C12" s="357" t="s">
        <v>56</v>
      </c>
      <c r="D12" s="358" t="s">
        <v>112</v>
      </c>
      <c r="E12" s="359" t="s">
        <v>53</v>
      </c>
      <c r="G12" s="351" t="s">
        <v>57</v>
      </c>
      <c r="H12" s="343" t="s">
        <v>114</v>
      </c>
      <c r="I12" s="339" t="s">
        <v>168</v>
      </c>
      <c r="J12" s="340" t="s">
        <v>115</v>
      </c>
      <c r="K12" s="340" t="s">
        <v>116</v>
      </c>
      <c r="L12" s="341" t="s">
        <v>117</v>
      </c>
      <c r="M12" s="338"/>
      <c r="N12" s="334"/>
    </row>
    <row r="13" spans="1:15" x14ac:dyDescent="0.2">
      <c r="B13" s="355">
        <f>IF(AND($D13&lt;&gt;"",$E13&lt;&gt;""),(YEAR($D13)-$D$5)*12+MONTH($D13),"")</f>
        <v>-23</v>
      </c>
      <c r="C13" s="465" t="s">
        <v>64</v>
      </c>
      <c r="D13" s="463">
        <v>43101</v>
      </c>
      <c r="E13" s="452">
        <v>350000</v>
      </c>
      <c r="G13" s="352">
        <f>IF(AND($H13&lt;&gt;"",$J13&lt;&gt;"",$K13&lt;&gt;"",$L13&lt;&gt;""),(YEAR($H13)-$D$5)*12+MONTH($H13),"")</f>
        <v>-21</v>
      </c>
      <c r="H13" s="463">
        <v>43160</v>
      </c>
      <c r="I13" s="111">
        <f>IF(AND(J13&lt;&gt;0,L13&lt;&gt;0),J13/L13,0)</f>
        <v>4166.666666666667</v>
      </c>
      <c r="J13" s="452">
        <v>200000</v>
      </c>
      <c r="K13" s="464">
        <v>0.04</v>
      </c>
      <c r="L13" s="462">
        <v>48</v>
      </c>
      <c r="M13" s="338"/>
    </row>
    <row r="14" spans="1:15" x14ac:dyDescent="0.2">
      <c r="B14" s="355" t="str">
        <f>IF(AND($D14&lt;&gt;"",$E14&lt;&gt;""),(YEAR($D14)-$D$5)*12+MONTH($D14),"")</f>
        <v/>
      </c>
      <c r="C14" s="466" t="s">
        <v>65</v>
      </c>
      <c r="D14" s="463"/>
      <c r="E14" s="452">
        <v>0</v>
      </c>
      <c r="G14" s="352" t="str">
        <f t="shared" ref="G14:G17" si="0">IF(AND($H14&lt;&gt;"",$J14&lt;&gt;"",$K14&lt;&gt;"",$L14&lt;&gt;""),(YEAR($H14)-$D$5)*12+MONTH($H14),"")</f>
        <v/>
      </c>
      <c r="H14" s="463"/>
      <c r="I14" s="111">
        <f t="shared" ref="I14:I17" si="1">IF(AND(J14&lt;&gt;0,L14&lt;&gt;0),J14/L14,0)</f>
        <v>41666.666666666664</v>
      </c>
      <c r="J14" s="452">
        <v>1000000</v>
      </c>
      <c r="K14" s="464">
        <v>0.03</v>
      </c>
      <c r="L14" s="462">
        <v>24</v>
      </c>
    </row>
    <row r="15" spans="1:15" x14ac:dyDescent="0.2">
      <c r="B15" s="355" t="str">
        <f>IF(AND($D15&lt;&gt;"",$E15&lt;&gt;""),(YEAR($D15)-$D$5)*12+MONTH($D15),"")</f>
        <v/>
      </c>
      <c r="C15" s="466" t="s">
        <v>66</v>
      </c>
      <c r="D15" s="463"/>
      <c r="E15" s="452">
        <v>0</v>
      </c>
      <c r="G15" s="352" t="str">
        <f t="shared" si="0"/>
        <v/>
      </c>
      <c r="H15" s="463"/>
      <c r="I15" s="111">
        <f t="shared" si="1"/>
        <v>0</v>
      </c>
      <c r="J15" s="452">
        <v>0</v>
      </c>
      <c r="K15" s="464">
        <v>0</v>
      </c>
      <c r="L15" s="462">
        <v>0</v>
      </c>
    </row>
    <row r="16" spans="1:15" x14ac:dyDescent="0.2">
      <c r="B16" s="355" t="str">
        <f>IF(AND($D16&lt;&gt;"",$E16&lt;&gt;""),(YEAR($D16)-$D$5)*12+MONTH($D16),"")</f>
        <v/>
      </c>
      <c r="C16" s="466" t="s">
        <v>67</v>
      </c>
      <c r="D16" s="463"/>
      <c r="E16" s="452">
        <v>0</v>
      </c>
      <c r="G16" s="352" t="str">
        <f t="shared" si="0"/>
        <v/>
      </c>
      <c r="H16" s="463"/>
      <c r="I16" s="111">
        <f t="shared" si="1"/>
        <v>0</v>
      </c>
      <c r="J16" s="452">
        <v>0</v>
      </c>
      <c r="K16" s="464">
        <v>0</v>
      </c>
      <c r="L16" s="462">
        <v>0</v>
      </c>
    </row>
    <row r="17" spans="2:13" x14ac:dyDescent="0.2">
      <c r="B17" s="356" t="str">
        <f>IF(AND($D17&lt;&gt;"",$E17&lt;&gt;""),(YEAR($D17)-$D$5)*12+MONTH($D17),"")</f>
        <v/>
      </c>
      <c r="C17" s="467" t="s">
        <v>68</v>
      </c>
      <c r="D17" s="463"/>
      <c r="E17" s="452">
        <v>0</v>
      </c>
      <c r="F17" s="163"/>
      <c r="G17" s="353" t="str">
        <f t="shared" si="0"/>
        <v/>
      </c>
      <c r="H17" s="463"/>
      <c r="I17" s="111">
        <f t="shared" si="1"/>
        <v>0</v>
      </c>
      <c r="J17" s="452">
        <v>0</v>
      </c>
      <c r="K17" s="464">
        <v>0</v>
      </c>
      <c r="L17" s="462">
        <v>0</v>
      </c>
    </row>
    <row r="19" spans="2:13" ht="20" x14ac:dyDescent="0.2">
      <c r="B19" s="326" t="s">
        <v>111</v>
      </c>
      <c r="C19" s="326"/>
      <c r="D19" s="326"/>
      <c r="E19" s="326"/>
      <c r="F19" s="328"/>
      <c r="G19" s="328"/>
      <c r="H19" s="276"/>
      <c r="I19" s="276"/>
      <c r="J19" s="104"/>
      <c r="K19" s="104"/>
      <c r="L19" s="338"/>
      <c r="M19" s="338"/>
    </row>
    <row r="20" spans="2:13" ht="16" customHeight="1" x14ac:dyDescent="0.2">
      <c r="B20" s="326"/>
      <c r="C20" s="469" t="s">
        <v>395</v>
      </c>
      <c r="D20" s="470">
        <v>6</v>
      </c>
      <c r="E20" s="470">
        <v>12</v>
      </c>
      <c r="F20" s="508">
        <v>18</v>
      </c>
      <c r="G20" s="508"/>
      <c r="H20" s="276"/>
      <c r="I20" s="276"/>
      <c r="J20" s="104"/>
      <c r="K20" s="104"/>
      <c r="L20" s="338"/>
      <c r="M20" s="338"/>
    </row>
    <row r="21" spans="2:13" ht="48" customHeight="1" thickBot="1" x14ac:dyDescent="0.25">
      <c r="B21" s="345" t="s">
        <v>57</v>
      </c>
      <c r="C21" s="349" t="s">
        <v>58</v>
      </c>
      <c r="D21" s="350" t="s">
        <v>59</v>
      </c>
      <c r="E21" s="350" t="s">
        <v>60</v>
      </c>
      <c r="F21" s="504" t="s">
        <v>61</v>
      </c>
      <c r="G21" s="505"/>
      <c r="H21" s="501" t="s">
        <v>63</v>
      </c>
      <c r="I21" s="501"/>
      <c r="J21" s="501"/>
      <c r="K21" s="501"/>
      <c r="L21" s="501"/>
      <c r="M21" s="334"/>
    </row>
    <row r="22" spans="2:13" ht="17" thickTop="1" x14ac:dyDescent="0.2">
      <c r="B22" s="346">
        <f t="array" ref="B22">IFERROR(INDEX('Year 1'!$H$4:$S$4,1,MATCH(TRUE,'Year 1'!$H$288:$S$288&lt;0,0)),IFERROR(INDEX('Year 2'!$H$4:$S$4,1,MATCH(TRUE,'Year 2'!$H$288:$S$288&lt;0,0)),IFERROR(INDEX('Year 3'!$H$4:$S$4,1,MATCH(TRUE,'Year 3'!$H$288:$S$288&lt;0,0)),IFERROR(INDEX('Year 4'!$H$4:$S$4,1,MATCH(TRUE,'Year 4'!$H$288:$S$288&lt;0,0)),IFERROR(INDEX('Year 5'!$H$4:$S$4,1,MATCH(TRUE,'Year 5'!$H$288:$S$288&lt;0,0)),"")))))</f>
        <v>1</v>
      </c>
      <c r="C22" s="347" t="str">
        <f xml:space="preserve"> IF(B22="","You fulfil your cash needs.",IF(IF(B22&lt;=12,B22,IF(B22&lt;=24,B22-12,IF(B22&lt;=36,B22-24,IF(B22&lt;=48,B22-36,B22-48))))=1,"January ",IF(IF(B22&lt;=12,B22,IF(B22&lt;=24,B22-12,IF(B22&lt;=36,B22-24,IF(B22&lt;=48,B22-36,B22-48))))=2,"February ",IF(IF(B22&lt;=12,B22,IF(B22&lt;=24,B22-12,IF(B22&lt;=36,B22-24,IF(B22&lt;=48,B22-36,B22-48))))=3,"March ",IF(IF(B22&lt;=12,B22,IF(B22&lt;=24,B22-12,IF(B22&lt;=36,B22-24,IF(B22&lt;=48,B22-36,B22-48))))=4,"April ",IF(IF(B22&lt;=12,B22,IF(B22&lt;=24,B22-12,IF(B22&lt;=36,B22-24,IF(B22&lt;=48,B22-36,B22-48))))=5,"May ",IF(IF(B22&lt;=12,B22,IF(B22&lt;=24,B22-12,IF(B22&lt;=36,B22-24,IF(B22&lt;=48,B22-36,B22-48))))=6,"June ",IF(IF(B22&lt;=12,B22,IF(B22&lt;=24,B22-12,IF(B22&lt;=36,B22-24,IF(B22&lt;=48,B22-36,B22-48))))=7,"July ",IF(IF(B22&lt;=12,B22,IF(B22&lt;=24,B22-12,IF(B22&lt;=36,B22-24,IF(B22&lt;=48,B22-36,B22-48))))=8,"August ",IF(IF(B22&lt;=12,B22,IF(B22&lt;=24,B22-12,IF(B22&lt;=36,B22-24,IF(B22&lt;=48,B22-36,B22-48))))=9,"September ",IF(IF(B22&lt;=12,B22,IF(B22&lt;=24,B22-12,IF(B22&lt;=36,B22-24,IF(B22&lt;=48,B22-36,B22-48))))=10,"October ",IF(IF(B22&lt;=12,B22,IF(B22&lt;=24,B22-12,IF(B22&lt;=36,B22-24,IF(B22&lt;=48,B22-36,B22-48))))=11,"November ","December "))))))))))) &amp;($D$5)+IF(B22/12&lt;=1,0,IF(B22/12&lt;=2,1,IF(B22/12&lt;=3,2,IF(B22/12&lt;=4,3,IF(B22/12&lt;=5,4))))))</f>
        <v>January 2020</v>
      </c>
      <c r="D22" s="471">
        <f t="array" aca="1" ref="D22" ca="1">IF($B22="",0,ABS(MIN(MIN(INDEX(INDIRECT("'Year "&amp;ROUNDUP($B22/12,0)&amp;"'!$H$288:$S$288"),1,$B22-(ROUNDDOWN($B22/12,0)*12)):INDEX(INDIRECT("'Year "&amp;ROUNDUP($B22/12,0)&amp;"'!$H$288:$S$288"),1,MIN((ROUNDDOWN($B22/12,0)*12)+D20,12))),IF($B22+D20&gt;ROUNDUP($B22/12,0)*12,MIN(INDEX(INDIRECT("'Year "&amp;ROUNDUP($B22/12,0)+1&amp;"'!$H$288:$S$288"),1,1):INDEX(INDIRECT("'Year "&amp;ROUNDUP($B22/12,0)+1&amp;"'!$H$288:$S$288"),1,MIN($B22+D20-(ROUNDUP($B22/12,0)*12),12)))),IF($B22+D20&gt;(ROUNDUP($B22/12,0)+1)*12,MIN(INDEX(INDIRECT("'Year "&amp;ROUNDUP($B22/12,0)+2&amp;"'!$H$288:$S$288"),1,1):INDEX(INDIRECT("'Year "&amp;ROUNDUP($B22/12,0)+2&amp;"'!$H$288:$S$288"),1,MIN($B22+D20-((ROUNDUP($B22/12,0)+1)*12),12)))))))</f>
        <v>295206.12466666667</v>
      </c>
      <c r="E22" s="471">
        <f t="array" aca="1" ref="E22" ca="1">IF($B22="",0,ABS(MIN(MIN(INDEX(INDIRECT("'Year "&amp;ROUNDUP($B22/12,0)&amp;"'!$H$288:$S$288"),1,$B22-(ROUNDDOWN($B22/12,0)*12)):INDEX(INDIRECT("'Year "&amp;ROUNDUP($B22/12,0)&amp;"'!$H$288:$S$288"),1,MIN((ROUNDDOWN($B22/12,0)*12)+E20,12))),IF($B22+E20&gt;ROUNDUP($B22/12,0)*12,MIN(INDEX(INDIRECT("'Year "&amp;ROUNDUP($B22/12,0)+1&amp;"'!$H$288:$S$288"),1,1):INDEX(INDIRECT("'Year "&amp;ROUNDUP($B22/12,0)+1&amp;"'!$H$288:$S$288"),1,MIN($B22+E20-(ROUNDUP($B22/12,0)*12),12)))),IF($B22+E20&gt;(ROUNDUP($B22/12,0)+1)*12,MIN(INDEX(INDIRECT("'Year "&amp;ROUNDUP($B22/12,0)+2&amp;"'!$H$288:$S$288"),1,1):INDEX(INDIRECT("'Year "&amp;ROUNDUP($B22/12,0)+2&amp;"'!$H$288:$S$288"),1,MIN($B22+E20-((ROUNDUP($B22/12,0)+1)*12),12)))))))</f>
        <v>475915.79666666663</v>
      </c>
      <c r="F22" s="506">
        <f t="array" aca="1" ref="F22" ca="1">IF($B22="",0,ABS(MIN(MIN(INDEX(INDIRECT("'Year "&amp;ROUNDUP($B22/12,0)&amp;"'!$H$288:$S$288"),1,$B22-(ROUNDDOWN($B22/12,0)*12)):INDEX(INDIRECT("'Year "&amp;ROUNDUP($B22/12,0)&amp;"'!$H$288:$S$288"),1,MIN((ROUNDDOWN($B22/12,0)*12)+F20,12))),IF($B22+F20&gt;ROUNDUP($B22/12,0)*12,MIN(INDEX(INDIRECT("'Year "&amp;ROUNDUP($B22/12,0)+1&amp;"'!$H$288:$S$288"),1,1):INDEX(INDIRECT("'Year "&amp;ROUNDUP($B22/12,0)+1&amp;"'!$H$288:$S$288"),1,MIN($B22+F20-(ROUNDUP($B22/12,0)*12),12)))),IF($B22+F20&gt;(ROUNDUP($B22/12,0)+1)*12,MIN(INDEX(INDIRECT("'Year "&amp;ROUNDUP($B22/12,0)+2&amp;"'!$H$288:$S$288"),1,1):INDEX(INDIRECT("'Year "&amp;ROUNDUP($B22/12,0)+2&amp;"'!$H$288:$S$288"),1,MIN($B22+F20-((ROUNDUP($B22/12,0)+1)*12),12)))))))</f>
        <v>630904.06799999997</v>
      </c>
      <c r="G22" s="507"/>
      <c r="H22" s="501"/>
      <c r="I22" s="501"/>
      <c r="J22" s="501"/>
      <c r="K22" s="501"/>
      <c r="L22" s="501"/>
      <c r="M22" s="338"/>
    </row>
  </sheetData>
  <mergeCells count="8">
    <mergeCell ref="F7:G7"/>
    <mergeCell ref="H4:L7"/>
    <mergeCell ref="C9:E10"/>
    <mergeCell ref="F21:G21"/>
    <mergeCell ref="F22:G22"/>
    <mergeCell ref="H9:L10"/>
    <mergeCell ref="H21:L22"/>
    <mergeCell ref="F20:G20"/>
  </mergeCells>
  <conditionalFormatting sqref="C22">
    <cfRule type="expression" dxfId="0" priority="1">
      <formula>$B$22&lt;&gt;""</formula>
    </cfRule>
  </conditionalFormatting>
  <dataValidations count="2">
    <dataValidation type="date" allowBlank="1" showInputMessage="1" showErrorMessage="1" sqref="D13:D17 H13:I17" xr:uid="{00000000-0002-0000-0700-000000000000}">
      <formula1>36526</formula1>
      <formula2>73050</formula2>
    </dataValidation>
    <dataValidation type="whole" allowBlank="1" showInputMessage="1" showErrorMessage="1" sqref="D5" xr:uid="{00000000-0002-0000-0700-000001000000}">
      <formula1>2000</formula1>
      <formula2>2100</formula2>
    </dataValidation>
  </dataValidations>
  <hyperlinks>
    <hyperlink ref="B1" location="Introduction!A1" display="Return to Introduction Page" xr:uid="{00000000-0004-0000-0700-000000000000}"/>
  </hyperlinks>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34"/>
  <sheetViews>
    <sheetView showGridLines="0" tabSelected="1" workbookViewId="0">
      <selection activeCell="I25" sqref="I25"/>
    </sheetView>
  </sheetViews>
  <sheetFormatPr baseColWidth="10" defaultColWidth="10.83203125" defaultRowHeight="16" x14ac:dyDescent="0.2"/>
  <cols>
    <col min="1" max="1" width="7" style="87" customWidth="1"/>
    <col min="2" max="9" width="23.5" style="87" customWidth="1"/>
    <col min="10" max="16384" width="10.83203125" style="87"/>
  </cols>
  <sheetData>
    <row r="1" spans="1:14" ht="40" customHeight="1" x14ac:dyDescent="0.2">
      <c r="A1" s="1"/>
      <c r="B1" s="108" t="s">
        <v>88</v>
      </c>
      <c r="C1" s="108"/>
      <c r="D1" s="325" t="s">
        <v>386</v>
      </c>
      <c r="H1" s="109" t="s">
        <v>80</v>
      </c>
      <c r="I1" s="109"/>
      <c r="J1" s="47"/>
    </row>
    <row r="2" spans="1:14" ht="15.75" customHeight="1" thickBot="1" x14ac:dyDescent="0.25">
      <c r="B2" s="108"/>
      <c r="C2" s="108"/>
    </row>
    <row r="3" spans="1:14" ht="21" thickTop="1" x14ac:dyDescent="0.2">
      <c r="B3" s="299" t="s">
        <v>181</v>
      </c>
      <c r="C3" s="300"/>
      <c r="D3" s="236" t="s">
        <v>397</v>
      </c>
      <c r="E3" s="236" t="s">
        <v>1</v>
      </c>
      <c r="F3" s="236" t="s">
        <v>2</v>
      </c>
      <c r="G3" s="236" t="s">
        <v>3</v>
      </c>
      <c r="H3" s="236" t="s">
        <v>4</v>
      </c>
      <c r="I3" s="236" t="s">
        <v>5</v>
      </c>
      <c r="J3" s="236" t="s">
        <v>398</v>
      </c>
    </row>
    <row r="4" spans="1:14" ht="18" x14ac:dyDescent="0.2">
      <c r="B4" s="270"/>
      <c r="C4" s="271"/>
      <c r="D4" s="272"/>
      <c r="E4" s="273"/>
      <c r="F4" s="274"/>
      <c r="G4" s="274"/>
      <c r="H4" s="274"/>
      <c r="I4" s="275"/>
      <c r="J4" s="275"/>
      <c r="L4" s="276"/>
      <c r="N4" s="276"/>
    </row>
    <row r="5" spans="1:14" x14ac:dyDescent="0.2">
      <c r="B5" s="277" t="s">
        <v>89</v>
      </c>
      <c r="C5" s="278"/>
      <c r="D5" s="452">
        <v>0</v>
      </c>
      <c r="E5" s="279"/>
      <c r="F5" s="274"/>
      <c r="G5" s="274"/>
      <c r="H5" s="274"/>
      <c r="I5" s="275"/>
      <c r="J5" s="275"/>
    </row>
    <row r="6" spans="1:14" x14ac:dyDescent="0.2">
      <c r="A6" s="25"/>
      <c r="B6" s="277" t="s">
        <v>90</v>
      </c>
      <c r="C6" s="278"/>
      <c r="D6" s="452">
        <v>0</v>
      </c>
      <c r="E6" s="279"/>
      <c r="F6" s="274"/>
      <c r="G6" s="274"/>
      <c r="H6" s="274"/>
      <c r="I6" s="275"/>
      <c r="J6" s="275"/>
    </row>
    <row r="7" spans="1:14" ht="15" customHeight="1" x14ac:dyDescent="0.25">
      <c r="A7" s="26"/>
      <c r="B7" s="277" t="s">
        <v>91</v>
      </c>
      <c r="C7" s="278"/>
      <c r="D7" s="452">
        <v>0</v>
      </c>
      <c r="E7" s="279"/>
      <c r="F7" s="274"/>
      <c r="G7" s="274"/>
      <c r="H7" s="274"/>
      <c r="I7" s="275"/>
      <c r="J7" s="275"/>
    </row>
    <row r="8" spans="1:14" x14ac:dyDescent="0.2">
      <c r="A8" s="25"/>
      <c r="B8" s="277"/>
      <c r="C8" s="278"/>
      <c r="D8" s="280"/>
      <c r="E8" s="281"/>
      <c r="F8" s="282"/>
      <c r="G8" s="282"/>
      <c r="H8" s="282"/>
      <c r="I8" s="283"/>
      <c r="J8" s="283"/>
    </row>
    <row r="9" spans="1:14" x14ac:dyDescent="0.2">
      <c r="B9" s="277" t="s">
        <v>92</v>
      </c>
      <c r="C9" s="284"/>
      <c r="D9" s="452">
        <v>0</v>
      </c>
      <c r="E9" s="285">
        <f>'Summary Financials'!G$15</f>
        <v>255964</v>
      </c>
      <c r="F9" s="286">
        <f>'Summary Financials'!H$15</f>
        <v>354300</v>
      </c>
      <c r="G9" s="286">
        <f>'Summary Financials'!I$15</f>
        <v>521643</v>
      </c>
      <c r="H9" s="286">
        <f>'Summary Financials'!J$15</f>
        <v>772543</v>
      </c>
      <c r="I9" s="287">
        <f>'Summary Financials'!K$15</f>
        <v>1151238</v>
      </c>
      <c r="J9" s="287"/>
    </row>
    <row r="10" spans="1:14" x14ac:dyDescent="0.2">
      <c r="B10" s="277" t="s">
        <v>93</v>
      </c>
      <c r="C10" s="284"/>
      <c r="D10" s="452">
        <v>0</v>
      </c>
      <c r="E10" s="285">
        <f>'Summary Financials'!G$18</f>
        <v>9714.3900000000012</v>
      </c>
      <c r="F10" s="286">
        <f>'Summary Financials'!H$18</f>
        <v>13708.800000000003</v>
      </c>
      <c r="G10" s="286">
        <f>'Summary Financials'!I$18</f>
        <v>20419.23</v>
      </c>
      <c r="H10" s="286">
        <f>'Summary Financials'!J$18</f>
        <v>30627.629999999997</v>
      </c>
      <c r="I10" s="287">
        <f>'Summary Financials'!K$18</f>
        <v>46271.579999999994</v>
      </c>
      <c r="J10" s="287"/>
    </row>
    <row r="11" spans="1:14" x14ac:dyDescent="0.2">
      <c r="B11" s="277" t="s">
        <v>94</v>
      </c>
      <c r="C11" s="284"/>
      <c r="D11" s="452">
        <v>0</v>
      </c>
      <c r="E11" s="285">
        <f>'Summary Financials'!G$52</f>
        <v>394031.03999999986</v>
      </c>
      <c r="F11" s="286">
        <f>'Summary Financials'!H$52</f>
        <v>403066.17599999998</v>
      </c>
      <c r="G11" s="286">
        <f>'Summary Financials'!I$52</f>
        <v>412528.42751999997</v>
      </c>
      <c r="H11" s="286">
        <f>'Summary Financials'!J$52</f>
        <v>422438.65751040011</v>
      </c>
      <c r="I11" s="287">
        <f>'Summary Financials'!K$52</f>
        <v>432818.76221260795</v>
      </c>
      <c r="J11" s="287"/>
    </row>
    <row r="12" spans="1:14" x14ac:dyDescent="0.2">
      <c r="B12" s="277" t="s">
        <v>399</v>
      </c>
      <c r="C12" s="284"/>
      <c r="D12" s="452">
        <v>0</v>
      </c>
      <c r="E12" s="285">
        <f>'Summary Financials'!G$44+'Summary Financials'!G$55</f>
        <v>130210.386</v>
      </c>
      <c r="F12" s="285">
        <f>'Summary Financials'!H$44+'Summary Financials'!H$55</f>
        <v>153687.29999999999</v>
      </c>
      <c r="G12" s="285">
        <f>'Summary Financials'!I$44+'Summary Financials'!I$55</f>
        <v>194190.88199999998</v>
      </c>
      <c r="H12" s="285">
        <f>'Summary Financials'!J$44+'Summary Financials'!J$55</f>
        <v>261281.58199999999</v>
      </c>
      <c r="I12" s="285">
        <f>'Summary Financials'!K$44+'Summary Financials'!K$55</f>
        <v>367321.212</v>
      </c>
      <c r="J12" s="285"/>
    </row>
    <row r="13" spans="1:14" x14ac:dyDescent="0.2">
      <c r="A13" s="25"/>
      <c r="B13" s="277"/>
      <c r="C13" s="284"/>
      <c r="D13" s="288"/>
      <c r="E13" s="285"/>
      <c r="F13" s="286"/>
      <c r="G13" s="286"/>
      <c r="H13" s="286"/>
      <c r="I13" s="287"/>
      <c r="J13" s="287"/>
    </row>
    <row r="14" spans="1:14" x14ac:dyDescent="0.2">
      <c r="A14" s="25"/>
      <c r="B14" s="277" t="s">
        <v>95</v>
      </c>
      <c r="C14" s="284"/>
      <c r="D14" s="452">
        <v>0</v>
      </c>
      <c r="E14" s="285">
        <f>'Summary Financials'!G$96</f>
        <v>3905.1666666666674</v>
      </c>
      <c r="F14" s="286">
        <f>'Summary Financials'!H$96</f>
        <v>10.333333333333334</v>
      </c>
      <c r="G14" s="286">
        <f>'Summary Financials'!I$96</f>
        <v>22</v>
      </c>
      <c r="H14" s="286">
        <f>'Summary Financials'!J$96</f>
        <v>76</v>
      </c>
      <c r="I14" s="287">
        <f>'Summary Financials'!K$96</f>
        <v>229.16666666666669</v>
      </c>
      <c r="J14" s="287"/>
    </row>
    <row r="15" spans="1:14" x14ac:dyDescent="0.2">
      <c r="A15" s="25"/>
      <c r="B15" s="277"/>
      <c r="C15" s="284"/>
      <c r="D15" s="288"/>
      <c r="E15" s="285"/>
      <c r="F15" s="286"/>
      <c r="G15" s="286"/>
      <c r="H15" s="286"/>
      <c r="I15" s="287"/>
      <c r="J15" s="287"/>
    </row>
    <row r="16" spans="1:14" x14ac:dyDescent="0.2">
      <c r="A16" s="25"/>
      <c r="B16" s="277" t="s">
        <v>96</v>
      </c>
      <c r="C16" s="284"/>
      <c r="D16" s="452">
        <v>0</v>
      </c>
      <c r="E16" s="285">
        <f>'Summary Financials'!G$68</f>
        <v>3583.333333333333</v>
      </c>
      <c r="F16" s="286">
        <f>'Summary Financials'!H$68</f>
        <v>1583.3333333333328</v>
      </c>
      <c r="G16" s="286">
        <f>'Summary Financials'!I$68</f>
        <v>83.333333333333243</v>
      </c>
      <c r="H16" s="286">
        <f>'Summary Financials'!J$68</f>
        <v>0</v>
      </c>
      <c r="I16" s="287">
        <f>'Summary Financials'!K$68</f>
        <v>0</v>
      </c>
      <c r="J16" s="287"/>
    </row>
    <row r="17" spans="1:10" x14ac:dyDescent="0.2">
      <c r="A17" s="30"/>
      <c r="B17" s="277" t="s">
        <v>34</v>
      </c>
      <c r="C17" s="284"/>
      <c r="D17" s="452">
        <v>0</v>
      </c>
      <c r="E17" s="285">
        <f>'Summary Financials'!G$69</f>
        <v>0</v>
      </c>
      <c r="F17" s="286">
        <f>'Summary Financials'!H$69</f>
        <v>0</v>
      </c>
      <c r="G17" s="286">
        <f>'Summary Financials'!I$69</f>
        <v>0</v>
      </c>
      <c r="H17" s="286">
        <f>'Summary Financials'!J$69</f>
        <v>0</v>
      </c>
      <c r="I17" s="287">
        <f>'Summary Financials'!K$69</f>
        <v>0</v>
      </c>
      <c r="J17" s="287"/>
    </row>
    <row r="18" spans="1:10" x14ac:dyDescent="0.2">
      <c r="A18" s="25"/>
      <c r="B18" s="289"/>
      <c r="C18" s="284"/>
      <c r="D18" s="293"/>
      <c r="E18" s="290"/>
      <c r="F18" s="291"/>
      <c r="G18" s="291"/>
      <c r="H18" s="291"/>
      <c r="I18" s="292"/>
      <c r="J18" s="292"/>
    </row>
    <row r="19" spans="1:10" x14ac:dyDescent="0.2">
      <c r="A19" s="25"/>
      <c r="B19" s="277" t="s">
        <v>97</v>
      </c>
      <c r="C19" s="284"/>
      <c r="D19" s="452">
        <v>0</v>
      </c>
      <c r="E19" s="285">
        <f>'Summary Financials'!G$77</f>
        <v>206536.5</v>
      </c>
      <c r="F19" s="286">
        <f>'Summary Financials'!H$77</f>
        <v>280425</v>
      </c>
      <c r="G19" s="286">
        <f>'Summary Financials'!I$77</f>
        <v>403210.5</v>
      </c>
      <c r="H19" s="286">
        <f>'Summary Financials'!J$77</f>
        <v>582805.5</v>
      </c>
      <c r="I19" s="287">
        <f>'Summary Financials'!K$77</f>
        <v>847563</v>
      </c>
      <c r="J19" s="287"/>
    </row>
    <row r="20" spans="1:10" x14ac:dyDescent="0.2">
      <c r="A20" s="30"/>
      <c r="B20" s="277" t="s">
        <v>98</v>
      </c>
      <c r="C20" s="284"/>
      <c r="D20" s="452">
        <v>0</v>
      </c>
      <c r="E20" s="285">
        <f>'Summary Financials'!G$78</f>
        <v>46260</v>
      </c>
      <c r="F20" s="286">
        <f>'Summary Financials'!H$78</f>
        <v>46260</v>
      </c>
      <c r="G20" s="286">
        <f>'Summary Financials'!I$78</f>
        <v>46260</v>
      </c>
      <c r="H20" s="286">
        <f>'Summary Financials'!J$78</f>
        <v>46260</v>
      </c>
      <c r="I20" s="287">
        <f>'Summary Financials'!K$78</f>
        <v>46260</v>
      </c>
      <c r="J20" s="287"/>
    </row>
    <row r="21" spans="1:10" x14ac:dyDescent="0.2">
      <c r="A21" s="25"/>
      <c r="B21" s="277" t="s">
        <v>99</v>
      </c>
      <c r="C21" s="284"/>
      <c r="D21" s="452">
        <v>0</v>
      </c>
      <c r="E21" s="285">
        <f>'Summary Financials'!G$79</f>
        <v>537109.11800000002</v>
      </c>
      <c r="F21" s="286">
        <f>'Summary Financials'!H$79</f>
        <v>539518.57200000004</v>
      </c>
      <c r="G21" s="286">
        <f>'Summary Financials'!I$79</f>
        <v>544967.04104000004</v>
      </c>
      <c r="H21" s="286">
        <f>'Summary Financials'!J$79</f>
        <v>556952.62715413328</v>
      </c>
      <c r="I21" s="287">
        <f>'Summary Financials'!K$79</f>
        <v>571278.20548121596</v>
      </c>
      <c r="J21" s="287"/>
    </row>
    <row r="22" spans="1:10" x14ac:dyDescent="0.2">
      <c r="A22" s="25"/>
      <c r="B22" s="277"/>
      <c r="C22" s="284"/>
      <c r="D22" s="288"/>
      <c r="E22" s="285"/>
      <c r="F22" s="286"/>
      <c r="G22" s="286"/>
      <c r="H22" s="286"/>
      <c r="I22" s="287"/>
      <c r="J22" s="287"/>
    </row>
    <row r="23" spans="1:10" x14ac:dyDescent="0.2">
      <c r="A23" s="25"/>
      <c r="B23" s="277" t="s">
        <v>400</v>
      </c>
      <c r="C23" s="284"/>
      <c r="D23" s="452">
        <v>0</v>
      </c>
      <c r="E23" s="285">
        <f>-'Summary Financials'!G105</f>
        <v>403300</v>
      </c>
      <c r="F23" s="285">
        <f>-'Summary Financials'!H105</f>
        <v>12400</v>
      </c>
      <c r="G23" s="285">
        <f>-'Summary Financials'!I105</f>
        <v>26400</v>
      </c>
      <c r="H23" s="285">
        <f>-'Summary Financials'!J105</f>
        <v>11200</v>
      </c>
      <c r="I23" s="285">
        <f>-'Summary Financials'!K105</f>
        <v>26400</v>
      </c>
      <c r="J23" s="285"/>
    </row>
    <row r="24" spans="1:10" x14ac:dyDescent="0.2">
      <c r="A24" s="30"/>
      <c r="B24" s="277" t="s">
        <v>100</v>
      </c>
      <c r="C24" s="284"/>
      <c r="D24" s="452">
        <v>0</v>
      </c>
      <c r="E24" s="285">
        <f>D$24-('Year 1'!$T$274-'Year 1'!$T$282)</f>
        <v>49999.999999999993</v>
      </c>
      <c r="F24" s="286">
        <f>E$24-('Year 2'!$T$228-'Year 2'!$T$236)</f>
        <v>52591.999999999993</v>
      </c>
      <c r="G24" s="286">
        <f>F$24-('Year 3'!$T$228-'Year 3'!$T$236)</f>
        <v>55183.999999999993</v>
      </c>
      <c r="H24" s="286">
        <f>G$24-('Year 4'!$T$228-'Year 4'!$T$236)</f>
        <v>57775.999999999993</v>
      </c>
      <c r="I24" s="287">
        <f>H$24-('Year 5'!$T$228-'Year 5'!$T$236)</f>
        <v>60367.999999999993</v>
      </c>
      <c r="J24" s="287"/>
    </row>
    <row r="25" spans="1:10" x14ac:dyDescent="0.2">
      <c r="A25" s="30"/>
      <c r="B25" s="277" t="s">
        <v>248</v>
      </c>
      <c r="C25" s="284"/>
      <c r="D25" s="452">
        <v>0</v>
      </c>
      <c r="E25" s="285">
        <f>'Year 1'!$T$271+$T$273-$T$274</f>
        <v>0</v>
      </c>
      <c r="F25" s="286">
        <f>'Year 2'!$T$271+$T$273-$T$274</f>
        <v>0</v>
      </c>
      <c r="G25" s="286">
        <f>'Year 3'!$T$271+$T$273-$T$274</f>
        <v>0</v>
      </c>
      <c r="H25" s="286">
        <f>'Year 4'!$T$271+$T$273-$T$274</f>
        <v>0</v>
      </c>
      <c r="I25" s="287">
        <f>'Year 5'!$T$271+$T$273-$T$274</f>
        <v>0</v>
      </c>
      <c r="J25" s="287"/>
    </row>
    <row r="26" spans="1:10" x14ac:dyDescent="0.2">
      <c r="A26" s="31"/>
      <c r="B26" s="289"/>
      <c r="C26" s="284"/>
      <c r="D26" s="293"/>
      <c r="E26" s="290"/>
      <c r="F26" s="291"/>
      <c r="G26" s="291"/>
      <c r="H26" s="291"/>
      <c r="I26" s="292"/>
      <c r="J26" s="292"/>
    </row>
    <row r="27" spans="1:10" x14ac:dyDescent="0.2">
      <c r="A27" s="25"/>
      <c r="B27" s="277" t="s">
        <v>101</v>
      </c>
      <c r="C27" s="284"/>
      <c r="D27" s="452">
        <f>'Summary Financials'!$G$116</f>
        <v>250000</v>
      </c>
      <c r="E27" s="285"/>
      <c r="F27" s="286"/>
      <c r="G27" s="286"/>
      <c r="H27" s="286"/>
      <c r="I27" s="287"/>
      <c r="J27" s="287"/>
    </row>
    <row r="28" spans="1:10" x14ac:dyDescent="0.2">
      <c r="A28" s="25"/>
      <c r="B28" s="277" t="s">
        <v>102</v>
      </c>
      <c r="C28" s="284"/>
      <c r="D28" s="452">
        <v>0</v>
      </c>
      <c r="E28" s="285"/>
      <c r="F28" s="286"/>
      <c r="G28" s="286"/>
      <c r="H28" s="286"/>
      <c r="I28" s="287"/>
      <c r="J28" s="287"/>
    </row>
    <row r="29" spans="1:10" x14ac:dyDescent="0.2">
      <c r="A29" s="25"/>
      <c r="B29" s="277" t="s">
        <v>103</v>
      </c>
      <c r="C29" s="284"/>
      <c r="D29" s="452">
        <v>0</v>
      </c>
      <c r="E29" s="285"/>
      <c r="F29" s="286"/>
      <c r="G29" s="286"/>
      <c r="H29" s="286"/>
      <c r="I29" s="287"/>
      <c r="J29" s="287"/>
    </row>
    <row r="30" spans="1:10" x14ac:dyDescent="0.2">
      <c r="A30" s="25"/>
      <c r="B30" s="277" t="s">
        <v>104</v>
      </c>
      <c r="C30" s="284"/>
      <c r="D30" s="452">
        <v>0</v>
      </c>
      <c r="E30" s="285"/>
      <c r="F30" s="286"/>
      <c r="G30" s="286"/>
      <c r="H30" s="286"/>
      <c r="I30" s="287"/>
      <c r="J30" s="287"/>
    </row>
    <row r="31" spans="1:10" x14ac:dyDescent="0.2">
      <c r="A31" s="25"/>
      <c r="B31" s="277" t="s">
        <v>105</v>
      </c>
      <c r="C31" s="284"/>
      <c r="D31" s="452">
        <v>0</v>
      </c>
      <c r="E31" s="285"/>
      <c r="F31" s="286"/>
      <c r="G31" s="286"/>
      <c r="H31" s="286"/>
      <c r="I31" s="287"/>
      <c r="J31" s="287"/>
    </row>
    <row r="32" spans="1:10" x14ac:dyDescent="0.2">
      <c r="A32" s="25"/>
      <c r="B32" s="277" t="s">
        <v>106</v>
      </c>
      <c r="C32" s="284"/>
      <c r="D32" s="452">
        <v>0</v>
      </c>
      <c r="E32" s="285"/>
      <c r="F32" s="286"/>
      <c r="G32" s="286"/>
      <c r="H32" s="286"/>
      <c r="I32" s="287"/>
      <c r="J32" s="287"/>
    </row>
    <row r="33" spans="1:10" x14ac:dyDescent="0.2">
      <c r="A33" s="25"/>
      <c r="B33" s="277" t="s">
        <v>107</v>
      </c>
      <c r="C33" s="284"/>
      <c r="D33" s="452">
        <v>0</v>
      </c>
      <c r="E33" s="285"/>
      <c r="F33" s="286"/>
      <c r="G33" s="286"/>
      <c r="H33" s="286"/>
      <c r="I33" s="287"/>
      <c r="J33" s="287"/>
    </row>
    <row r="34" spans="1:10" x14ac:dyDescent="0.2">
      <c r="A34" s="25"/>
      <c r="B34" s="294" t="s">
        <v>108</v>
      </c>
      <c r="C34" s="295"/>
      <c r="D34" s="452">
        <v>0</v>
      </c>
      <c r="E34" s="296"/>
      <c r="F34" s="297"/>
      <c r="G34" s="297"/>
      <c r="H34" s="297"/>
      <c r="I34" s="298"/>
      <c r="J34" s="298"/>
    </row>
  </sheetData>
  <hyperlinks>
    <hyperlink ref="B1" location="Introduction!A1" display="Return to Introduction Page" xr:uid="{00000000-0004-0000-0800-000000000000}"/>
    <hyperlink ref="H1" r:id="rId1" xr:uid="{00000000-0004-0000-0800-000001000000}"/>
  </hyperlinks>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S185"/>
  <sheetViews>
    <sheetView showGridLines="0" workbookViewId="0">
      <pane xSplit="4" ySplit="2" topLeftCell="E3" activePane="bottomRight" state="frozen"/>
      <selection pane="topRight" activeCell="E1" sqref="E1"/>
      <selection pane="bottomLeft" activeCell="A3" sqref="A3"/>
      <selection pane="bottomRight" activeCell="U12" sqref="U12"/>
    </sheetView>
  </sheetViews>
  <sheetFormatPr baseColWidth="10" defaultColWidth="10.83203125" defaultRowHeight="16" x14ac:dyDescent="0.2"/>
  <cols>
    <col min="1" max="1" width="7" customWidth="1"/>
    <col min="2" max="2" width="10.83203125" style="309"/>
    <col min="4" max="4" width="32" customWidth="1"/>
    <col min="5" max="19" width="12.6640625" customWidth="1"/>
  </cols>
  <sheetData>
    <row r="1" spans="1:19" ht="40" customHeight="1" x14ac:dyDescent="0.2">
      <c r="A1" s="1"/>
      <c r="B1" s="108" t="s">
        <v>88</v>
      </c>
      <c r="C1" s="108"/>
      <c r="D1" s="110"/>
      <c r="E1" s="62"/>
      <c r="G1" s="309" t="s">
        <v>385</v>
      </c>
      <c r="H1" s="62"/>
      <c r="J1" s="309"/>
      <c r="K1" s="62"/>
      <c r="M1" s="309"/>
      <c r="N1" s="62"/>
      <c r="P1" s="309"/>
    </row>
    <row r="2" spans="1:19" ht="15.75" customHeight="1" x14ac:dyDescent="0.2">
      <c r="B2" s="304"/>
      <c r="C2" s="108"/>
      <c r="D2" s="62"/>
      <c r="E2" s="509" t="str">
        <f>'Year 1'!$E$3</f>
        <v>Year 1 (2020)</v>
      </c>
      <c r="F2" s="509"/>
      <c r="G2" s="509"/>
      <c r="H2" s="509" t="str">
        <f>'Year 2'!$E$3</f>
        <v>Year 2 (2021)</v>
      </c>
      <c r="I2" s="509"/>
      <c r="J2" s="509"/>
      <c r="K2" s="509" t="str">
        <f>'Year 3'!$E$3</f>
        <v>Year 3 (2022)</v>
      </c>
      <c r="L2" s="509"/>
      <c r="M2" s="509"/>
      <c r="N2" s="509" t="str">
        <f>'Year 4'!$E$3</f>
        <v>Year 4 (2023)</v>
      </c>
      <c r="O2" s="509"/>
      <c r="P2" s="509"/>
      <c r="Q2" s="510" t="str">
        <f>'Year 5'!$E$3</f>
        <v>Year 5 (2024)</v>
      </c>
      <c r="R2" s="511"/>
      <c r="S2" s="511"/>
    </row>
    <row r="3" spans="1:19" ht="25" x14ac:dyDescent="0.2">
      <c r="A3" s="1"/>
      <c r="B3" s="305" t="s">
        <v>109</v>
      </c>
      <c r="C3" s="301"/>
      <c r="D3" s="301"/>
      <c r="E3" s="302"/>
      <c r="F3" s="302"/>
      <c r="G3" s="302"/>
      <c r="H3" s="302"/>
      <c r="I3" s="302"/>
      <c r="J3" s="302"/>
      <c r="K3" s="302"/>
      <c r="L3" s="302"/>
      <c r="M3" s="302"/>
      <c r="N3" s="302"/>
      <c r="O3" s="302"/>
      <c r="P3" s="302"/>
      <c r="Q3" s="302"/>
      <c r="R3" s="302"/>
      <c r="S3" s="303"/>
    </row>
    <row r="4" spans="1:19" ht="25" x14ac:dyDescent="0.2">
      <c r="A4" s="46"/>
      <c r="B4" s="306"/>
      <c r="C4" s="34"/>
      <c r="D4" s="34"/>
      <c r="E4" s="34"/>
      <c r="F4" s="34"/>
      <c r="G4" s="310"/>
      <c r="H4" s="34"/>
      <c r="I4" s="34"/>
      <c r="J4" s="310"/>
      <c r="K4" s="34"/>
      <c r="L4" s="34"/>
      <c r="M4" s="310"/>
      <c r="N4" s="34"/>
      <c r="O4" s="34"/>
      <c r="P4" s="310"/>
      <c r="Q4" s="311"/>
      <c r="R4" s="34"/>
      <c r="S4" s="310"/>
    </row>
    <row r="5" spans="1:19" x14ac:dyDescent="0.2">
      <c r="B5" s="307" t="s">
        <v>253</v>
      </c>
      <c r="G5" s="312"/>
      <c r="J5" s="312"/>
      <c r="M5" s="312"/>
      <c r="P5" s="312"/>
      <c r="Q5" s="313"/>
      <c r="S5" s="312"/>
    </row>
    <row r="6" spans="1:19" x14ac:dyDescent="0.2">
      <c r="B6" s="307"/>
      <c r="C6" t="s">
        <v>188</v>
      </c>
      <c r="E6">
        <f>IF('Year 1'!$E7="","",'Year 1'!$E7)</f>
        <v>120</v>
      </c>
      <c r="F6" t="str">
        <f>IF('Year 1'!$F7="","",'Year 1'!$F7)</f>
        <v/>
      </c>
      <c r="G6" s="312" t="str">
        <f>IF('Year 1'!$G7="","",'Year 1'!$G7)</f>
        <v/>
      </c>
      <c r="H6">
        <f>IF('Year 2'!$E7="","",'Year 2'!$E7)</f>
        <v>120</v>
      </c>
      <c r="I6" t="str">
        <f>IF('Year 2'!$F7="","",'Year 2'!$F7)</f>
        <v/>
      </c>
      <c r="J6" s="312" t="str">
        <f>IF('Year 2'!$G7="","",'Year 2'!$G7)</f>
        <v/>
      </c>
      <c r="K6">
        <f>IF('Year 3'!$E7="","",'Year 3'!$E7)</f>
        <v>120</v>
      </c>
      <c r="L6" t="str">
        <f>IF('Year 3'!$F7="","",'Year 3'!$F7)</f>
        <v/>
      </c>
      <c r="M6" s="312" t="str">
        <f>IF('Year 3'!$G7="","",'Year 3'!$G7)</f>
        <v/>
      </c>
      <c r="N6">
        <f>IF('Year 4'!$E7="","",'Year 4'!$E7)</f>
        <v>120</v>
      </c>
      <c r="O6" t="str">
        <f>IF('Year 4'!$F7="","",'Year 4'!$F7)</f>
        <v/>
      </c>
      <c r="P6" s="312" t="str">
        <f>IF('Year 4'!$G7="","",'Year 4'!$G7)</f>
        <v/>
      </c>
      <c r="Q6" s="313">
        <f>IF('Year 5'!$E7="","",'Year 5'!$E7)</f>
        <v>120</v>
      </c>
      <c r="R6" t="str">
        <f>IF('Year 5'!$F7="","",'Year 5'!$F7)</f>
        <v/>
      </c>
      <c r="S6" s="312" t="str">
        <f>IF('Year 5'!$G7="","",'Year 5'!$G7)</f>
        <v/>
      </c>
    </row>
    <row r="7" spans="1:19" x14ac:dyDescent="0.2">
      <c r="B7" s="307"/>
      <c r="C7" s="318" t="s">
        <v>189</v>
      </c>
      <c r="D7" s="318"/>
      <c r="E7" s="318">
        <f>IF('Year 1'!$E8="","",'Year 1'!$E8)</f>
        <v>100</v>
      </c>
      <c r="F7" s="318" t="str">
        <f>IF('Year 1'!$F8="","",'Year 1'!$F8)</f>
        <v/>
      </c>
      <c r="G7" s="319" t="str">
        <f>IF('Year 1'!$G8="","",'Year 1'!$G8)</f>
        <v/>
      </c>
      <c r="H7" s="318">
        <f>IF('Year 2'!$E8="","",'Year 2'!$E8)</f>
        <v>115</v>
      </c>
      <c r="I7" s="318" t="str">
        <f>IF('Year 2'!$F8="","",'Year 2'!$F8)</f>
        <v/>
      </c>
      <c r="J7" s="319" t="str">
        <f>IF('Year 2'!$G8="","",'Year 2'!$G8)</f>
        <v/>
      </c>
      <c r="K7" s="318">
        <f>IF('Year 3'!$E8="","",'Year 3'!$E8)</f>
        <v>161</v>
      </c>
      <c r="L7" s="318" t="str">
        <f>IF('Year 3'!$F8="","",'Year 3'!$F8)</f>
        <v/>
      </c>
      <c r="M7" s="319" t="str">
        <f>IF('Year 3'!$G8="","",'Year 3'!$G8)</f>
        <v/>
      </c>
      <c r="N7" s="318">
        <f>IF('Year 4'!$E8="","",'Year 4'!$E8)</f>
        <v>225</v>
      </c>
      <c r="O7" s="318" t="str">
        <f>IF('Year 4'!$F8="","",'Year 4'!$F8)</f>
        <v/>
      </c>
      <c r="P7" s="319" t="str">
        <f>IF('Year 4'!$G8="","",'Year 4'!$G8)</f>
        <v/>
      </c>
      <c r="Q7" s="320">
        <f>IF('Year 5'!$E8="","",'Year 5'!$E8)</f>
        <v>315</v>
      </c>
      <c r="R7" s="318" t="str">
        <f>IF('Year 5'!$F8="","",'Year 5'!$F8)</f>
        <v/>
      </c>
      <c r="S7" s="319" t="str">
        <f>IF('Year 5'!$G8="","",'Year 5'!$G8)</f>
        <v/>
      </c>
    </row>
    <row r="8" spans="1:19" x14ac:dyDescent="0.2">
      <c r="B8" s="307"/>
      <c r="C8" t="s">
        <v>318</v>
      </c>
      <c r="E8">
        <f>IF('Year 1'!$E9="","",'Year 1'!$E9)</f>
        <v>0.15</v>
      </c>
      <c r="F8" t="str">
        <f>IF('Year 1'!$F9="","",'Year 1'!$F9)</f>
        <v/>
      </c>
      <c r="G8" s="312" t="str">
        <f>IF('Year 1'!$G9="","",'Year 1'!$G9)</f>
        <v/>
      </c>
      <c r="H8">
        <f>IF('Year 2'!$E9="","",'Year 2'!$E9)</f>
        <v>0.4</v>
      </c>
      <c r="I8" t="str">
        <f>IF('Year 2'!$F9="","",'Year 2'!$F9)</f>
        <v/>
      </c>
      <c r="J8" s="312" t="str">
        <f>IF('Year 2'!$G9="","",'Year 2'!$G9)</f>
        <v/>
      </c>
      <c r="K8">
        <f>IF('Year 3'!$E9="","",'Year 3'!$E9)</f>
        <v>0.4</v>
      </c>
      <c r="L8" t="str">
        <f>IF('Year 3'!$F9="","",'Year 3'!$F9)</f>
        <v/>
      </c>
      <c r="M8" s="312" t="str">
        <f>IF('Year 3'!$G9="","",'Year 3'!$G9)</f>
        <v/>
      </c>
      <c r="N8">
        <f>IF('Year 4'!$E9="","",'Year 4'!$E9)</f>
        <v>0.4</v>
      </c>
      <c r="O8" t="str">
        <f>IF('Year 4'!$F9="","",'Year 4'!$F9)</f>
        <v/>
      </c>
      <c r="P8" s="312" t="str">
        <f>IF('Year 4'!$G9="","",'Year 4'!$G9)</f>
        <v/>
      </c>
      <c r="Q8" s="313">
        <f>IF('Year 5'!$E9="","",'Year 5'!$E9)</f>
        <v>0.4</v>
      </c>
      <c r="R8" t="str">
        <f>IF('Year 5'!$F9="","",'Year 5'!$F9)</f>
        <v/>
      </c>
      <c r="S8" s="312" t="str">
        <f>IF('Year 5'!$G9="","",'Year 5'!$G9)</f>
        <v/>
      </c>
    </row>
    <row r="9" spans="1:19" x14ac:dyDescent="0.2">
      <c r="B9" s="307"/>
      <c r="E9" t="str">
        <f>IF('Year 1'!$E13="","",'Year 1'!$E13)</f>
        <v/>
      </c>
      <c r="F9" t="str">
        <f>IF('Year 1'!$F13="","",'Year 1'!$F13)</f>
        <v/>
      </c>
      <c r="G9" s="312" t="str">
        <f>IF('Year 1'!$G13="","",'Year 1'!$G13)</f>
        <v/>
      </c>
      <c r="H9" t="str">
        <f>IF('Year 2'!$E13="","",'Year 2'!$E13)</f>
        <v/>
      </c>
      <c r="I9" t="str">
        <f>IF('Year 2'!$F13="","",'Year 2'!$F13)</f>
        <v/>
      </c>
      <c r="J9" s="312" t="str">
        <f>IF('Year 2'!$G13="","",'Year 2'!$G13)</f>
        <v/>
      </c>
      <c r="K9" t="str">
        <f>IF('Year 3'!$E13="","",'Year 3'!$E13)</f>
        <v/>
      </c>
      <c r="L9" t="str">
        <f>IF('Year 3'!$F13="","",'Year 3'!$F13)</f>
        <v/>
      </c>
      <c r="M9" s="312" t="str">
        <f>IF('Year 3'!$G13="","",'Year 3'!$G13)</f>
        <v/>
      </c>
      <c r="N9" t="str">
        <f>IF('Year 4'!$E13="","",'Year 4'!$E13)</f>
        <v/>
      </c>
      <c r="O9" t="str">
        <f>IF('Year 4'!$F13="","",'Year 4'!$F13)</f>
        <v/>
      </c>
      <c r="P9" s="312" t="str">
        <f>IF('Year 4'!$G13="","",'Year 4'!$G13)</f>
        <v/>
      </c>
      <c r="Q9" s="313" t="str">
        <f>IF('Year 5'!$E13="","",'Year 5'!$E13)</f>
        <v/>
      </c>
      <c r="R9" t="str">
        <f>IF('Year 5'!$F13="","",'Year 5'!$F13)</f>
        <v/>
      </c>
      <c r="S9" s="312" t="str">
        <f>IF('Year 5'!$G13="","",'Year 5'!$G13)</f>
        <v/>
      </c>
    </row>
    <row r="10" spans="1:19" x14ac:dyDescent="0.2">
      <c r="B10" s="307" t="s">
        <v>254</v>
      </c>
      <c r="E10" t="str">
        <f>IF('Year 1'!$E14="","",'Year 1'!$E14)</f>
        <v/>
      </c>
      <c r="F10" t="str">
        <f>IF('Year 1'!$F14="","",'Year 1'!$F14)</f>
        <v/>
      </c>
      <c r="G10" s="312" t="str">
        <f>IF('Year 1'!$G14="","",'Year 1'!$G14)</f>
        <v/>
      </c>
      <c r="H10" t="str">
        <f>IF('Year 2'!$E14="","",'Year 2'!$E14)</f>
        <v/>
      </c>
      <c r="I10" t="str">
        <f>IF('Year 2'!$F14="","",'Year 2'!$F14)</f>
        <v/>
      </c>
      <c r="J10" s="312" t="str">
        <f>IF('Year 2'!$G14="","",'Year 2'!$G14)</f>
        <v/>
      </c>
      <c r="K10" t="str">
        <f>IF('Year 3'!$E14="","",'Year 3'!$E14)</f>
        <v/>
      </c>
      <c r="L10" t="str">
        <f>IF('Year 3'!$F14="","",'Year 3'!$F14)</f>
        <v/>
      </c>
      <c r="M10" s="312" t="str">
        <f>IF('Year 3'!$G14="","",'Year 3'!$G14)</f>
        <v/>
      </c>
      <c r="N10" t="str">
        <f>IF('Year 4'!$E14="","",'Year 4'!$E14)</f>
        <v/>
      </c>
      <c r="O10" t="str">
        <f>IF('Year 4'!$F14="","",'Year 4'!$F14)</f>
        <v/>
      </c>
      <c r="P10" s="312" t="str">
        <f>IF('Year 4'!$G14="","",'Year 4'!$G14)</f>
        <v/>
      </c>
      <c r="Q10" s="313" t="str">
        <f>IF('Year 5'!$E14="","",'Year 5'!$E14)</f>
        <v/>
      </c>
      <c r="R10" t="str">
        <f>IF('Year 5'!$F14="","",'Year 5'!$F14)</f>
        <v/>
      </c>
      <c r="S10" s="312" t="str">
        <f>IF('Year 5'!$G14="","",'Year 5'!$G14)</f>
        <v/>
      </c>
    </row>
    <row r="11" spans="1:19" x14ac:dyDescent="0.2">
      <c r="B11" s="307"/>
      <c r="C11" t="s">
        <v>255</v>
      </c>
      <c r="E11">
        <f>IF('Year 1'!$E15="","",'Year 1'!$E15)</f>
        <v>10</v>
      </c>
      <c r="F11" t="str">
        <f>IF('Year 1'!$F15="","",'Year 1'!$F15)</f>
        <v/>
      </c>
      <c r="G11" s="312" t="str">
        <f>IF('Year 1'!$G15="","",'Year 1'!$G15)</f>
        <v/>
      </c>
      <c r="H11">
        <f>IF('Year 2'!$E15="","",'Year 2'!$E15)</f>
        <v>10</v>
      </c>
      <c r="I11" t="str">
        <f>IF('Year 2'!$F15="","",'Year 2'!$F15)</f>
        <v/>
      </c>
      <c r="J11" s="312" t="str">
        <f>IF('Year 2'!$G15="","",'Year 2'!$G15)</f>
        <v/>
      </c>
      <c r="K11">
        <f>IF('Year 3'!$E15="","",'Year 3'!$E15)</f>
        <v>10</v>
      </c>
      <c r="L11" t="str">
        <f>IF('Year 3'!$F15="","",'Year 3'!$F15)</f>
        <v/>
      </c>
      <c r="M11" s="312" t="str">
        <f>IF('Year 3'!$G15="","",'Year 3'!$G15)</f>
        <v/>
      </c>
      <c r="N11">
        <f>IF('Year 4'!$E15="","",'Year 4'!$E15)</f>
        <v>10</v>
      </c>
      <c r="O11" t="str">
        <f>IF('Year 4'!$F15="","",'Year 4'!$F15)</f>
        <v/>
      </c>
      <c r="P11" s="312" t="str">
        <f>IF('Year 4'!$G15="","",'Year 4'!$G15)</f>
        <v/>
      </c>
      <c r="Q11" s="313">
        <f>IF('Year 5'!$E15="","",'Year 5'!$E15)</f>
        <v>10</v>
      </c>
      <c r="R11" t="str">
        <f>IF('Year 5'!$F15="","",'Year 5'!$F15)</f>
        <v/>
      </c>
      <c r="S11" s="312" t="str">
        <f>IF('Year 5'!$G15="","",'Year 5'!$G15)</f>
        <v/>
      </c>
    </row>
    <row r="12" spans="1:19" x14ac:dyDescent="0.2">
      <c r="B12" s="307"/>
      <c r="C12" s="318" t="s">
        <v>256</v>
      </c>
      <c r="D12" s="318"/>
      <c r="E12" s="318">
        <f>IF('Year 1'!$E16="","",'Year 1'!$E16)</f>
        <v>20</v>
      </c>
      <c r="F12" s="318" t="str">
        <f>IF('Year 1'!$F16="","",'Year 1'!$F16)</f>
        <v xml:space="preserve"> </v>
      </c>
      <c r="G12" s="319" t="str">
        <f>IF('Year 1'!$G16="","",'Year 1'!$G16)</f>
        <v/>
      </c>
      <c r="H12" s="318">
        <f>IF('Year 2'!$E16="","",'Year 2'!$E16)</f>
        <v>29</v>
      </c>
      <c r="I12" s="318" t="str">
        <f>IF('Year 2'!$F16="","",'Year 2'!$F16)</f>
        <v xml:space="preserve"> </v>
      </c>
      <c r="J12" s="319" t="str">
        <f>IF('Year 2'!$G16="","",'Year 2'!$G16)</f>
        <v/>
      </c>
      <c r="K12" s="318">
        <f>IF('Year 3'!$E16="","",'Year 3'!$E16)</f>
        <v>46</v>
      </c>
      <c r="L12" s="318" t="str">
        <f>IF('Year 3'!$F16="","",'Year 3'!$F16)</f>
        <v xml:space="preserve"> </v>
      </c>
      <c r="M12" s="319" t="str">
        <f>IF('Year 3'!$G16="","",'Year 3'!$G16)</f>
        <v/>
      </c>
      <c r="N12" s="318">
        <f>IF('Year 4'!$E16="","",'Year 4'!$E16)</f>
        <v>73</v>
      </c>
      <c r="O12" s="318" t="str">
        <f>IF('Year 4'!$F16="","",'Year 4'!$F16)</f>
        <v xml:space="preserve"> </v>
      </c>
      <c r="P12" s="319" t="str">
        <f>IF('Year 4'!$G16="","",'Year 4'!$G16)</f>
        <v/>
      </c>
      <c r="Q12" s="320">
        <f>IF('Year 5'!$E16="","",'Year 5'!$E16)</f>
        <v>116</v>
      </c>
      <c r="R12" s="318" t="str">
        <f>IF('Year 5'!$F16="","",'Year 5'!$F16)</f>
        <v xml:space="preserve"> </v>
      </c>
      <c r="S12" s="319" t="str">
        <f>IF('Year 5'!$G16="","",'Year 5'!$G16)</f>
        <v/>
      </c>
    </row>
    <row r="13" spans="1:19" x14ac:dyDescent="0.2">
      <c r="B13" s="307"/>
      <c r="C13" t="s">
        <v>318</v>
      </c>
      <c r="E13">
        <f>IF('Year 1'!$E17="","",'Year 1'!$E17)</f>
        <v>0.45</v>
      </c>
      <c r="F13" t="str">
        <f>IF('Year 1'!$F17="","",'Year 1'!$F17)</f>
        <v/>
      </c>
      <c r="G13" s="312" t="str">
        <f>IF('Year 1'!$G17="","",'Year 1'!$G17)</f>
        <v/>
      </c>
      <c r="H13">
        <f>IF('Year 2'!$E17="","",'Year 2'!$E17)</f>
        <v>0.6</v>
      </c>
      <c r="I13" t="str">
        <f>IF('Year 2'!$F17="","",'Year 2'!$F17)</f>
        <v/>
      </c>
      <c r="J13" s="312" t="str">
        <f>IF('Year 2'!$G17="","",'Year 2'!$G17)</f>
        <v/>
      </c>
      <c r="K13">
        <f>IF('Year 3'!$E17="","",'Year 3'!$E17)</f>
        <v>0.6</v>
      </c>
      <c r="L13" t="str">
        <f>IF('Year 3'!$F17="","",'Year 3'!$F17)</f>
        <v/>
      </c>
      <c r="M13" s="312" t="str">
        <f>IF('Year 3'!$G17="","",'Year 3'!$G17)</f>
        <v/>
      </c>
      <c r="N13">
        <f>IF('Year 4'!$E17="","",'Year 4'!$E17)</f>
        <v>0.6</v>
      </c>
      <c r="O13" t="str">
        <f>IF('Year 4'!$F17="","",'Year 4'!$F17)</f>
        <v/>
      </c>
      <c r="P13" s="312" t="str">
        <f>IF('Year 4'!$G17="","",'Year 4'!$G17)</f>
        <v/>
      </c>
      <c r="Q13" s="313">
        <f>IF('Year 5'!$E17="","",'Year 5'!$E17)</f>
        <v>0.6</v>
      </c>
      <c r="R13" t="str">
        <f>IF('Year 5'!$F17="","",'Year 5'!$F17)</f>
        <v/>
      </c>
      <c r="S13" s="312" t="str">
        <f>IF('Year 5'!$G17="","",'Year 5'!$G17)</f>
        <v/>
      </c>
    </row>
    <row r="14" spans="1:19" x14ac:dyDescent="0.2">
      <c r="B14" s="307"/>
      <c r="E14" t="str">
        <f>IF('Year 1'!$E21="","",'Year 1'!$E21)</f>
        <v/>
      </c>
      <c r="F14" t="str">
        <f>IF('Year 1'!$F21="","",'Year 1'!$F21)</f>
        <v/>
      </c>
      <c r="G14" s="312" t="str">
        <f>IF('Year 1'!$G21="","",'Year 1'!$G21)</f>
        <v/>
      </c>
      <c r="H14" t="str">
        <f>IF('Year 2'!$E21="","",'Year 2'!$E21)</f>
        <v/>
      </c>
      <c r="I14" t="str">
        <f>IF('Year 2'!$F21="","",'Year 2'!$F21)</f>
        <v/>
      </c>
      <c r="J14" s="312" t="str">
        <f>IF('Year 2'!$G21="","",'Year 2'!$G21)</f>
        <v/>
      </c>
      <c r="K14" t="str">
        <f>IF('Year 3'!$E21="","",'Year 3'!$E21)</f>
        <v/>
      </c>
      <c r="L14" t="str">
        <f>IF('Year 3'!$F21="","",'Year 3'!$F21)</f>
        <v/>
      </c>
      <c r="M14" s="312" t="str">
        <f>IF('Year 3'!$G21="","",'Year 3'!$G21)</f>
        <v/>
      </c>
      <c r="N14" t="str">
        <f>IF('Year 4'!$E21="","",'Year 4'!$E21)</f>
        <v/>
      </c>
      <c r="O14" t="str">
        <f>IF('Year 4'!$F21="","",'Year 4'!$F21)</f>
        <v/>
      </c>
      <c r="P14" s="312" t="str">
        <f>IF('Year 4'!$G21="","",'Year 4'!$G21)</f>
        <v/>
      </c>
      <c r="Q14" s="313" t="str">
        <f>IF('Year 5'!$E21="","",'Year 5'!$E21)</f>
        <v/>
      </c>
      <c r="R14" t="str">
        <f>IF('Year 5'!$F21="","",'Year 5'!$F21)</f>
        <v/>
      </c>
      <c r="S14" s="312" t="str">
        <f>IF('Year 5'!$G21="","",'Year 5'!$G21)</f>
        <v/>
      </c>
    </row>
    <row r="15" spans="1:19" x14ac:dyDescent="0.2">
      <c r="B15" s="307" t="s">
        <v>286</v>
      </c>
      <c r="E15" t="str">
        <f>IF('Year 1'!$E22="","",'Year 1'!$E22)</f>
        <v/>
      </c>
      <c r="F15" t="str">
        <f>IF('Year 1'!$F22="","",'Year 1'!$F22)</f>
        <v/>
      </c>
      <c r="G15" s="312" t="str">
        <f>IF('Year 1'!$G22="","",'Year 1'!$G22)</f>
        <v/>
      </c>
      <c r="H15" t="str">
        <f>IF('Year 2'!$E22="","",'Year 2'!$E22)</f>
        <v/>
      </c>
      <c r="I15" t="str">
        <f>IF('Year 2'!$F22="","",'Year 2'!$F22)</f>
        <v/>
      </c>
      <c r="J15" s="312" t="str">
        <f>IF('Year 2'!$G22="","",'Year 2'!$G22)</f>
        <v/>
      </c>
      <c r="K15" t="str">
        <f>IF('Year 3'!$E22="","",'Year 3'!$E22)</f>
        <v/>
      </c>
      <c r="L15" t="str">
        <f>IF('Year 3'!$F22="","",'Year 3'!$F22)</f>
        <v/>
      </c>
      <c r="M15" s="312" t="str">
        <f>IF('Year 3'!$G22="","",'Year 3'!$G22)</f>
        <v/>
      </c>
      <c r="N15" t="str">
        <f>IF('Year 4'!$E22="","",'Year 4'!$E22)</f>
        <v/>
      </c>
      <c r="O15" t="str">
        <f>IF('Year 4'!$F22="","",'Year 4'!$F22)</f>
        <v/>
      </c>
      <c r="P15" s="312" t="str">
        <f>IF('Year 4'!$G22="","",'Year 4'!$G22)</f>
        <v/>
      </c>
      <c r="Q15" s="313" t="str">
        <f>IF('Year 5'!$E22="","",'Year 5'!$E22)</f>
        <v/>
      </c>
      <c r="R15" t="str">
        <f>IF('Year 5'!$F22="","",'Year 5'!$F22)</f>
        <v/>
      </c>
      <c r="S15" s="312" t="str">
        <f>IF('Year 5'!$G22="","",'Year 5'!$G22)</f>
        <v/>
      </c>
    </row>
    <row r="16" spans="1:19" x14ac:dyDescent="0.2">
      <c r="B16" s="307"/>
      <c r="C16" t="s">
        <v>249</v>
      </c>
      <c r="E16">
        <f>IF('Year 1'!$E23="","",'Year 1'!$E23)</f>
        <v>150</v>
      </c>
      <c r="F16" t="str">
        <f>IF('Year 1'!$F23="","",'Year 1'!$F23)</f>
        <v/>
      </c>
      <c r="G16" s="312" t="str">
        <f>IF('Year 1'!$G23="","",'Year 1'!$G23)</f>
        <v/>
      </c>
      <c r="H16">
        <f>IF('Year 2'!$E23="","",'Year 2'!$E23)</f>
        <v>150</v>
      </c>
      <c r="I16" t="str">
        <f>IF('Year 2'!$F23="","",'Year 2'!$F23)</f>
        <v/>
      </c>
      <c r="J16" s="312" t="str">
        <f>IF('Year 2'!$G23="","",'Year 2'!$G23)</f>
        <v/>
      </c>
      <c r="K16">
        <f>IF('Year 3'!$E23="","",'Year 3'!$E23)</f>
        <v>150</v>
      </c>
      <c r="L16" t="str">
        <f>IF('Year 3'!$F23="","",'Year 3'!$F23)</f>
        <v/>
      </c>
      <c r="M16" s="312" t="str">
        <f>IF('Year 3'!$G23="","",'Year 3'!$G23)</f>
        <v/>
      </c>
      <c r="N16">
        <f>IF('Year 4'!$E23="","",'Year 4'!$E23)</f>
        <v>150</v>
      </c>
      <c r="O16" t="str">
        <f>IF('Year 4'!$F23="","",'Year 4'!$F23)</f>
        <v/>
      </c>
      <c r="P16" s="312" t="str">
        <f>IF('Year 4'!$G23="","",'Year 4'!$G23)</f>
        <v/>
      </c>
      <c r="Q16" s="313">
        <f>IF('Year 5'!$E23="","",'Year 5'!$E23)</f>
        <v>150</v>
      </c>
      <c r="R16" t="str">
        <f>IF('Year 5'!$F23="","",'Year 5'!$F23)</f>
        <v/>
      </c>
      <c r="S16" s="312" t="str">
        <f>IF('Year 5'!$G23="","",'Year 5'!$G23)</f>
        <v/>
      </c>
    </row>
    <row r="17" spans="1:19" x14ac:dyDescent="0.2">
      <c r="B17" s="307"/>
      <c r="C17" s="318" t="s">
        <v>250</v>
      </c>
      <c r="D17" s="318"/>
      <c r="E17" s="318">
        <f>IF('Year 1'!$E24="","",'Year 1'!$E24)</f>
        <v>45</v>
      </c>
      <c r="F17" s="318" t="str">
        <f>IF('Year 1'!$F24="","",'Year 1'!$F24)</f>
        <v/>
      </c>
      <c r="G17" s="319" t="str">
        <f>IF('Year 1'!$G24="","",'Year 1'!$G24)</f>
        <v/>
      </c>
      <c r="H17" s="318">
        <f>IF('Year 2'!$E24="","",'Year 2'!$E24)</f>
        <v>58.5</v>
      </c>
      <c r="I17" s="318" t="str">
        <f>IF('Year 2'!$F24="","",'Year 2'!$F24)</f>
        <v/>
      </c>
      <c r="J17" s="319" t="str">
        <f>IF('Year 2'!$G24="","",'Year 2'!$G24)</f>
        <v/>
      </c>
      <c r="K17" s="318">
        <f>IF('Year 3'!$E24="","",'Year 3'!$E24)</f>
        <v>93.6</v>
      </c>
      <c r="L17" s="318" t="str">
        <f>IF('Year 3'!$F24="","",'Year 3'!$F24)</f>
        <v/>
      </c>
      <c r="M17" s="319" t="str">
        <f>IF('Year 3'!$G24="","",'Year 3'!$G24)</f>
        <v/>
      </c>
      <c r="N17" s="318">
        <f>IF('Year 4'!$E24="","",'Year 4'!$E24)</f>
        <v>149.69999999999999</v>
      </c>
      <c r="O17" s="318" t="str">
        <f>IF('Year 4'!$F24="","",'Year 4'!$F24)</f>
        <v/>
      </c>
      <c r="P17" s="319" t="str">
        <f>IF('Year 4'!$G24="","",'Year 4'!$G24)</f>
        <v/>
      </c>
      <c r="Q17" s="320">
        <f>IF('Year 5'!$E24="","",'Year 5'!$E24)</f>
        <v>239.5</v>
      </c>
      <c r="R17" s="318" t="str">
        <f>IF('Year 5'!$F24="","",'Year 5'!$F24)</f>
        <v/>
      </c>
      <c r="S17" s="319" t="str">
        <f>IF('Year 5'!$G24="","",'Year 5'!$G24)</f>
        <v/>
      </c>
    </row>
    <row r="18" spans="1:19" x14ac:dyDescent="0.2">
      <c r="B18" s="307"/>
      <c r="C18" t="s">
        <v>319</v>
      </c>
      <c r="E18">
        <f>IF('Year 1'!$E25="","",'Year 1'!$E25)</f>
        <v>0.3</v>
      </c>
      <c r="F18" t="str">
        <f>IF('Year 1'!$F25="","",'Year 1'!$F25)</f>
        <v/>
      </c>
      <c r="G18" s="312" t="str">
        <f>IF('Year 1'!$G25="","",'Year 1'!$G25)</f>
        <v/>
      </c>
      <c r="H18">
        <f>IF('Year 2'!$E25="","",'Year 2'!$E25)</f>
        <v>0.6</v>
      </c>
      <c r="I18" t="str">
        <f>IF('Year 2'!$F25="","",'Year 2'!$F25)</f>
        <v/>
      </c>
      <c r="J18" s="312" t="str">
        <f>IF('Year 2'!$G25="","",'Year 2'!$G25)</f>
        <v/>
      </c>
      <c r="K18">
        <f>IF('Year 3'!$E25="","",'Year 3'!$E25)</f>
        <v>0.6</v>
      </c>
      <c r="L18" t="str">
        <f>IF('Year 3'!$F25="","",'Year 3'!$F25)</f>
        <v/>
      </c>
      <c r="M18" s="312" t="str">
        <f>IF('Year 3'!$G25="","",'Year 3'!$G25)</f>
        <v/>
      </c>
      <c r="N18">
        <f>IF('Year 4'!$E25="","",'Year 4'!$E25)</f>
        <v>0.6</v>
      </c>
      <c r="O18" t="str">
        <f>IF('Year 4'!$F25="","",'Year 4'!$F25)</f>
        <v/>
      </c>
      <c r="P18" s="312" t="str">
        <f>IF('Year 4'!$G25="","",'Year 4'!$G25)</f>
        <v/>
      </c>
      <c r="Q18" s="313">
        <f>IF('Year 5'!$E25="","",'Year 5'!$E25)</f>
        <v>0.6</v>
      </c>
      <c r="R18" t="str">
        <f>IF('Year 5'!$F25="","",'Year 5'!$F25)</f>
        <v/>
      </c>
      <c r="S18" s="312" t="str">
        <f>IF('Year 5'!$G25="","",'Year 5'!$G25)</f>
        <v/>
      </c>
    </row>
    <row r="19" spans="1:19" x14ac:dyDescent="0.2">
      <c r="B19" s="307"/>
      <c r="E19" t="str">
        <f>IF('Year 1'!$E29="","",'Year 1'!$E29)</f>
        <v/>
      </c>
      <c r="F19" t="str">
        <f>IF('Year 1'!$F29="","",'Year 1'!$F29)</f>
        <v/>
      </c>
      <c r="G19" s="312" t="str">
        <f>IF('Year 1'!$G29="","",'Year 1'!$G29)</f>
        <v/>
      </c>
      <c r="H19" t="str">
        <f>IF('Year 2'!$E29="","",'Year 2'!$E29)</f>
        <v/>
      </c>
      <c r="I19" t="str">
        <f>IF('Year 2'!$F29="","",'Year 2'!$F29)</f>
        <v/>
      </c>
      <c r="J19" s="312" t="str">
        <f>IF('Year 2'!$G29="","",'Year 2'!$G29)</f>
        <v/>
      </c>
      <c r="K19" t="str">
        <f>IF('Year 3'!$E29="","",'Year 3'!$E29)</f>
        <v/>
      </c>
      <c r="L19" t="str">
        <f>IF('Year 3'!$F29="","",'Year 3'!$F29)</f>
        <v/>
      </c>
      <c r="M19" s="312" t="str">
        <f>IF('Year 3'!$G29="","",'Year 3'!$G29)</f>
        <v/>
      </c>
      <c r="N19" t="str">
        <f>IF('Year 4'!$E29="","",'Year 4'!$E29)</f>
        <v/>
      </c>
      <c r="O19" t="str">
        <f>IF('Year 4'!$F29="","",'Year 4'!$F29)</f>
        <v/>
      </c>
      <c r="P19" s="312" t="str">
        <f>IF('Year 4'!$G29="","",'Year 4'!$G29)</f>
        <v/>
      </c>
      <c r="Q19" s="313" t="str">
        <f>IF('Year 5'!$E29="","",'Year 5'!$E29)</f>
        <v/>
      </c>
      <c r="R19" t="str">
        <f>IF('Year 5'!$F29="","",'Year 5'!$F29)</f>
        <v/>
      </c>
      <c r="S19" s="312" t="str">
        <f>IF('Year 5'!$G29="","",'Year 5'!$G29)</f>
        <v/>
      </c>
    </row>
    <row r="20" spans="1:19" x14ac:dyDescent="0.2">
      <c r="A20" s="30"/>
      <c r="B20" s="307" t="s">
        <v>287</v>
      </c>
      <c r="E20" t="str">
        <f>IF('Year 1'!$E30="","",'Year 1'!$E30)</f>
        <v/>
      </c>
      <c r="F20" t="str">
        <f>IF('Year 1'!$F30="","",'Year 1'!$F30)</f>
        <v/>
      </c>
      <c r="G20" s="312" t="str">
        <f>IF('Year 1'!$G30="","",'Year 1'!$G30)</f>
        <v/>
      </c>
      <c r="H20" t="str">
        <f>IF('Year 2'!$E30="","",'Year 2'!$E30)</f>
        <v/>
      </c>
      <c r="I20" t="str">
        <f>IF('Year 2'!$F30="","",'Year 2'!$F30)</f>
        <v/>
      </c>
      <c r="J20" s="312" t="str">
        <f>IF('Year 2'!$G30="","",'Year 2'!$G30)</f>
        <v/>
      </c>
      <c r="K20" t="str">
        <f>IF('Year 3'!$E30="","",'Year 3'!$E30)</f>
        <v/>
      </c>
      <c r="L20" t="str">
        <f>IF('Year 3'!$F30="","",'Year 3'!$F30)</f>
        <v/>
      </c>
      <c r="M20" s="312" t="str">
        <f>IF('Year 3'!$G30="","",'Year 3'!$G30)</f>
        <v/>
      </c>
      <c r="N20" t="str">
        <f>IF('Year 4'!$E30="","",'Year 4'!$E30)</f>
        <v/>
      </c>
      <c r="O20" t="str">
        <f>IF('Year 4'!$F30="","",'Year 4'!$F30)</f>
        <v/>
      </c>
      <c r="P20" s="312" t="str">
        <f>IF('Year 4'!$G30="","",'Year 4'!$G30)</f>
        <v/>
      </c>
      <c r="Q20" s="313" t="str">
        <f>IF('Year 5'!$E30="","",'Year 5'!$E30)</f>
        <v/>
      </c>
      <c r="R20" t="str">
        <f>IF('Year 5'!$F30="","",'Year 5'!$F30)</f>
        <v/>
      </c>
      <c r="S20" s="312" t="str">
        <f>IF('Year 5'!$G30="","",'Year 5'!$G30)</f>
        <v/>
      </c>
    </row>
    <row r="21" spans="1:19" x14ac:dyDescent="0.2">
      <c r="B21" s="307"/>
      <c r="C21" t="s">
        <v>245</v>
      </c>
      <c r="E21">
        <f>IF('Year 1'!$E31="","",'Year 1'!$E31)</f>
        <v>20</v>
      </c>
      <c r="F21" t="str">
        <f>IF('Year 1'!$F31="","",'Year 1'!$F31)</f>
        <v/>
      </c>
      <c r="G21" s="312" t="str">
        <f>IF('Year 1'!$G31="","",'Year 1'!$G31)</f>
        <v/>
      </c>
      <c r="H21">
        <f>IF('Year 2'!$E31="","",'Year 2'!$E31)</f>
        <v>20</v>
      </c>
      <c r="I21" t="str">
        <f>IF('Year 2'!$F31="","",'Year 2'!$F31)</f>
        <v/>
      </c>
      <c r="J21" s="312" t="str">
        <f>IF('Year 2'!$G31="","",'Year 2'!$G31)</f>
        <v/>
      </c>
      <c r="K21">
        <f>IF('Year 3'!$E31="","",'Year 3'!$E31)</f>
        <v>20</v>
      </c>
      <c r="L21" t="str">
        <f>IF('Year 3'!$F31="","",'Year 3'!$F31)</f>
        <v/>
      </c>
      <c r="M21" s="312" t="str">
        <f>IF('Year 3'!$G31="","",'Year 3'!$G31)</f>
        <v/>
      </c>
      <c r="N21">
        <f>IF('Year 4'!$E31="","",'Year 4'!$E31)</f>
        <v>20</v>
      </c>
      <c r="O21" t="str">
        <f>IF('Year 4'!$F31="","",'Year 4'!$F31)</f>
        <v/>
      </c>
      <c r="P21" s="312" t="str">
        <f>IF('Year 4'!$G31="","",'Year 4'!$G31)</f>
        <v/>
      </c>
      <c r="Q21" s="313">
        <f>IF('Year 5'!$E31="","",'Year 5'!$E31)</f>
        <v>20</v>
      </c>
      <c r="R21" t="str">
        <f>IF('Year 5'!$F31="","",'Year 5'!$F31)</f>
        <v/>
      </c>
      <c r="S21" s="312" t="str">
        <f>IF('Year 5'!$G31="","",'Year 5'!$G31)</f>
        <v/>
      </c>
    </row>
    <row r="22" spans="1:19" x14ac:dyDescent="0.2">
      <c r="B22" s="307"/>
      <c r="C22" s="318" t="s">
        <v>244</v>
      </c>
      <c r="D22" s="318"/>
      <c r="E22" s="318">
        <f>IF('Year 1'!$E32="","",'Year 1'!$E32)</f>
        <v>11</v>
      </c>
      <c r="F22" s="318" t="str">
        <f>IF('Year 1'!$F32="","",'Year 1'!$F32)</f>
        <v/>
      </c>
      <c r="G22" s="319" t="str">
        <f>IF('Year 1'!$G32="","",'Year 1'!$G32)</f>
        <v/>
      </c>
      <c r="H22" s="318">
        <f>IF('Year 2'!$E32="","",'Year 2'!$E32)</f>
        <v>11</v>
      </c>
      <c r="I22" s="318" t="str">
        <f>IF('Year 2'!$F32="","",'Year 2'!$F32)</f>
        <v/>
      </c>
      <c r="J22" s="319" t="str">
        <f>IF('Year 2'!$G32="","",'Year 2'!$G32)</f>
        <v/>
      </c>
      <c r="K22" s="318">
        <f>IF('Year 3'!$E32="","",'Year 3'!$E32)</f>
        <v>11</v>
      </c>
      <c r="L22" s="318" t="str">
        <f>IF('Year 3'!$F32="","",'Year 3'!$F32)</f>
        <v/>
      </c>
      <c r="M22" s="319" t="str">
        <f>IF('Year 3'!$G32="","",'Year 3'!$G32)</f>
        <v/>
      </c>
      <c r="N22" s="318">
        <f>IF('Year 4'!$E32="","",'Year 4'!$E32)</f>
        <v>11</v>
      </c>
      <c r="O22" s="318" t="str">
        <f>IF('Year 4'!$F32="","",'Year 4'!$F32)</f>
        <v/>
      </c>
      <c r="P22" s="319" t="str">
        <f>IF('Year 4'!$G32="","",'Year 4'!$G32)</f>
        <v/>
      </c>
      <c r="Q22" s="320">
        <f>IF('Year 5'!$E32="","",'Year 5'!$E32)</f>
        <v>11</v>
      </c>
      <c r="R22" s="318" t="str">
        <f>IF('Year 5'!$F32="","",'Year 5'!$F32)</f>
        <v/>
      </c>
      <c r="S22" s="319" t="str">
        <f>IF('Year 5'!$G32="","",'Year 5'!$G32)</f>
        <v/>
      </c>
    </row>
    <row r="23" spans="1:19" x14ac:dyDescent="0.2">
      <c r="B23" s="307"/>
      <c r="C23" t="s">
        <v>259</v>
      </c>
      <c r="E23">
        <f>IF('Year 1'!$E33="","",'Year 1'!$E33)</f>
        <v>0</v>
      </c>
      <c r="F23" t="str">
        <f>IF('Year 1'!$F33="","",'Year 1'!$F33)</f>
        <v/>
      </c>
      <c r="G23" s="312" t="str">
        <f>IF('Year 1'!$G33="","",'Year 1'!$G33)</f>
        <v/>
      </c>
      <c r="H23">
        <f>IF('Year 2'!$E33="","",'Year 2'!$E33)</f>
        <v>31</v>
      </c>
      <c r="I23" t="str">
        <f>IF('Year 2'!$F33="","",'Year 2'!$F33)</f>
        <v/>
      </c>
      <c r="J23" s="312" t="str">
        <f>IF('Year 2'!$G33="","",'Year 2'!$G33)</f>
        <v/>
      </c>
      <c r="K23">
        <f>IF('Year 3'!$E33="","",'Year 3'!$E33)</f>
        <v>54</v>
      </c>
      <c r="L23" t="str">
        <f>IF('Year 3'!$F33="","",'Year 3'!$F33)</f>
        <v/>
      </c>
      <c r="M23" s="312" t="str">
        <f>IF('Year 3'!$G33="","",'Year 3'!$G33)</f>
        <v/>
      </c>
      <c r="N23">
        <f>IF('Year 4'!$E33="","",'Year 4'!$E33)</f>
        <v>54</v>
      </c>
      <c r="O23" t="str">
        <f>IF('Year 4'!$F33="","",'Year 4'!$F33)</f>
        <v/>
      </c>
      <c r="P23" s="312" t="str">
        <f>IF('Year 4'!$G33="","",'Year 4'!$G33)</f>
        <v/>
      </c>
      <c r="Q23" s="313">
        <f>IF('Year 5'!$E33="","",'Year 5'!$E33)</f>
        <v>54</v>
      </c>
      <c r="R23" t="str">
        <f>IF('Year 5'!$F33="","",'Year 5'!$F33)</f>
        <v/>
      </c>
      <c r="S23" s="312" t="str">
        <f>IF('Year 5'!$G33="","",'Year 5'!$G33)</f>
        <v/>
      </c>
    </row>
    <row r="24" spans="1:19" x14ac:dyDescent="0.2">
      <c r="B24" s="307"/>
      <c r="C24" s="318" t="s">
        <v>320</v>
      </c>
      <c r="D24" s="318"/>
      <c r="E24" s="318">
        <f>IF('Year 1'!$E34="","",'Year 1'!$E34)</f>
        <v>10</v>
      </c>
      <c r="F24" s="318" t="str">
        <f>IF('Year 1'!$F34="","",'Year 1'!$F34)</f>
        <v/>
      </c>
      <c r="G24" s="319" t="str">
        <f>IF('Year 1'!$G34="","",'Year 1'!$G34)</f>
        <v/>
      </c>
      <c r="H24" s="318">
        <f>IF('Year 2'!$E34="","",'Year 2'!$E34)</f>
        <v>15</v>
      </c>
      <c r="I24" s="318" t="str">
        <f>IF('Year 2'!$F34="","",'Year 2'!$F34)</f>
        <v/>
      </c>
      <c r="J24" s="319" t="str">
        <f>IF('Year 2'!$G34="","",'Year 2'!$G34)</f>
        <v/>
      </c>
      <c r="K24" s="318">
        <f>IF('Year 3'!$E34="","",'Year 3'!$E34)</f>
        <v>15</v>
      </c>
      <c r="L24" s="318" t="str">
        <f>IF('Year 3'!$F34="","",'Year 3'!$F34)</f>
        <v/>
      </c>
      <c r="M24" s="319" t="str">
        <f>IF('Year 3'!$G34="","",'Year 3'!$G34)</f>
        <v/>
      </c>
      <c r="N24" s="318">
        <f>IF('Year 4'!$E34="","",'Year 4'!$E34)</f>
        <v>15</v>
      </c>
      <c r="O24" s="318" t="str">
        <f>IF('Year 4'!$F34="","",'Year 4'!$F34)</f>
        <v/>
      </c>
      <c r="P24" s="319" t="str">
        <f>IF('Year 4'!$G34="","",'Year 4'!$G34)</f>
        <v/>
      </c>
      <c r="Q24" s="320">
        <f>IF('Year 5'!$E34="","",'Year 5'!$E34)</f>
        <v>15</v>
      </c>
      <c r="R24" s="318" t="str">
        <f>IF('Year 5'!$F34="","",'Year 5'!$F34)</f>
        <v/>
      </c>
      <c r="S24" s="319" t="str">
        <f>IF('Year 5'!$G34="","",'Year 5'!$G34)</f>
        <v/>
      </c>
    </row>
    <row r="25" spans="1:19" x14ac:dyDescent="0.2">
      <c r="B25" s="307"/>
      <c r="C25" t="s">
        <v>321</v>
      </c>
      <c r="E25">
        <f>IF('Year 1'!$E35="","",'Year 1'!$E35)</f>
        <v>0.3</v>
      </c>
      <c r="F25" t="str">
        <f>IF('Year 1'!$F35="","",'Year 1'!$F35)</f>
        <v/>
      </c>
      <c r="G25" s="312" t="str">
        <f>IF('Year 1'!$G35="","",'Year 1'!$G35)</f>
        <v/>
      </c>
      <c r="H25">
        <f>IF('Year 2'!$E35="","",'Year 2'!$E35)</f>
        <v>0.26</v>
      </c>
      <c r="I25" t="str">
        <f>IF('Year 2'!$F35="","",'Year 2'!$F35)</f>
        <v/>
      </c>
      <c r="J25" s="312" t="str">
        <f>IF('Year 2'!$G35="","",'Year 2'!$G35)</f>
        <v/>
      </c>
      <c r="K25">
        <f>IF('Year 3'!$E35="","",'Year 3'!$E35)</f>
        <v>0.26</v>
      </c>
      <c r="L25" t="str">
        <f>IF('Year 3'!$F35="","",'Year 3'!$F35)</f>
        <v/>
      </c>
      <c r="M25" s="312" t="str">
        <f>IF('Year 3'!$G35="","",'Year 3'!$G35)</f>
        <v/>
      </c>
      <c r="N25">
        <f>IF('Year 4'!$E35="","",'Year 4'!$E35)</f>
        <v>0.26</v>
      </c>
      <c r="O25" t="str">
        <f>IF('Year 4'!$F35="","",'Year 4'!$F35)</f>
        <v/>
      </c>
      <c r="P25" s="312" t="str">
        <f>IF('Year 4'!$G35="","",'Year 4'!$G35)</f>
        <v/>
      </c>
      <c r="Q25" s="313">
        <f>IF('Year 5'!$E35="","",'Year 5'!$E35)</f>
        <v>0.26</v>
      </c>
      <c r="R25" t="str">
        <f>IF('Year 5'!$F35="","",'Year 5'!$F35)</f>
        <v/>
      </c>
      <c r="S25" s="312" t="str">
        <f>IF('Year 5'!$G35="","",'Year 5'!$G35)</f>
        <v/>
      </c>
    </row>
    <row r="26" spans="1:19" x14ac:dyDescent="0.2">
      <c r="A26" s="27"/>
      <c r="B26" s="307"/>
      <c r="E26" t="str">
        <f>IF('Year 1'!$E42="","",'Year 1'!$E42)</f>
        <v/>
      </c>
      <c r="F26" t="str">
        <f>IF('Year 1'!$F42="","",'Year 1'!$F42)</f>
        <v/>
      </c>
      <c r="G26" s="312" t="str">
        <f>IF('Year 1'!$G42="","",'Year 1'!$G42)</f>
        <v/>
      </c>
      <c r="H26" t="str">
        <f>IF('Year 2'!$E42="","",'Year 2'!$E42)</f>
        <v/>
      </c>
      <c r="I26" t="str">
        <f>IF('Year 2'!$F42="","",'Year 2'!$F42)</f>
        <v/>
      </c>
      <c r="J26" s="312" t="str">
        <f>IF('Year 2'!$G42="","",'Year 2'!$G42)</f>
        <v/>
      </c>
      <c r="K26" t="str">
        <f>IF('Year 3'!$E42="","",'Year 3'!$E42)</f>
        <v/>
      </c>
      <c r="L26" t="str">
        <f>IF('Year 3'!$F42="","",'Year 3'!$F42)</f>
        <v/>
      </c>
      <c r="M26" s="312" t="str">
        <f>IF('Year 3'!$G42="","",'Year 3'!$G42)</f>
        <v/>
      </c>
      <c r="N26" t="str">
        <f>IF('Year 4'!$E42="","",'Year 4'!$E42)</f>
        <v/>
      </c>
      <c r="O26" t="str">
        <f>IF('Year 4'!$F42="","",'Year 4'!$F42)</f>
        <v/>
      </c>
      <c r="P26" s="312" t="str">
        <f>IF('Year 4'!$G42="","",'Year 4'!$G42)</f>
        <v/>
      </c>
      <c r="Q26" s="313" t="str">
        <f>IF('Year 5'!$E42="","",'Year 5'!$E42)</f>
        <v/>
      </c>
      <c r="R26" t="str">
        <f>IF('Year 5'!$F42="","",'Year 5'!$F42)</f>
        <v/>
      </c>
      <c r="S26" s="312" t="str">
        <f>IF('Year 5'!$G42="","",'Year 5'!$G42)</f>
        <v/>
      </c>
    </row>
    <row r="27" spans="1:19" x14ac:dyDescent="0.2">
      <c r="A27" s="27"/>
      <c r="B27" s="307" t="s">
        <v>377</v>
      </c>
      <c r="E27" t="str">
        <f>'Year 1'!$E45</f>
        <v>as % of Respective Sales Revenue</v>
      </c>
      <c r="G27" s="312"/>
      <c r="H27" t="str">
        <f>'Year 2'!$E45</f>
        <v>as % of Respective Sales Revenue</v>
      </c>
      <c r="J27" s="312"/>
      <c r="K27" t="str">
        <f>'Year 3'!$E45</f>
        <v>as % of Respective Sales Revenue</v>
      </c>
      <c r="M27" s="312"/>
      <c r="N27" t="str">
        <f>'Year 4'!$E45</f>
        <v>as % of Respective Sales Revenue</v>
      </c>
      <c r="P27" s="312"/>
      <c r="Q27" s="313" t="str">
        <f>'Year 5'!$E45</f>
        <v>as % of Respective Sales Revenue</v>
      </c>
      <c r="S27" s="312"/>
    </row>
    <row r="28" spans="1:19" x14ac:dyDescent="0.2">
      <c r="B28" s="307"/>
      <c r="C28" t="s">
        <v>367</v>
      </c>
      <c r="E28">
        <f>'Year 1'!$E46</f>
        <v>0.03</v>
      </c>
      <c r="G28" s="312"/>
      <c r="H28">
        <f>'Year 2'!$E46</f>
        <v>0.03</v>
      </c>
      <c r="J28" s="312"/>
      <c r="K28">
        <f>'Year 3'!$E46</f>
        <v>0.03</v>
      </c>
      <c r="M28" s="312"/>
      <c r="N28">
        <f>'Year 4'!$E46</f>
        <v>0.03</v>
      </c>
      <c r="P28" s="312"/>
      <c r="Q28" s="313">
        <f>'Year 5'!$E46</f>
        <v>0.03</v>
      </c>
      <c r="S28" s="312"/>
    </row>
    <row r="29" spans="1:19" x14ac:dyDescent="0.2">
      <c r="B29" s="307"/>
      <c r="C29" s="318" t="s">
        <v>368</v>
      </c>
      <c r="D29" s="318"/>
      <c r="E29" s="318">
        <f>'Year 1'!$E47</f>
        <v>0.03</v>
      </c>
      <c r="F29" s="318" t="str">
        <f>IF('Year 1'!$F52="","",'Year 1'!$F52)</f>
        <v/>
      </c>
      <c r="G29" s="319" t="str">
        <f>IF('Year 1'!$G52="","",'Year 1'!$G52)</f>
        <v/>
      </c>
      <c r="H29" s="318">
        <f>'Year 2'!$E47</f>
        <v>0.03</v>
      </c>
      <c r="I29" s="318" t="str">
        <f>IF('Year 2'!$F52="","",'Year 2'!$F52)</f>
        <v/>
      </c>
      <c r="J29" s="319" t="str">
        <f>IF('Year 2'!$G52="","",'Year 2'!$G52)</f>
        <v/>
      </c>
      <c r="K29" s="318">
        <f>'Year 3'!$E47</f>
        <v>0.03</v>
      </c>
      <c r="L29" s="318" t="str">
        <f>IF('Year 3'!$F52="","",'Year 3'!$F52)</f>
        <v/>
      </c>
      <c r="M29" s="319" t="str">
        <f>IF('Year 3'!$G52="","",'Year 3'!$G52)</f>
        <v/>
      </c>
      <c r="N29" s="318">
        <f>'Year 4'!$E47</f>
        <v>0.03</v>
      </c>
      <c r="O29" s="318" t="str">
        <f>IF('Year 4'!$F52="","",'Year 4'!$F52)</f>
        <v/>
      </c>
      <c r="P29" s="319" t="str">
        <f>IF('Year 4'!$G52="","",'Year 4'!$G52)</f>
        <v/>
      </c>
      <c r="Q29" s="320">
        <f>'Year 5'!$E47</f>
        <v>0.03</v>
      </c>
      <c r="R29" s="318" t="str">
        <f>IF('Year 5'!$F52="","",'Year 5'!$F52)</f>
        <v/>
      </c>
      <c r="S29" s="319" t="str">
        <f>IF('Year 5'!$G52="","",'Year 5'!$G52)</f>
        <v/>
      </c>
    </row>
    <row r="30" spans="1:19" x14ac:dyDescent="0.2">
      <c r="B30" s="307"/>
      <c r="C30" s="318" t="s">
        <v>369</v>
      </c>
      <c r="D30" s="318"/>
      <c r="E30" s="318">
        <f>'Year 1'!$E48</f>
        <v>0.05</v>
      </c>
      <c r="F30" s="318" t="str">
        <f>IF('Year 1'!$F53="","",'Year 1'!$F53)</f>
        <v/>
      </c>
      <c r="G30" s="319"/>
      <c r="H30" s="318">
        <f>'Year 2'!$E48</f>
        <v>0.05</v>
      </c>
      <c r="I30" s="318" t="str">
        <f>IF('Year 2'!$F53="","",'Year 2'!$F53)</f>
        <v/>
      </c>
      <c r="J30" s="319"/>
      <c r="K30" s="318">
        <f>'Year 3'!$E48</f>
        <v>0.05</v>
      </c>
      <c r="L30" s="318" t="str">
        <f>IF('Year 3'!$F53="","",'Year 3'!$F53)</f>
        <v/>
      </c>
      <c r="M30" s="319"/>
      <c r="N30" s="318">
        <f>'Year 4'!$E48</f>
        <v>0.05</v>
      </c>
      <c r="O30" s="318" t="str">
        <f>IF('Year 4'!$F53="","",'Year 4'!$F53)</f>
        <v/>
      </c>
      <c r="P30" s="319"/>
      <c r="Q30" s="320">
        <f>'Year 5'!$E48</f>
        <v>0.05</v>
      </c>
      <c r="R30" s="318" t="str">
        <f>IF('Year 5'!$F53="","",'Year 5'!$F53)</f>
        <v/>
      </c>
      <c r="S30" s="319"/>
    </row>
    <row r="31" spans="1:19" x14ac:dyDescent="0.2">
      <c r="B31" s="307"/>
      <c r="C31" t="s">
        <v>370</v>
      </c>
      <c r="E31">
        <f>'Year 1'!$E49</f>
        <v>0.06</v>
      </c>
      <c r="G31" s="312"/>
      <c r="H31">
        <f>'Year 2'!$E49</f>
        <v>0.06</v>
      </c>
      <c r="J31" s="312"/>
      <c r="K31">
        <f>'Year 3'!$E49</f>
        <v>0.06</v>
      </c>
      <c r="M31" s="312"/>
      <c r="N31">
        <f>'Year 4'!$E49</f>
        <v>0.06</v>
      </c>
      <c r="P31" s="312"/>
      <c r="Q31" s="313">
        <f>'Year 5'!$E49</f>
        <v>0.06</v>
      </c>
      <c r="S31" s="312"/>
    </row>
    <row r="32" spans="1:19" x14ac:dyDescent="0.2">
      <c r="A32" s="25"/>
      <c r="B32" s="308"/>
      <c r="G32" s="312"/>
      <c r="J32" s="312"/>
      <c r="M32" s="312"/>
      <c r="P32" s="312"/>
      <c r="Q32" s="313"/>
      <c r="S32" s="312"/>
    </row>
    <row r="33" spans="2:19" x14ac:dyDescent="0.2">
      <c r="B33" s="307" t="s">
        <v>11</v>
      </c>
      <c r="E33" t="str">
        <f>IF('Year 1'!$E54="","",'Year 1'!$E54)</f>
        <v/>
      </c>
      <c r="F33" t="str">
        <f>IF('Year 1'!$F54="","",'Year 1'!$F54)</f>
        <v/>
      </c>
      <c r="G33" s="312" t="str">
        <f>IF('Year 1'!$G54="","",'Year 1'!$G54)</f>
        <v/>
      </c>
      <c r="H33" t="str">
        <f>IF('Year 2'!$E54="","",'Year 2'!$E54)</f>
        <v/>
      </c>
      <c r="I33" t="str">
        <f>IF('Year 2'!$F54="","",'Year 2'!$F54)</f>
        <v/>
      </c>
      <c r="J33" s="312" t="str">
        <f>IF('Year 2'!$G54="","",'Year 2'!$G54)</f>
        <v/>
      </c>
      <c r="K33" t="str">
        <f>IF('Year 3'!$E54="","",'Year 3'!$E54)</f>
        <v/>
      </c>
      <c r="L33" t="str">
        <f>IF('Year 3'!$F54="","",'Year 3'!$F54)</f>
        <v/>
      </c>
      <c r="M33" s="312" t="str">
        <f>IF('Year 3'!$G54="","",'Year 3'!$G54)</f>
        <v/>
      </c>
      <c r="N33" t="str">
        <f>IF('Year 4'!$E54="","",'Year 4'!$E54)</f>
        <v/>
      </c>
      <c r="O33" t="str">
        <f>IF('Year 4'!$F54="","",'Year 4'!$F54)</f>
        <v/>
      </c>
      <c r="P33" s="312" t="str">
        <f>IF('Year 4'!$G54="","",'Year 4'!$G54)</f>
        <v/>
      </c>
      <c r="Q33" s="313" t="str">
        <f>IF('Year 5'!$E54="","",'Year 5'!$E54)</f>
        <v/>
      </c>
      <c r="R33" t="str">
        <f>IF('Year 5'!$F54="","",'Year 5'!$F54)</f>
        <v/>
      </c>
      <c r="S33" s="312" t="str">
        <f>IF('Year 5'!$G54="","",'Year 5'!$G54)</f>
        <v/>
      </c>
    </row>
    <row r="34" spans="2:19" x14ac:dyDescent="0.2">
      <c r="B34" s="307" t="s">
        <v>267</v>
      </c>
      <c r="E34" t="str">
        <f>IF('Year 1'!$E55="","",'Year 1'!$E55)</f>
        <v>as % of Respective Sales Revenue</v>
      </c>
      <c r="F34" t="str">
        <f>IF('Year 1'!$F55="","",'Year 1'!$F55)</f>
        <v/>
      </c>
      <c r="G34" s="312" t="str">
        <f>IF('Year 1'!$G55="","",'Year 1'!$G55)</f>
        <v/>
      </c>
      <c r="H34" t="str">
        <f>IF('Year 2'!$E55="","",'Year 2'!$E55)</f>
        <v>as % of Respective Sales Revenue</v>
      </c>
      <c r="I34" t="str">
        <f>IF('Year 2'!$F55="","",'Year 2'!$F55)</f>
        <v/>
      </c>
      <c r="J34" s="312" t="str">
        <f>IF('Year 2'!$G55="","",'Year 2'!$G55)</f>
        <v/>
      </c>
      <c r="K34" t="str">
        <f>IF('Year 3'!$E55="","",'Year 3'!$E55)</f>
        <v>as % of Respective Sales Revenue</v>
      </c>
      <c r="L34" t="str">
        <f>IF('Year 3'!$F55="","",'Year 3'!$F55)</f>
        <v/>
      </c>
      <c r="M34" s="312" t="str">
        <f>IF('Year 3'!$G55="","",'Year 3'!$G55)</f>
        <v/>
      </c>
      <c r="N34" t="str">
        <f>IF('Year 4'!$E55="","",'Year 4'!$E55)</f>
        <v>as % of Respective Sales Revenue</v>
      </c>
      <c r="O34" t="str">
        <f>IF('Year 4'!$F55="","",'Year 4'!$F55)</f>
        <v/>
      </c>
      <c r="P34" s="312" t="str">
        <f>IF('Year 4'!$G55="","",'Year 4'!$G55)</f>
        <v/>
      </c>
      <c r="Q34" s="313" t="str">
        <f>IF('Year 5'!$E55="","",'Year 5'!$E55)</f>
        <v>as % of Respective Sales Revenue</v>
      </c>
      <c r="R34" t="str">
        <f>IF('Year 5'!$F55="","",'Year 5'!$F55)</f>
        <v/>
      </c>
      <c r="S34" s="312" t="str">
        <f>IF('Year 5'!$G55="","",'Year 5'!$G55)</f>
        <v/>
      </c>
    </row>
    <row r="35" spans="2:19" x14ac:dyDescent="0.2">
      <c r="B35" s="307"/>
      <c r="C35" t="s">
        <v>264</v>
      </c>
      <c r="E35">
        <f>IF('Year 1'!$E56="","",'Year 1'!$E56)</f>
        <v>0.03</v>
      </c>
      <c r="F35" t="str">
        <f>IF('Year 1'!$F56="","",'Year 1'!$F56)</f>
        <v/>
      </c>
      <c r="G35" s="312" t="str">
        <f>IF('Year 1'!$G56="","",'Year 1'!$G56)</f>
        <v/>
      </c>
      <c r="H35">
        <f>IF('Year 2'!$E56="","",'Year 2'!$E56)</f>
        <v>0.03</v>
      </c>
      <c r="I35" t="str">
        <f>IF('Year 2'!$F56="","",'Year 2'!$F56)</f>
        <v/>
      </c>
      <c r="J35" s="312" t="str">
        <f>IF('Year 2'!$G56="","",'Year 2'!$G56)</f>
        <v/>
      </c>
      <c r="K35">
        <f>IF('Year 3'!$E56="","",'Year 3'!$E56)</f>
        <v>0.03</v>
      </c>
      <c r="L35" t="str">
        <f>IF('Year 3'!$F56="","",'Year 3'!$F56)</f>
        <v/>
      </c>
      <c r="M35" s="312" t="str">
        <f>IF('Year 3'!$G56="","",'Year 3'!$G56)</f>
        <v/>
      </c>
      <c r="N35">
        <f>IF('Year 4'!$E56="","",'Year 4'!$E56)</f>
        <v>0.03</v>
      </c>
      <c r="O35" t="str">
        <f>IF('Year 4'!$F56="","",'Year 4'!$F56)</f>
        <v/>
      </c>
      <c r="P35" s="312" t="str">
        <f>IF('Year 4'!$G56="","",'Year 4'!$G56)</f>
        <v/>
      </c>
      <c r="Q35" s="313">
        <f>IF('Year 5'!$E56="","",'Year 5'!$E56)</f>
        <v>0.03</v>
      </c>
      <c r="R35" t="str">
        <f>IF('Year 5'!$F56="","",'Year 5'!$F56)</f>
        <v/>
      </c>
      <c r="S35" s="312" t="str">
        <f>IF('Year 5'!$G56="","",'Year 5'!$G56)</f>
        <v/>
      </c>
    </row>
    <row r="36" spans="2:19" x14ac:dyDescent="0.2">
      <c r="B36" s="307"/>
      <c r="C36" s="318" t="s">
        <v>265</v>
      </c>
      <c r="D36" s="318"/>
      <c r="E36" s="318">
        <f>IF('Year 1'!$E57="","",'Year 1'!$E57)</f>
        <v>0.02</v>
      </c>
      <c r="F36" s="318" t="str">
        <f>IF('Year 1'!$F57="","",'Year 1'!$F57)</f>
        <v/>
      </c>
      <c r="G36" s="319" t="str">
        <f>IF('Year 1'!$G57="","",'Year 1'!$G57)</f>
        <v/>
      </c>
      <c r="H36" s="318">
        <f>IF('Year 2'!$E57="","",'Year 2'!$E57)</f>
        <v>0.02</v>
      </c>
      <c r="I36" s="318" t="str">
        <f>IF('Year 2'!$F57="","",'Year 2'!$F57)</f>
        <v/>
      </c>
      <c r="J36" s="319" t="str">
        <f>IF('Year 2'!$G57="","",'Year 2'!$G57)</f>
        <v/>
      </c>
      <c r="K36" s="318">
        <f>IF('Year 3'!$E57="","",'Year 3'!$E57)</f>
        <v>0.02</v>
      </c>
      <c r="L36" s="318" t="str">
        <f>IF('Year 3'!$F57="","",'Year 3'!$F57)</f>
        <v/>
      </c>
      <c r="M36" s="319" t="str">
        <f>IF('Year 3'!$G57="","",'Year 3'!$G57)</f>
        <v/>
      </c>
      <c r="N36" s="318">
        <f>IF('Year 4'!$E57="","",'Year 4'!$E57)</f>
        <v>0.02</v>
      </c>
      <c r="O36" s="318" t="str">
        <f>IF('Year 4'!$F57="","",'Year 4'!$F57)</f>
        <v/>
      </c>
      <c r="P36" s="319" t="str">
        <f>IF('Year 4'!$G57="","",'Year 4'!$G57)</f>
        <v/>
      </c>
      <c r="Q36" s="320">
        <f>IF('Year 5'!$E57="","",'Year 5'!$E57)</f>
        <v>0.02</v>
      </c>
      <c r="R36" s="318" t="str">
        <f>IF('Year 5'!$F57="","",'Year 5'!$F57)</f>
        <v/>
      </c>
      <c r="S36" s="319" t="str">
        <f>IF('Year 5'!$G57="","",'Year 5'!$G57)</f>
        <v/>
      </c>
    </row>
    <row r="37" spans="2:19" x14ac:dyDescent="0.2">
      <c r="B37" s="307"/>
      <c r="C37" s="318" t="s">
        <v>285</v>
      </c>
      <c r="D37" s="318"/>
      <c r="E37" s="318">
        <f>IF('Year 1'!$E58="","",'Year 1'!$E58)</f>
        <v>0.01</v>
      </c>
      <c r="F37" s="318" t="str">
        <f>IF('Year 1'!$F58="","",'Year 1'!$F58)</f>
        <v/>
      </c>
      <c r="G37" s="319" t="str">
        <f>IF('Year 1'!$G58="","",'Year 1'!$G58)</f>
        <v/>
      </c>
      <c r="H37" s="318">
        <f>IF('Year 2'!$E58="","",'Year 2'!$E58)</f>
        <v>0.01</v>
      </c>
      <c r="I37" s="318" t="str">
        <f>IF('Year 2'!$F58="","",'Year 2'!$F58)</f>
        <v/>
      </c>
      <c r="J37" s="319" t="str">
        <f>IF('Year 2'!$G58="","",'Year 2'!$G58)</f>
        <v/>
      </c>
      <c r="K37" s="318">
        <f>IF('Year 3'!$E58="","",'Year 3'!$E58)</f>
        <v>0.01</v>
      </c>
      <c r="L37" s="318" t="str">
        <f>IF('Year 3'!$F58="","",'Year 3'!$F58)</f>
        <v/>
      </c>
      <c r="M37" s="319" t="str">
        <f>IF('Year 3'!$G58="","",'Year 3'!$G58)</f>
        <v/>
      </c>
      <c r="N37" s="318">
        <f>IF('Year 4'!$E58="","",'Year 4'!$E58)</f>
        <v>0.01</v>
      </c>
      <c r="O37" s="318" t="str">
        <f>IF('Year 4'!$F58="","",'Year 4'!$F58)</f>
        <v/>
      </c>
      <c r="P37" s="319" t="str">
        <f>IF('Year 4'!$G58="","",'Year 4'!$G58)</f>
        <v/>
      </c>
      <c r="Q37" s="320">
        <f>IF('Year 5'!$E58="","",'Year 5'!$E58)</f>
        <v>0.01</v>
      </c>
      <c r="R37" s="318" t="str">
        <f>IF('Year 5'!$F58="","",'Year 5'!$F58)</f>
        <v/>
      </c>
      <c r="S37" s="319" t="str">
        <f>IF('Year 5'!$G58="","",'Year 5'!$G58)</f>
        <v/>
      </c>
    </row>
    <row r="38" spans="2:19" x14ac:dyDescent="0.2">
      <c r="B38" s="307"/>
      <c r="C38" t="s">
        <v>266</v>
      </c>
      <c r="E38">
        <f>IF('Year 1'!$E59="","",'Year 1'!$E59)</f>
        <v>0.04</v>
      </c>
      <c r="F38" t="str">
        <f>IF('Year 1'!$F59="","",'Year 1'!$F59)</f>
        <v/>
      </c>
      <c r="G38" s="312" t="str">
        <f>IF('Year 1'!$G59="","",'Year 1'!$G59)</f>
        <v/>
      </c>
      <c r="H38">
        <f>IF('Year 2'!$E59="","",'Year 2'!$E59)</f>
        <v>0.04</v>
      </c>
      <c r="I38" t="str">
        <f>IF('Year 2'!$F59="","",'Year 2'!$F59)</f>
        <v/>
      </c>
      <c r="J38" s="312" t="str">
        <f>IF('Year 2'!$G59="","",'Year 2'!$G59)</f>
        <v/>
      </c>
      <c r="K38">
        <f>IF('Year 3'!$E59="","",'Year 3'!$E59)</f>
        <v>0.04</v>
      </c>
      <c r="L38" t="str">
        <f>IF('Year 3'!$F59="","",'Year 3'!$F59)</f>
        <v/>
      </c>
      <c r="M38" s="312" t="str">
        <f>IF('Year 3'!$G59="","",'Year 3'!$G59)</f>
        <v/>
      </c>
      <c r="N38">
        <f>IF('Year 4'!$E59="","",'Year 4'!$E59)</f>
        <v>0.04</v>
      </c>
      <c r="O38" t="str">
        <f>IF('Year 4'!$F59="","",'Year 4'!$F59)</f>
        <v/>
      </c>
      <c r="P38" s="312" t="str">
        <f>IF('Year 4'!$G59="","",'Year 4'!$G59)</f>
        <v/>
      </c>
      <c r="Q38" s="313">
        <f>IF('Year 5'!$E59="","",'Year 5'!$E59)</f>
        <v>0.04</v>
      </c>
      <c r="R38" t="str">
        <f>IF('Year 5'!$F59="","",'Year 5'!$F59)</f>
        <v/>
      </c>
      <c r="S38" s="312" t="str">
        <f>IF('Year 5'!$G59="","",'Year 5'!$G59)</f>
        <v/>
      </c>
    </row>
    <row r="39" spans="2:19" x14ac:dyDescent="0.2">
      <c r="B39" s="307" t="s">
        <v>274</v>
      </c>
      <c r="E39" t="str">
        <f>IF('Year 1'!$E60="","",'Year 1'!$E60)</f>
        <v/>
      </c>
      <c r="F39" t="str">
        <f>IF('Year 1'!$F60="","",'Year 1'!$F60)</f>
        <v/>
      </c>
      <c r="G39" s="312" t="str">
        <f>IF('Year 1'!$G60="","",'Year 1'!$G60)</f>
        <v/>
      </c>
      <c r="H39" t="str">
        <f>IF('Year 2'!$E60="","",'Year 2'!$E60)</f>
        <v/>
      </c>
      <c r="I39" t="str">
        <f>IF('Year 2'!$F60="","",'Year 2'!$F60)</f>
        <v/>
      </c>
      <c r="J39" s="312" t="str">
        <f>IF('Year 2'!$G60="","",'Year 2'!$G60)</f>
        <v/>
      </c>
      <c r="K39" t="str">
        <f>IF('Year 3'!$E60="","",'Year 3'!$E60)</f>
        <v/>
      </c>
      <c r="L39" t="str">
        <f>IF('Year 3'!$F60="","",'Year 3'!$F60)</f>
        <v/>
      </c>
      <c r="M39" s="312" t="str">
        <f>IF('Year 3'!$G60="","",'Year 3'!$G60)</f>
        <v/>
      </c>
      <c r="N39" t="str">
        <f>IF('Year 4'!$E60="","",'Year 4'!$E60)</f>
        <v/>
      </c>
      <c r="O39" t="str">
        <f>IF('Year 4'!$F60="","",'Year 4'!$F60)</f>
        <v/>
      </c>
      <c r="P39" s="312" t="str">
        <f>IF('Year 4'!$G60="","",'Year 4'!$G60)</f>
        <v/>
      </c>
      <c r="Q39" s="313" t="str">
        <f>IF('Year 5'!$E60="","",'Year 5'!$E60)</f>
        <v/>
      </c>
      <c r="R39" t="str">
        <f>IF('Year 5'!$F60="","",'Year 5'!$F60)</f>
        <v/>
      </c>
      <c r="S39" s="312" t="str">
        <f>IF('Year 5'!$G60="","",'Year 5'!$G60)</f>
        <v/>
      </c>
    </row>
    <row r="40" spans="2:19" x14ac:dyDescent="0.2">
      <c r="B40" s="307"/>
      <c r="E40" t="str">
        <f>IF('Year 1'!$E61="","",'Year 1'!$E61)</f>
        <v/>
      </c>
      <c r="F40" t="str">
        <f>IF('Year 1'!$F61="","",'Year 1'!$F61)</f>
        <v/>
      </c>
      <c r="G40" s="312" t="str">
        <f>IF('Year 1'!$G61="","",'Year 1'!$G61)</f>
        <v/>
      </c>
      <c r="H40" t="str">
        <f>IF('Year 2'!$E61="","",'Year 2'!$E61)</f>
        <v/>
      </c>
      <c r="I40" t="str">
        <f>IF('Year 2'!$F61="","",'Year 2'!$F61)</f>
        <v/>
      </c>
      <c r="J40" s="312" t="str">
        <f>IF('Year 2'!$G61="","",'Year 2'!$G61)</f>
        <v/>
      </c>
      <c r="K40" t="str">
        <f>IF('Year 3'!$E61="","",'Year 3'!$E61)</f>
        <v/>
      </c>
      <c r="L40" t="str">
        <f>IF('Year 3'!$F61="","",'Year 3'!$F61)</f>
        <v/>
      </c>
      <c r="M40" s="312" t="str">
        <f>IF('Year 3'!$G61="","",'Year 3'!$G61)</f>
        <v/>
      </c>
      <c r="N40" t="str">
        <f>IF('Year 4'!$E61="","",'Year 4'!$E61)</f>
        <v/>
      </c>
      <c r="O40" t="str">
        <f>IF('Year 4'!$F61="","",'Year 4'!$F61)</f>
        <v/>
      </c>
      <c r="P40" s="312" t="str">
        <f>IF('Year 4'!$G61="","",'Year 4'!$G61)</f>
        <v/>
      </c>
      <c r="Q40" s="313" t="str">
        <f>IF('Year 5'!$E61="","",'Year 5'!$E61)</f>
        <v/>
      </c>
      <c r="R40" t="str">
        <f>IF('Year 5'!$F61="","",'Year 5'!$F61)</f>
        <v/>
      </c>
      <c r="S40" s="312" t="str">
        <f>IF('Year 5'!$G61="","",'Year 5'!$G61)</f>
        <v/>
      </c>
    </row>
    <row r="41" spans="2:19" x14ac:dyDescent="0.2">
      <c r="B41" s="307" t="s">
        <v>209</v>
      </c>
      <c r="E41" t="str">
        <f>IF('Year 1'!$E62="","",'Year 1'!$E62)</f>
        <v>as % of Respective Sales Revenue</v>
      </c>
      <c r="F41" t="str">
        <f>IF('Year 1'!$F62="","",'Year 1'!$F62)</f>
        <v/>
      </c>
      <c r="G41" s="312" t="str">
        <f>IF('Year 1'!$G62="","",'Year 1'!$G62)</f>
        <v/>
      </c>
      <c r="H41" t="str">
        <f>IF('Year 2'!$E62="","",'Year 2'!$E62)</f>
        <v>as % of Respective Sales Revenue</v>
      </c>
      <c r="I41" t="str">
        <f>IF('Year 2'!$F62="","",'Year 2'!$F62)</f>
        <v/>
      </c>
      <c r="J41" s="312" t="str">
        <f>IF('Year 2'!$G62="","",'Year 2'!$G62)</f>
        <v/>
      </c>
      <c r="K41" t="str">
        <f>IF('Year 3'!$E62="","",'Year 3'!$E62)</f>
        <v>as % of Respective Sales Revenue</v>
      </c>
      <c r="L41" t="str">
        <f>IF('Year 3'!$F62="","",'Year 3'!$F62)</f>
        <v/>
      </c>
      <c r="M41" s="312" t="str">
        <f>IF('Year 3'!$G62="","",'Year 3'!$G62)</f>
        <v/>
      </c>
      <c r="N41" t="str">
        <f>IF('Year 4'!$E62="","",'Year 4'!$E62)</f>
        <v>as % of Respective Sales Revenue</v>
      </c>
      <c r="O41" t="str">
        <f>IF('Year 4'!$F62="","",'Year 4'!$F62)</f>
        <v/>
      </c>
      <c r="P41" s="312" t="str">
        <f>IF('Year 4'!$G62="","",'Year 4'!$G62)</f>
        <v/>
      </c>
      <c r="Q41" s="313" t="str">
        <f>IF('Year 5'!$E62="","",'Year 5'!$E62)</f>
        <v>as % of Respective Sales Revenue</v>
      </c>
      <c r="R41" t="str">
        <f>IF('Year 5'!$F62="","",'Year 5'!$F62)</f>
        <v/>
      </c>
      <c r="S41" s="312" t="str">
        <f>IF('Year 5'!$G62="","",'Year 5'!$G62)</f>
        <v/>
      </c>
    </row>
    <row r="42" spans="2:19" x14ac:dyDescent="0.2">
      <c r="B42" s="307"/>
      <c r="C42" t="s">
        <v>322</v>
      </c>
      <c r="E42">
        <f>IF('Year 1'!$E63="","",'Year 1'!$E63)</f>
        <v>0.02</v>
      </c>
      <c r="F42" t="str">
        <f>IF('Year 1'!$F63="","",'Year 1'!$F63)</f>
        <v/>
      </c>
      <c r="G42" s="312" t="str">
        <f>IF('Year 1'!$G63="","",'Year 1'!$G63)</f>
        <v/>
      </c>
      <c r="H42">
        <f>IF('Year 2'!$E63="","",'Year 2'!$E63)</f>
        <v>0.02</v>
      </c>
      <c r="I42" t="str">
        <f>IF('Year 2'!$F63="","",'Year 2'!$F63)</f>
        <v/>
      </c>
      <c r="J42" s="312" t="str">
        <f>IF('Year 2'!$G63="","",'Year 2'!$G63)</f>
        <v/>
      </c>
      <c r="K42">
        <f>IF('Year 3'!$E63="","",'Year 3'!$E63)</f>
        <v>0.02</v>
      </c>
      <c r="L42" t="str">
        <f>IF('Year 3'!$F63="","",'Year 3'!$F63)</f>
        <v/>
      </c>
      <c r="M42" s="312" t="str">
        <f>IF('Year 3'!$G63="","",'Year 3'!$G63)</f>
        <v/>
      </c>
      <c r="N42">
        <f>IF('Year 4'!$E63="","",'Year 4'!$E63)</f>
        <v>0.02</v>
      </c>
      <c r="O42" t="str">
        <f>IF('Year 4'!$F63="","",'Year 4'!$F63)</f>
        <v/>
      </c>
      <c r="P42" s="312" t="str">
        <f>IF('Year 4'!$G63="","",'Year 4'!$G63)</f>
        <v/>
      </c>
      <c r="Q42" s="313">
        <f>IF('Year 5'!$E63="","",'Year 5'!$E63)</f>
        <v>0.02</v>
      </c>
      <c r="R42" t="str">
        <f>IF('Year 5'!$F63="","",'Year 5'!$F63)</f>
        <v/>
      </c>
      <c r="S42" s="312" t="str">
        <f>IF('Year 5'!$G63="","",'Year 5'!$G63)</f>
        <v/>
      </c>
    </row>
    <row r="43" spans="2:19" x14ac:dyDescent="0.2">
      <c r="B43" s="307"/>
      <c r="C43" s="318" t="s">
        <v>323</v>
      </c>
      <c r="D43" s="318"/>
      <c r="E43" s="318">
        <f>IF('Year 1'!$E64="","",'Year 1'!$E64)</f>
        <v>0</v>
      </c>
      <c r="F43" s="318" t="str">
        <f>IF('Year 1'!$F64="","",'Year 1'!$F64)</f>
        <v/>
      </c>
      <c r="G43" s="319" t="str">
        <f>IF('Year 1'!$G64="","",'Year 1'!$G64)</f>
        <v/>
      </c>
      <c r="H43" s="318">
        <f>IF('Year 2'!$E64="","",'Year 2'!$E64)</f>
        <v>0</v>
      </c>
      <c r="I43" s="318" t="str">
        <f>IF('Year 2'!$F64="","",'Year 2'!$F64)</f>
        <v/>
      </c>
      <c r="J43" s="319" t="str">
        <f>IF('Year 2'!$G64="","",'Year 2'!$G64)</f>
        <v/>
      </c>
      <c r="K43" s="318">
        <f>IF('Year 3'!$E64="","",'Year 3'!$E64)</f>
        <v>0</v>
      </c>
      <c r="L43" s="318" t="str">
        <f>IF('Year 3'!$F64="","",'Year 3'!$F64)</f>
        <v/>
      </c>
      <c r="M43" s="319" t="str">
        <f>IF('Year 3'!$G64="","",'Year 3'!$G64)</f>
        <v/>
      </c>
      <c r="N43" s="318">
        <f>IF('Year 4'!$E64="","",'Year 4'!$E64)</f>
        <v>0</v>
      </c>
      <c r="O43" s="318" t="str">
        <f>IF('Year 4'!$F64="","",'Year 4'!$F64)</f>
        <v/>
      </c>
      <c r="P43" s="319" t="str">
        <f>IF('Year 4'!$G64="","",'Year 4'!$G64)</f>
        <v/>
      </c>
      <c r="Q43" s="320">
        <f>IF('Year 5'!$E64="","",'Year 5'!$E64)</f>
        <v>0</v>
      </c>
      <c r="R43" s="318" t="str">
        <f>IF('Year 5'!$F64="","",'Year 5'!$F64)</f>
        <v/>
      </c>
      <c r="S43" s="319" t="str">
        <f>IF('Year 5'!$G64="","",'Year 5'!$G64)</f>
        <v/>
      </c>
    </row>
    <row r="44" spans="2:19" x14ac:dyDescent="0.2">
      <c r="B44" s="307"/>
      <c r="C44" s="318" t="s">
        <v>324</v>
      </c>
      <c r="D44" s="318"/>
      <c r="E44" s="318">
        <f>IF('Year 1'!$E65="","",'Year 1'!$E65)</f>
        <v>0.3</v>
      </c>
      <c r="F44" s="318" t="str">
        <f>IF('Year 1'!$F65="","",'Year 1'!$F65)</f>
        <v/>
      </c>
      <c r="G44" s="319" t="str">
        <f>IF('Year 1'!$G65="","",'Year 1'!$G65)</f>
        <v/>
      </c>
      <c r="H44" s="318">
        <f>IF('Year 2'!$E65="","",'Year 2'!$E65)</f>
        <v>0.3</v>
      </c>
      <c r="I44" s="318" t="str">
        <f>IF('Year 2'!$F65="","",'Year 2'!$F65)</f>
        <v/>
      </c>
      <c r="J44" s="319" t="str">
        <f>IF('Year 2'!$G65="","",'Year 2'!$G65)</f>
        <v/>
      </c>
      <c r="K44" s="318">
        <f>IF('Year 3'!$E65="","",'Year 3'!$E65)</f>
        <v>0.3</v>
      </c>
      <c r="L44" s="318" t="str">
        <f>IF('Year 3'!$F65="","",'Year 3'!$F65)</f>
        <v/>
      </c>
      <c r="M44" s="319" t="str">
        <f>IF('Year 3'!$G65="","",'Year 3'!$G65)</f>
        <v/>
      </c>
      <c r="N44" s="318">
        <f>IF('Year 4'!$E65="","",'Year 4'!$E65)</f>
        <v>0.3</v>
      </c>
      <c r="O44" s="318" t="str">
        <f>IF('Year 4'!$F65="","",'Year 4'!$F65)</f>
        <v/>
      </c>
      <c r="P44" s="319" t="str">
        <f>IF('Year 4'!$G65="","",'Year 4'!$G65)</f>
        <v/>
      </c>
      <c r="Q44" s="320">
        <f>IF('Year 5'!$E65="","",'Year 5'!$E65)</f>
        <v>0.3</v>
      </c>
      <c r="R44" s="318" t="str">
        <f>IF('Year 5'!$F65="","",'Year 5'!$F65)</f>
        <v/>
      </c>
      <c r="S44" s="319" t="str">
        <f>IF('Year 5'!$G65="","",'Year 5'!$G65)</f>
        <v/>
      </c>
    </row>
    <row r="45" spans="2:19" x14ac:dyDescent="0.2">
      <c r="B45" s="307"/>
      <c r="C45" t="s">
        <v>325</v>
      </c>
      <c r="E45">
        <f>IF('Year 1'!$E66="","",'Year 1'!$E66)</f>
        <v>0.12</v>
      </c>
      <c r="F45" t="str">
        <f>IF('Year 1'!$F66="","",'Year 1'!$F66)</f>
        <v/>
      </c>
      <c r="G45" s="312" t="str">
        <f>IF('Year 1'!$G66="","",'Year 1'!$G66)</f>
        <v/>
      </c>
      <c r="H45">
        <f>IF('Year 2'!$E66="","",'Year 2'!$E66)</f>
        <v>0.12</v>
      </c>
      <c r="I45" t="str">
        <f>IF('Year 2'!$F66="","",'Year 2'!$F66)</f>
        <v/>
      </c>
      <c r="J45" s="312" t="str">
        <f>IF('Year 2'!$G66="","",'Year 2'!$G66)</f>
        <v/>
      </c>
      <c r="K45">
        <f>IF('Year 3'!$E66="","",'Year 3'!$E66)</f>
        <v>0.12</v>
      </c>
      <c r="L45" t="str">
        <f>IF('Year 3'!$F66="","",'Year 3'!$F66)</f>
        <v/>
      </c>
      <c r="M45" s="312" t="str">
        <f>IF('Year 3'!$G66="","",'Year 3'!$G66)</f>
        <v/>
      </c>
      <c r="N45">
        <f>IF('Year 4'!$E66="","",'Year 4'!$E66)</f>
        <v>0.12</v>
      </c>
      <c r="O45" t="str">
        <f>IF('Year 4'!$F66="","",'Year 4'!$F66)</f>
        <v/>
      </c>
      <c r="P45" s="312" t="str">
        <f>IF('Year 4'!$G66="","",'Year 4'!$G66)</f>
        <v/>
      </c>
      <c r="Q45" s="313">
        <f>IF('Year 5'!$E66="","",'Year 5'!$E66)</f>
        <v>0.12</v>
      </c>
      <c r="R45" t="str">
        <f>IF('Year 5'!$F66="","",'Year 5'!$F66)</f>
        <v/>
      </c>
      <c r="S45" s="312" t="str">
        <f>IF('Year 5'!$G66="","",'Year 5'!$G66)</f>
        <v/>
      </c>
    </row>
    <row r="46" spans="2:19" x14ac:dyDescent="0.2">
      <c r="B46" s="307" t="s">
        <v>275</v>
      </c>
      <c r="E46" t="str">
        <f>IF('Year 1'!$E67="","",'Year 1'!$E67)</f>
        <v/>
      </c>
      <c r="F46" t="str">
        <f>IF('Year 1'!$F67="","",'Year 1'!$F67)</f>
        <v/>
      </c>
      <c r="G46" s="312" t="str">
        <f>IF('Year 1'!$G67="","",'Year 1'!$G67)</f>
        <v/>
      </c>
      <c r="H46" t="str">
        <f>IF('Year 2'!$E67="","",'Year 2'!$E67)</f>
        <v/>
      </c>
      <c r="I46" t="str">
        <f>IF('Year 2'!$F67="","",'Year 2'!$F67)</f>
        <v/>
      </c>
      <c r="J46" s="312" t="str">
        <f>IF('Year 2'!$G67="","",'Year 2'!$G67)</f>
        <v/>
      </c>
      <c r="K46" t="str">
        <f>IF('Year 3'!$E67="","",'Year 3'!$E67)</f>
        <v/>
      </c>
      <c r="L46" t="str">
        <f>IF('Year 3'!$F67="","",'Year 3'!$F67)</f>
        <v/>
      </c>
      <c r="M46" s="312" t="str">
        <f>IF('Year 3'!$G67="","",'Year 3'!$G67)</f>
        <v/>
      </c>
      <c r="N46" t="str">
        <f>IF('Year 4'!$E67="","",'Year 4'!$E67)</f>
        <v/>
      </c>
      <c r="O46" t="str">
        <f>IF('Year 4'!$F67="","",'Year 4'!$F67)</f>
        <v/>
      </c>
      <c r="P46" s="312" t="str">
        <f>IF('Year 4'!$G67="","",'Year 4'!$G67)</f>
        <v/>
      </c>
      <c r="Q46" s="313" t="str">
        <f>IF('Year 5'!$E67="","",'Year 5'!$E67)</f>
        <v/>
      </c>
      <c r="R46" t="str">
        <f>IF('Year 5'!$F67="","",'Year 5'!$F67)</f>
        <v/>
      </c>
      <c r="S46" s="312" t="str">
        <f>IF('Year 5'!$G67="","",'Year 5'!$G67)</f>
        <v/>
      </c>
    </row>
    <row r="47" spans="2:19" x14ac:dyDescent="0.2">
      <c r="B47" s="307"/>
      <c r="E47" t="str">
        <f>IF('Year 1'!$E68="","",'Year 1'!$E68)</f>
        <v/>
      </c>
      <c r="F47" t="str">
        <f>IF('Year 1'!$F68="","",'Year 1'!$F68)</f>
        <v/>
      </c>
      <c r="G47" s="312" t="str">
        <f>IF('Year 1'!$G68="","",'Year 1'!$G68)</f>
        <v/>
      </c>
      <c r="H47" t="str">
        <f>IF('Year 2'!$E68="","",'Year 2'!$E68)</f>
        <v/>
      </c>
      <c r="I47" t="str">
        <f>IF('Year 2'!$F68="","",'Year 2'!$F68)</f>
        <v/>
      </c>
      <c r="J47" s="312" t="str">
        <f>IF('Year 2'!$G68="","",'Year 2'!$G68)</f>
        <v/>
      </c>
      <c r="K47" t="str">
        <f>IF('Year 3'!$E68="","",'Year 3'!$E68)</f>
        <v/>
      </c>
      <c r="L47" t="str">
        <f>IF('Year 3'!$F68="","",'Year 3'!$F68)</f>
        <v/>
      </c>
      <c r="M47" s="312" t="str">
        <f>IF('Year 3'!$G68="","",'Year 3'!$G68)</f>
        <v/>
      </c>
      <c r="N47" t="str">
        <f>IF('Year 4'!$E68="","",'Year 4'!$E68)</f>
        <v/>
      </c>
      <c r="O47" t="str">
        <f>IF('Year 4'!$F68="","",'Year 4'!$F68)</f>
        <v/>
      </c>
      <c r="P47" s="312" t="str">
        <f>IF('Year 4'!$G68="","",'Year 4'!$G68)</f>
        <v/>
      </c>
      <c r="Q47" s="313" t="str">
        <f>IF('Year 5'!$E68="","",'Year 5'!$E68)</f>
        <v/>
      </c>
      <c r="R47" t="str">
        <f>IF('Year 5'!$F68="","",'Year 5'!$F68)</f>
        <v/>
      </c>
      <c r="S47" s="312" t="str">
        <f>IF('Year 5'!$G68="","",'Year 5'!$G68)</f>
        <v/>
      </c>
    </row>
    <row r="48" spans="2:19" x14ac:dyDescent="0.2">
      <c r="B48" s="307" t="s">
        <v>277</v>
      </c>
      <c r="E48" t="str">
        <f>IF('Year 1'!$E69="","",'Year 1'!$E69)</f>
        <v>Starting Period</v>
      </c>
      <c r="F48" t="str">
        <f>IF('Year 1'!$F69="","",'Year 1'!$F69)</f>
        <v>Ending Period</v>
      </c>
      <c r="G48" s="312" t="str">
        <f>IF('Year 1'!$G69="","",'Year 1'!$G69)</f>
        <v>Monthly Budget</v>
      </c>
      <c r="H48" t="str">
        <f>IF('Year 2'!$E69="","",'Year 2'!$E69)</f>
        <v>Starting Period</v>
      </c>
      <c r="I48" t="str">
        <f>IF('Year 2'!$F69="","",'Year 2'!$F69)</f>
        <v>Ending Period</v>
      </c>
      <c r="J48" s="312" t="str">
        <f>IF('Year 2'!$G69="","",'Year 2'!$G69)</f>
        <v>Monthly Budget</v>
      </c>
      <c r="K48" t="str">
        <f>IF('Year 3'!$E69="","",'Year 3'!$E69)</f>
        <v>Starting Period</v>
      </c>
      <c r="L48" t="str">
        <f>IF('Year 3'!$F69="","",'Year 3'!$F69)</f>
        <v>Ending Period</v>
      </c>
      <c r="M48" s="312" t="str">
        <f>IF('Year 3'!$G69="","",'Year 3'!$G69)</f>
        <v>Monthly Budget</v>
      </c>
      <c r="N48" t="str">
        <f>IF('Year 4'!$E69="","",'Year 4'!$E69)</f>
        <v>Starting Period</v>
      </c>
      <c r="O48" t="str">
        <f>IF('Year 4'!$F69="","",'Year 4'!$F69)</f>
        <v>Ending Period</v>
      </c>
      <c r="P48" s="312" t="str">
        <f>IF('Year 4'!$G69="","",'Year 4'!$G69)</f>
        <v>Monthly Budget</v>
      </c>
      <c r="Q48" s="313" t="str">
        <f>IF('Year 5'!$E69="","",'Year 5'!$E69)</f>
        <v>Starting Period</v>
      </c>
      <c r="R48" t="str">
        <f>IF('Year 5'!$F69="","",'Year 5'!$F69)</f>
        <v>Ending Period</v>
      </c>
      <c r="S48" s="312" t="str">
        <f>IF('Year 5'!$G69="","",'Year 5'!$G69)</f>
        <v>Monthly Budget</v>
      </c>
    </row>
    <row r="49" spans="2:19" x14ac:dyDescent="0.2">
      <c r="B49" s="307"/>
      <c r="C49" t="s">
        <v>326</v>
      </c>
      <c r="E49">
        <f>IF('Year 1'!$E70="","",'Year 1'!$E70)</f>
        <v>6</v>
      </c>
      <c r="F49">
        <f>IF('Year 1'!$F70="","",'Year 1'!$F70)</f>
        <v>12</v>
      </c>
      <c r="G49" s="312">
        <f>IF('Year 1'!$G70="","",'Year 1'!$G70)</f>
        <v>300</v>
      </c>
      <c r="H49" t="str">
        <f>IF('Year 2'!$E70="","",'Year 2'!$E70)</f>
        <v/>
      </c>
      <c r="I49" t="str">
        <f>IF('Year 2'!$F70="","",'Year 2'!$F70)</f>
        <v/>
      </c>
      <c r="J49" s="312" t="str">
        <f>IF('Year 2'!$G70="","",'Year 2'!$G70)</f>
        <v/>
      </c>
      <c r="K49" t="str">
        <f>IF('Year 3'!$E70="","",'Year 3'!$E70)</f>
        <v/>
      </c>
      <c r="L49" t="str">
        <f>IF('Year 3'!$F70="","",'Year 3'!$F70)</f>
        <v/>
      </c>
      <c r="M49" s="312" t="str">
        <f>IF('Year 3'!$G70="","",'Year 3'!$G70)</f>
        <v/>
      </c>
      <c r="N49" t="str">
        <f>IF('Year 4'!$E70="","",'Year 4'!$E70)</f>
        <v/>
      </c>
      <c r="O49" t="str">
        <f>IF('Year 4'!$F70="","",'Year 4'!$F70)</f>
        <v/>
      </c>
      <c r="P49" s="312" t="str">
        <f>IF('Year 4'!$G70="","",'Year 4'!$G70)</f>
        <v/>
      </c>
      <c r="Q49" s="313" t="str">
        <f>IF('Year 5'!$E70="","",'Year 5'!$E70)</f>
        <v/>
      </c>
      <c r="R49" t="str">
        <f>IF('Year 5'!$F70="","",'Year 5'!$F70)</f>
        <v/>
      </c>
      <c r="S49" s="312" t="str">
        <f>IF('Year 5'!$G70="","",'Year 5'!$G70)</f>
        <v/>
      </c>
    </row>
    <row r="50" spans="2:19" x14ac:dyDescent="0.2">
      <c r="B50" s="307"/>
      <c r="C50" s="318" t="s">
        <v>327</v>
      </c>
      <c r="D50" s="318"/>
      <c r="E50" s="318">
        <f>IF('Year 1'!$E71="","",'Year 1'!$E71)</f>
        <v>3</v>
      </c>
      <c r="F50" s="318">
        <f>IF('Year 1'!$F71="","",'Year 1'!$F71)</f>
        <v>5</v>
      </c>
      <c r="G50" s="319">
        <f>IF('Year 1'!$G71="","",'Year 1'!$G71)</f>
        <v>150</v>
      </c>
      <c r="H50" s="318" t="str">
        <f>IF('Year 2'!$E71="","",'Year 2'!$E71)</f>
        <v/>
      </c>
      <c r="I50" s="318" t="str">
        <f>IF('Year 2'!$F71="","",'Year 2'!$F71)</f>
        <v/>
      </c>
      <c r="J50" s="319" t="str">
        <f>IF('Year 2'!$G71="","",'Year 2'!$G71)</f>
        <v/>
      </c>
      <c r="K50" s="318" t="str">
        <f>IF('Year 3'!$E71="","",'Year 3'!$E71)</f>
        <v/>
      </c>
      <c r="L50" s="318" t="str">
        <f>IF('Year 3'!$F71="","",'Year 3'!$F71)</f>
        <v/>
      </c>
      <c r="M50" s="319" t="str">
        <f>IF('Year 3'!$G71="","",'Year 3'!$G71)</f>
        <v/>
      </c>
      <c r="N50" s="318" t="str">
        <f>IF('Year 4'!$E71="","",'Year 4'!$E71)</f>
        <v/>
      </c>
      <c r="O50" s="318" t="str">
        <f>IF('Year 4'!$F71="","",'Year 4'!$F71)</f>
        <v/>
      </c>
      <c r="P50" s="319" t="str">
        <f>IF('Year 4'!$G71="","",'Year 4'!$G71)</f>
        <v/>
      </c>
      <c r="Q50" s="320" t="str">
        <f>IF('Year 5'!$E71="","",'Year 5'!$E71)</f>
        <v/>
      </c>
      <c r="R50" s="318" t="str">
        <f>IF('Year 5'!$F71="","",'Year 5'!$F71)</f>
        <v/>
      </c>
      <c r="S50" s="319" t="str">
        <f>IF('Year 5'!$G71="","",'Year 5'!$G71)</f>
        <v/>
      </c>
    </row>
    <row r="51" spans="2:19" x14ac:dyDescent="0.2">
      <c r="B51" s="307"/>
      <c r="C51" s="318" t="s">
        <v>328</v>
      </c>
      <c r="D51" s="318"/>
      <c r="E51" s="318">
        <f>IF('Year 1'!$E72="","",'Year 1'!$E72)</f>
        <v>4</v>
      </c>
      <c r="F51" s="318">
        <f>IF('Year 1'!$F72="","",'Year 1'!$F72)</f>
        <v>45</v>
      </c>
      <c r="G51" s="319">
        <f>IF('Year 1'!$G72="","",'Year 1'!$G72)</f>
        <v>20</v>
      </c>
      <c r="H51" s="318">
        <f>IF('Year 2'!$E72="","",'Year 2'!$E72)</f>
        <v>13</v>
      </c>
      <c r="I51" s="318">
        <f>IF('Year 2'!$F72="","",'Year 2'!$F72)</f>
        <v>45</v>
      </c>
      <c r="J51" s="319">
        <f>IF('Year 2'!$G72="","",'Year 2'!$G72)</f>
        <v>20</v>
      </c>
      <c r="K51" s="318">
        <f>IF('Year 3'!$E72="","",'Year 3'!$E72)</f>
        <v>25</v>
      </c>
      <c r="L51" s="318">
        <f>IF('Year 3'!$F72="","",'Year 3'!$F72)</f>
        <v>45</v>
      </c>
      <c r="M51" s="319">
        <f>IF('Year 3'!$G72="","",'Year 3'!$G72)</f>
        <v>20</v>
      </c>
      <c r="N51" s="318">
        <f>IF('Year 4'!$E72="","",'Year 4'!$E72)</f>
        <v>37</v>
      </c>
      <c r="O51" s="318">
        <f>IF('Year 4'!$F72="","",'Year 4'!$F72)</f>
        <v>45</v>
      </c>
      <c r="P51" s="319">
        <f>IF('Year 4'!$G72="","",'Year 4'!$G72)</f>
        <v>20</v>
      </c>
      <c r="Q51" s="320" t="str">
        <f>IF('Year 5'!$E72="","",'Year 5'!$E72)</f>
        <v/>
      </c>
      <c r="R51" s="318" t="str">
        <f>IF('Year 5'!$F72="","",'Year 5'!$F72)</f>
        <v/>
      </c>
      <c r="S51" s="319" t="str">
        <f>IF('Year 5'!$G72="","",'Year 5'!$G72)</f>
        <v/>
      </c>
    </row>
    <row r="52" spans="2:19" x14ac:dyDescent="0.2">
      <c r="B52" s="307"/>
      <c r="C52" t="s">
        <v>329</v>
      </c>
      <c r="E52">
        <f>IF('Year 1'!$E73="","",'Year 1'!$E73)</f>
        <v>3</v>
      </c>
      <c r="F52">
        <f>IF('Year 1'!$F73="","",'Year 1'!$F73)</f>
        <v>27</v>
      </c>
      <c r="G52" s="312">
        <f>IF('Year 1'!$G73="","",'Year 1'!$G73)</f>
        <v>400</v>
      </c>
      <c r="H52">
        <f>IF('Year 2'!$E73="","",'Year 2'!$E73)</f>
        <v>13</v>
      </c>
      <c r="I52">
        <f>IF('Year 2'!$F73="","",'Year 2'!$F73)</f>
        <v>27</v>
      </c>
      <c r="J52" s="312">
        <f>IF('Year 2'!$G73="","",'Year 2'!$G73)</f>
        <v>400</v>
      </c>
      <c r="K52">
        <f>IF('Year 3'!$E73="","",'Year 3'!$E73)</f>
        <v>25</v>
      </c>
      <c r="L52">
        <f>IF('Year 3'!$F73="","",'Year 3'!$F73)</f>
        <v>27</v>
      </c>
      <c r="M52" s="312">
        <f>IF('Year 3'!$G73="","",'Year 3'!$G73)</f>
        <v>400</v>
      </c>
      <c r="N52" t="str">
        <f>IF('Year 4'!$E73="","",'Year 4'!$E73)</f>
        <v/>
      </c>
      <c r="O52" t="str">
        <f>IF('Year 4'!$F73="","",'Year 4'!$F73)</f>
        <v/>
      </c>
      <c r="P52" s="312" t="str">
        <f>IF('Year 4'!$G73="","",'Year 4'!$G73)</f>
        <v/>
      </c>
      <c r="Q52" s="313" t="str">
        <f>IF('Year 5'!$E73="","",'Year 5'!$E73)</f>
        <v/>
      </c>
      <c r="R52" t="str">
        <f>IF('Year 5'!$F73="","",'Year 5'!$F73)</f>
        <v/>
      </c>
      <c r="S52" s="312" t="str">
        <f>IF('Year 5'!$G73="","",'Year 5'!$G73)</f>
        <v/>
      </c>
    </row>
    <row r="53" spans="2:19" x14ac:dyDescent="0.2">
      <c r="B53" s="307" t="s">
        <v>282</v>
      </c>
      <c r="E53" t="str">
        <f>IF('Year 1'!$E74="","",'Year 1'!$E74)</f>
        <v/>
      </c>
      <c r="F53" t="str">
        <f>IF('Year 1'!$F74="","",'Year 1'!$F74)</f>
        <v/>
      </c>
      <c r="G53" s="312" t="str">
        <f>IF('Year 1'!$G74="","",'Year 1'!$G74)</f>
        <v/>
      </c>
      <c r="H53" t="str">
        <f>IF('Year 2'!$E74="","",'Year 2'!$E74)</f>
        <v/>
      </c>
      <c r="I53" t="str">
        <f>IF('Year 2'!$F74="","",'Year 2'!$F74)</f>
        <v/>
      </c>
      <c r="J53" s="312" t="str">
        <f>IF('Year 2'!$G74="","",'Year 2'!$G74)</f>
        <v/>
      </c>
      <c r="K53" t="str">
        <f>IF('Year 3'!$E74="","",'Year 3'!$E74)</f>
        <v/>
      </c>
      <c r="L53" t="str">
        <f>IF('Year 3'!$F74="","",'Year 3'!$F74)</f>
        <v/>
      </c>
      <c r="M53" s="312" t="str">
        <f>IF('Year 3'!$G74="","",'Year 3'!$G74)</f>
        <v/>
      </c>
      <c r="N53" t="str">
        <f>IF('Year 4'!$E74="","",'Year 4'!$E74)</f>
        <v/>
      </c>
      <c r="O53" t="str">
        <f>IF('Year 4'!$F74="","",'Year 4'!$F74)</f>
        <v/>
      </c>
      <c r="P53" s="312" t="str">
        <f>IF('Year 4'!$G74="","",'Year 4'!$G74)</f>
        <v/>
      </c>
      <c r="Q53" s="313" t="str">
        <f>IF('Year 5'!$E74="","",'Year 5'!$E74)</f>
        <v/>
      </c>
      <c r="R53" t="str">
        <f>IF('Year 5'!$F74="","",'Year 5'!$F74)</f>
        <v/>
      </c>
      <c r="S53" s="312" t="str">
        <f>IF('Year 5'!$G74="","",'Year 5'!$G74)</f>
        <v/>
      </c>
    </row>
    <row r="54" spans="2:19" x14ac:dyDescent="0.2">
      <c r="B54" s="307"/>
      <c r="E54" t="str">
        <f>IF('Year 1'!$E75="","",'Year 1'!$E75)</f>
        <v/>
      </c>
      <c r="F54" t="str">
        <f>IF('Year 1'!$F75="","",'Year 1'!$F75)</f>
        <v/>
      </c>
      <c r="G54" s="312" t="str">
        <f>IF('Year 1'!$G75="","",'Year 1'!$G75)</f>
        <v/>
      </c>
      <c r="H54" t="str">
        <f>IF('Year 2'!$E75="","",'Year 2'!$E75)</f>
        <v/>
      </c>
      <c r="I54" t="str">
        <f>IF('Year 2'!$F75="","",'Year 2'!$F75)</f>
        <v/>
      </c>
      <c r="J54" s="312" t="str">
        <f>IF('Year 2'!$G75="","",'Year 2'!$G75)</f>
        <v/>
      </c>
      <c r="K54" t="str">
        <f>IF('Year 3'!$E75="","",'Year 3'!$E75)</f>
        <v/>
      </c>
      <c r="L54" t="str">
        <f>IF('Year 3'!$F75="","",'Year 3'!$F75)</f>
        <v/>
      </c>
      <c r="M54" s="312" t="str">
        <f>IF('Year 3'!$G75="","",'Year 3'!$G75)</f>
        <v/>
      </c>
      <c r="N54" t="str">
        <f>IF('Year 4'!$E75="","",'Year 4'!$E75)</f>
        <v/>
      </c>
      <c r="O54" t="str">
        <f>IF('Year 4'!$F75="","",'Year 4'!$F75)</f>
        <v/>
      </c>
      <c r="P54" s="312" t="str">
        <f>IF('Year 4'!$G75="","",'Year 4'!$G75)</f>
        <v/>
      </c>
      <c r="Q54" s="313" t="str">
        <f>IF('Year 5'!$E75="","",'Year 5'!$E75)</f>
        <v/>
      </c>
      <c r="R54" t="str">
        <f>IF('Year 5'!$F75="","",'Year 5'!$F75)</f>
        <v/>
      </c>
      <c r="S54" s="312" t="str">
        <f>IF('Year 5'!$G75="","",'Year 5'!$G75)</f>
        <v/>
      </c>
    </row>
    <row r="55" spans="2:19" x14ac:dyDescent="0.2">
      <c r="B55" s="307" t="s">
        <v>25</v>
      </c>
      <c r="E55" t="str">
        <f>IF('Year 1'!$E76="","",'Year 1'!$E76)</f>
        <v>as % of Total Revenues from all Lines</v>
      </c>
      <c r="F55" t="str">
        <f>IF('Year 1'!$F76="","",'Year 1'!$F76)</f>
        <v/>
      </c>
      <c r="G55" s="312" t="str">
        <f>IF('Year 1'!$G76="","",'Year 1'!$G76)</f>
        <v/>
      </c>
      <c r="H55" t="str">
        <f>IF('Year 2'!$E76="","",'Year 2'!$E76)</f>
        <v>as % of Rev</v>
      </c>
      <c r="I55" t="str">
        <f>IF('Year 2'!$F76="","",'Year 2'!$F76)</f>
        <v/>
      </c>
      <c r="J55" s="312" t="str">
        <f>IF('Year 2'!$G76="","",'Year 2'!$G76)</f>
        <v/>
      </c>
      <c r="K55" t="str">
        <f>IF('Year 3'!$E76="","",'Year 3'!$E76)</f>
        <v>as % of Rev</v>
      </c>
      <c r="L55" t="str">
        <f>IF('Year 3'!$F76="","",'Year 3'!$F76)</f>
        <v/>
      </c>
      <c r="M55" s="312" t="str">
        <f>IF('Year 3'!$G76="","",'Year 3'!$G76)</f>
        <v/>
      </c>
      <c r="N55" t="str">
        <f>IF('Year 4'!$E76="","",'Year 4'!$E76)</f>
        <v>as % of Rev</v>
      </c>
      <c r="O55" t="str">
        <f>IF('Year 4'!$F76="","",'Year 4'!$F76)</f>
        <v/>
      </c>
      <c r="P55" s="312" t="str">
        <f>IF('Year 4'!$G76="","",'Year 4'!$G76)</f>
        <v/>
      </c>
      <c r="Q55" s="313" t="str">
        <f>IF('Year 5'!$E76="","",'Year 5'!$E76)</f>
        <v>as % of Rev</v>
      </c>
      <c r="R55" t="str">
        <f>IF('Year 5'!$F76="","",'Year 5'!$F76)</f>
        <v/>
      </c>
      <c r="S55" s="312" t="str">
        <f>IF('Year 5'!$G76="","",'Year 5'!$G76)</f>
        <v/>
      </c>
    </row>
    <row r="56" spans="2:19" x14ac:dyDescent="0.2">
      <c r="B56" s="307"/>
      <c r="C56" s="33" t="s">
        <v>26</v>
      </c>
      <c r="D56" s="33"/>
      <c r="E56" s="33">
        <f>IF('Year 1'!$E77="","",'Year 1'!$E77)</f>
        <v>3.4000000000000002E-2</v>
      </c>
      <c r="F56" s="33" t="str">
        <f>IF('Year 1'!$F77="","",'Year 1'!$F77)</f>
        <v/>
      </c>
      <c r="G56" s="314" t="str">
        <f>IF('Year 1'!$G77="","",'Year 1'!$G77)</f>
        <v/>
      </c>
      <c r="H56" s="33">
        <f>IF('Year 2'!$E77="","",'Year 2'!$E77)</f>
        <v>3.4000000000000002E-2</v>
      </c>
      <c r="I56" s="33" t="str">
        <f>IF('Year 2'!$F77="","",'Year 2'!$F77)</f>
        <v/>
      </c>
      <c r="J56" s="314" t="str">
        <f>IF('Year 2'!$G77="","",'Year 2'!$G77)</f>
        <v/>
      </c>
      <c r="K56" s="33">
        <f>IF('Year 3'!$E77="","",'Year 3'!$E77)</f>
        <v>3.4000000000000002E-2</v>
      </c>
      <c r="L56" s="33" t="str">
        <f>IF('Year 3'!$F77="","",'Year 3'!$F77)</f>
        <v/>
      </c>
      <c r="M56" s="314" t="str">
        <f>IF('Year 3'!$G77="","",'Year 3'!$G77)</f>
        <v/>
      </c>
      <c r="N56" s="33">
        <f>IF('Year 4'!$E77="","",'Year 4'!$E77)</f>
        <v>3.4000000000000002E-2</v>
      </c>
      <c r="O56" s="33" t="str">
        <f>IF('Year 4'!$F77="","",'Year 4'!$F77)</f>
        <v/>
      </c>
      <c r="P56" s="314" t="str">
        <f>IF('Year 4'!$G77="","",'Year 4'!$G77)</f>
        <v/>
      </c>
      <c r="Q56" s="315">
        <f>IF('Year 5'!$E77="","",'Year 5'!$E77)</f>
        <v>3.4000000000000002E-2</v>
      </c>
      <c r="R56" s="33" t="str">
        <f>IF('Year 5'!$F77="","",'Year 5'!$F77)</f>
        <v/>
      </c>
      <c r="S56" s="314" t="str">
        <f>IF('Year 5'!$G77="","",'Year 5'!$G77)</f>
        <v/>
      </c>
    </row>
    <row r="57" spans="2:19" x14ac:dyDescent="0.2">
      <c r="B57" s="307"/>
      <c r="C57" s="35" t="s">
        <v>27</v>
      </c>
      <c r="D57" s="35"/>
      <c r="E57" s="35">
        <f>IF('Year 1'!$E78="","",'Year 1'!$E78)</f>
        <v>0.05</v>
      </c>
      <c r="F57" s="35" t="str">
        <f>IF('Year 1'!$F78="","",'Year 1'!$F78)</f>
        <v/>
      </c>
      <c r="G57" s="316" t="str">
        <f>IF('Year 1'!$G78="","",'Year 1'!$G78)</f>
        <v/>
      </c>
      <c r="H57" s="35">
        <f>IF('Year 2'!$E78="","",'Year 2'!$E78)</f>
        <v>0.05</v>
      </c>
      <c r="I57" s="35" t="str">
        <f>IF('Year 2'!$F78="","",'Year 2'!$F78)</f>
        <v/>
      </c>
      <c r="J57" s="316" t="str">
        <f>IF('Year 2'!$G78="","",'Year 2'!$G78)</f>
        <v/>
      </c>
      <c r="K57" s="35">
        <f>IF('Year 3'!$E78="","",'Year 3'!$E78)</f>
        <v>0.05</v>
      </c>
      <c r="L57" s="35" t="str">
        <f>IF('Year 3'!$F78="","",'Year 3'!$F78)</f>
        <v/>
      </c>
      <c r="M57" s="316" t="str">
        <f>IF('Year 3'!$G78="","",'Year 3'!$G78)</f>
        <v/>
      </c>
      <c r="N57" s="35">
        <f>IF('Year 4'!$E78="","",'Year 4'!$E78)</f>
        <v>0.05</v>
      </c>
      <c r="O57" s="35" t="str">
        <f>IF('Year 4'!$F78="","",'Year 4'!$F78)</f>
        <v/>
      </c>
      <c r="P57" s="316" t="str">
        <f>IF('Year 4'!$G78="","",'Year 4'!$G78)</f>
        <v/>
      </c>
      <c r="Q57" s="317">
        <f>IF('Year 5'!$E78="","",'Year 5'!$E78)</f>
        <v>0.05</v>
      </c>
      <c r="R57" s="35" t="str">
        <f>IF('Year 5'!$F78="","",'Year 5'!$F78)</f>
        <v/>
      </c>
      <c r="S57" s="316" t="str">
        <f>IF('Year 5'!$G78="","",'Year 5'!$G78)</f>
        <v/>
      </c>
    </row>
    <row r="58" spans="2:19" x14ac:dyDescent="0.2">
      <c r="B58" s="307" t="s">
        <v>13</v>
      </c>
      <c r="E58" t="str">
        <f>IF('Year 1'!$E79="","",'Year 1'!$E79)</f>
        <v/>
      </c>
      <c r="F58" t="str">
        <f>IF('Year 1'!$F79="","",'Year 1'!$F79)</f>
        <v/>
      </c>
      <c r="G58" s="312" t="str">
        <f>IF('Year 1'!$G79="","",'Year 1'!$G79)</f>
        <v/>
      </c>
      <c r="H58" t="str">
        <f>IF('Year 2'!$E79="","",'Year 2'!$E79)</f>
        <v/>
      </c>
      <c r="I58" t="str">
        <f>IF('Year 2'!$F79="","",'Year 2'!$F79)</f>
        <v/>
      </c>
      <c r="J58" s="312" t="str">
        <f>IF('Year 2'!$G79="","",'Year 2'!$G79)</f>
        <v/>
      </c>
      <c r="K58" t="str">
        <f>IF('Year 3'!$E79="","",'Year 3'!$E79)</f>
        <v/>
      </c>
      <c r="L58" t="str">
        <f>IF('Year 3'!$F79="","",'Year 3'!$F79)</f>
        <v/>
      </c>
      <c r="M58" s="312" t="str">
        <f>IF('Year 3'!$G79="","",'Year 3'!$G79)</f>
        <v/>
      </c>
      <c r="N58" t="str">
        <f>IF('Year 4'!$E79="","",'Year 4'!$E79)</f>
        <v/>
      </c>
      <c r="O58" t="str">
        <f>IF('Year 4'!$F79="","",'Year 4'!$F79)</f>
        <v/>
      </c>
      <c r="P58" s="312" t="str">
        <f>IF('Year 4'!$G79="","",'Year 4'!$G79)</f>
        <v/>
      </c>
      <c r="Q58" s="313" t="str">
        <f>IF('Year 5'!$E79="","",'Year 5'!$E79)</f>
        <v/>
      </c>
      <c r="R58" t="str">
        <f>IF('Year 5'!$F79="","",'Year 5'!$F79)</f>
        <v/>
      </c>
      <c r="S58" s="312" t="str">
        <f>IF('Year 5'!$G79="","",'Year 5'!$G79)</f>
        <v/>
      </c>
    </row>
    <row r="59" spans="2:19" x14ac:dyDescent="0.2">
      <c r="B59" s="307"/>
      <c r="E59" t="str">
        <f>IF('Year 1'!$E80="","",'Year 1'!$E80)</f>
        <v/>
      </c>
      <c r="F59" t="str">
        <f>IF('Year 1'!$F80="","",'Year 1'!$F80)</f>
        <v/>
      </c>
      <c r="G59" s="312" t="str">
        <f>IF('Year 1'!$G80="","",'Year 1'!$G80)</f>
        <v/>
      </c>
      <c r="H59" t="str">
        <f>IF('Year 2'!$E80="","",'Year 2'!$E80)</f>
        <v/>
      </c>
      <c r="I59" t="str">
        <f>IF('Year 2'!$F80="","",'Year 2'!$F80)</f>
        <v/>
      </c>
      <c r="J59" s="312" t="str">
        <f>IF('Year 2'!$G80="","",'Year 2'!$G80)</f>
        <v/>
      </c>
      <c r="K59" t="str">
        <f>IF('Year 3'!$E80="","",'Year 3'!$E80)</f>
        <v/>
      </c>
      <c r="L59" t="str">
        <f>IF('Year 3'!$F80="","",'Year 3'!$F80)</f>
        <v/>
      </c>
      <c r="M59" s="312" t="str">
        <f>IF('Year 3'!$G80="","",'Year 3'!$G80)</f>
        <v/>
      </c>
      <c r="N59" t="str">
        <f>IF('Year 4'!$E80="","",'Year 4'!$E80)</f>
        <v/>
      </c>
      <c r="O59" t="str">
        <f>IF('Year 4'!$F80="","",'Year 4'!$F80)</f>
        <v/>
      </c>
      <c r="P59" s="312" t="str">
        <f>IF('Year 4'!$G80="","",'Year 4'!$G80)</f>
        <v/>
      </c>
      <c r="Q59" s="313" t="str">
        <f>IF('Year 5'!$E80="","",'Year 5'!$E80)</f>
        <v/>
      </c>
      <c r="R59" t="str">
        <f>IF('Year 5'!$F80="","",'Year 5'!$F80)</f>
        <v/>
      </c>
      <c r="S59" s="312" t="str">
        <f>IF('Year 5'!$G80="","",'Year 5'!$G80)</f>
        <v/>
      </c>
    </row>
    <row r="60" spans="2:19" x14ac:dyDescent="0.2">
      <c r="B60" s="307" t="s">
        <v>237</v>
      </c>
      <c r="E60" t="str">
        <f>IF('Year 1'!$E83="","",'Year 1'!$E83)</f>
        <v>Year 1 (2020)</v>
      </c>
      <c r="F60" t="str">
        <f>IF('Year 1'!$F83="","",'Year 1'!$F83)</f>
        <v/>
      </c>
      <c r="G60" s="312" t="str">
        <f>IF('Year 1'!$G83="","",'Year 1'!$G83)</f>
        <v/>
      </c>
      <c r="H60" t="str">
        <f>IF('Year 2'!$E83="","",'Year 2'!$E83)</f>
        <v>Year 2 (2021)</v>
      </c>
      <c r="I60" t="str">
        <f>IF('Year 2'!$F83="","",'Year 2'!$F83)</f>
        <v/>
      </c>
      <c r="J60" s="312" t="str">
        <f>IF('Year 2'!$G83="","",'Year 2'!$G83)</f>
        <v/>
      </c>
      <c r="K60" t="str">
        <f>IF('Year 3'!$E83="","",'Year 3'!$E83)</f>
        <v>Year 3 (2022)</v>
      </c>
      <c r="L60" t="str">
        <f>IF('Year 3'!$F83="","",'Year 3'!$F83)</f>
        <v/>
      </c>
      <c r="M60" s="312" t="str">
        <f>IF('Year 3'!$G83="","",'Year 3'!$G83)</f>
        <v/>
      </c>
      <c r="N60" t="str">
        <f>IF('Year 4'!$E83="","",'Year 4'!$E83)</f>
        <v>Year 4 (2023)</v>
      </c>
      <c r="O60" t="str">
        <f>IF('Year 4'!$F83="","",'Year 4'!$F83)</f>
        <v/>
      </c>
      <c r="P60" s="312" t="str">
        <f>IF('Year 4'!$G83="","",'Year 4'!$G83)</f>
        <v/>
      </c>
      <c r="Q60" s="313" t="str">
        <f>IF('Year 5'!$E83="","",'Year 5'!$E83)</f>
        <v>Year 5 (2024)</v>
      </c>
      <c r="R60" t="str">
        <f>IF('Year 5'!$F83="","",'Year 5'!$F83)</f>
        <v/>
      </c>
      <c r="S60" s="312" t="str">
        <f>IF('Year 5'!$G83="","",'Year 5'!$G83)</f>
        <v/>
      </c>
    </row>
    <row r="61" spans="2:19" x14ac:dyDescent="0.2">
      <c r="B61" s="307"/>
      <c r="E61" t="str">
        <f>IF('Year 1'!$E84="","",'Year 1'!$E84)</f>
        <v/>
      </c>
      <c r="F61" t="str">
        <f>IF('Year 1'!$F84="","",'Year 1'!$F84)</f>
        <v/>
      </c>
      <c r="G61" s="312" t="str">
        <f>IF('Year 1'!$G84="","",'Year 1'!$G84)</f>
        <v>Period</v>
      </c>
      <c r="H61" t="str">
        <f>IF('Year 2'!$E84="","",'Year 2'!$E84)</f>
        <v/>
      </c>
      <c r="I61" t="str">
        <f>IF('Year 2'!$F84="","",'Year 2'!$F84)</f>
        <v/>
      </c>
      <c r="J61" s="312" t="str">
        <f>IF('Year 2'!$G84="","",'Year 2'!$G84)</f>
        <v>Period</v>
      </c>
      <c r="K61" t="str">
        <f>IF('Year 3'!$E84="","",'Year 3'!$E84)</f>
        <v/>
      </c>
      <c r="L61" t="str">
        <f>IF('Year 3'!$F84="","",'Year 3'!$F84)</f>
        <v/>
      </c>
      <c r="M61" s="312" t="str">
        <f>IF('Year 3'!$G84="","",'Year 3'!$G84)</f>
        <v>Period</v>
      </c>
      <c r="N61" t="str">
        <f>IF('Year 4'!$E84="","",'Year 4'!$E84)</f>
        <v/>
      </c>
      <c r="O61" t="str">
        <f>IF('Year 4'!$F84="","",'Year 4'!$F84)</f>
        <v/>
      </c>
      <c r="P61" s="312" t="str">
        <f>IF('Year 4'!$G84="","",'Year 4'!$G84)</f>
        <v>Period</v>
      </c>
      <c r="Q61" s="313" t="str">
        <f>IF('Year 5'!$E84="","",'Year 5'!$E84)</f>
        <v/>
      </c>
      <c r="R61" t="str">
        <f>IF('Year 5'!$F84="","",'Year 5'!$F84)</f>
        <v/>
      </c>
      <c r="S61" s="312" t="str">
        <f>IF('Year 5'!$G84="","",'Year 5'!$G84)</f>
        <v>Period</v>
      </c>
    </row>
    <row r="62" spans="2:19" x14ac:dyDescent="0.2">
      <c r="B62" s="307"/>
      <c r="E62" t="str">
        <f>IF('Year 1'!$E85="","",'Year 1'!$E85)</f>
        <v>Monthly Cost per unit</v>
      </c>
      <c r="F62" t="str">
        <f>IF('Year 1'!$F85="","",'Year 1'!$F85)</f>
        <v/>
      </c>
      <c r="G62" s="312" t="str">
        <f>IF('Year 1'!$G85="","",'Year 1'!$G85)</f>
        <v>Yearly Wage increase</v>
      </c>
      <c r="H62" t="str">
        <f>IF('Year 2'!$E85="","",'Year 2'!$E85)</f>
        <v>Monthly Cost per unit</v>
      </c>
      <c r="I62" t="str">
        <f>IF('Year 2'!$F85="","",'Year 2'!$F85)</f>
        <v/>
      </c>
      <c r="J62" s="312" t="str">
        <f>IF('Year 2'!$G85="","",'Year 2'!$G85)</f>
        <v>Yearly Wage increase</v>
      </c>
      <c r="K62" t="str">
        <f>IF('Year 3'!$E85="","",'Year 3'!$E85)</f>
        <v>Monthly Cost per unit</v>
      </c>
      <c r="L62" t="str">
        <f>IF('Year 3'!$F85="","",'Year 3'!$F85)</f>
        <v/>
      </c>
      <c r="M62" s="312" t="str">
        <f>IF('Year 3'!$G85="","",'Year 3'!$G85)</f>
        <v>Yearly Wage increase</v>
      </c>
      <c r="N62" t="str">
        <f>IF('Year 4'!$E85="","",'Year 4'!$E85)</f>
        <v>Monthly Cost per unit</v>
      </c>
      <c r="O62" t="str">
        <f>IF('Year 4'!$F85="","",'Year 4'!$F85)</f>
        <v/>
      </c>
      <c r="P62" s="312" t="str">
        <f>IF('Year 4'!$G85="","",'Year 4'!$G85)</f>
        <v>Yearly Wage increase</v>
      </c>
      <c r="Q62" s="313" t="str">
        <f>IF('Year 5'!$E85="","",'Year 5'!$E85)</f>
        <v>Monthly Cost per unit</v>
      </c>
      <c r="R62" t="str">
        <f>IF('Year 5'!$F85="","",'Year 5'!$F85)</f>
        <v/>
      </c>
      <c r="S62" s="312" t="str">
        <f>IF('Year 5'!$G85="","",'Year 5'!$G85)</f>
        <v>Yearly Wage increase</v>
      </c>
    </row>
    <row r="63" spans="2:19" x14ac:dyDescent="0.2">
      <c r="B63" s="307" t="s">
        <v>224</v>
      </c>
      <c r="E63" t="str">
        <f>IF('Year 1'!$E86="","",'Year 1'!$E86)</f>
        <v/>
      </c>
      <c r="F63" t="str">
        <f>IF('Year 1'!$F86="","",'Year 1'!$F86)</f>
        <v>Number</v>
      </c>
      <c r="G63" s="312" t="str">
        <f>IF('Year 1'!$G86="","",'Year 1'!$G86)</f>
        <v/>
      </c>
      <c r="H63" t="str">
        <f>IF('Year 2'!$E86="","",'Year 2'!$E86)</f>
        <v/>
      </c>
      <c r="I63" t="str">
        <f>IF('Year 2'!$F86="","",'Year 2'!$F86)</f>
        <v>Number</v>
      </c>
      <c r="J63" s="312" t="str">
        <f>IF('Year 2'!$G86="","",'Year 2'!$G86)</f>
        <v/>
      </c>
      <c r="K63" t="str">
        <f>IF('Year 3'!$E86="","",'Year 3'!$E86)</f>
        <v/>
      </c>
      <c r="L63" t="str">
        <f>IF('Year 3'!$F86="","",'Year 3'!$F86)</f>
        <v>Number</v>
      </c>
      <c r="M63" s="312" t="str">
        <f>IF('Year 3'!$G86="","",'Year 3'!$G86)</f>
        <v/>
      </c>
      <c r="N63" t="str">
        <f>IF('Year 4'!$E86="","",'Year 4'!$E86)</f>
        <v/>
      </c>
      <c r="O63" t="str">
        <f>IF('Year 4'!$F86="","",'Year 4'!$F86)</f>
        <v>Number</v>
      </c>
      <c r="P63" s="312" t="str">
        <f>IF('Year 4'!$G86="","",'Year 4'!$G86)</f>
        <v/>
      </c>
      <c r="Q63" s="313" t="str">
        <f>IF('Year 5'!$E86="","",'Year 5'!$E86)</f>
        <v/>
      </c>
      <c r="R63" t="str">
        <f>IF('Year 5'!$F86="","",'Year 5'!$F86)</f>
        <v>Number</v>
      </c>
      <c r="S63" s="312" t="str">
        <f>IF('Year 5'!$G86="","",'Year 5'!$G86)</f>
        <v/>
      </c>
    </row>
    <row r="64" spans="2:19" x14ac:dyDescent="0.2">
      <c r="B64" s="307"/>
      <c r="C64" t="s">
        <v>210</v>
      </c>
      <c r="E64">
        <f>IF('Year 1'!$E87="","",'Year 1'!$E87)</f>
        <v>6400</v>
      </c>
      <c r="F64">
        <f>IF('Year 1'!$F87="","",'Year 1'!$F87)</f>
        <v>2</v>
      </c>
      <c r="G64" s="312">
        <f>IF('Year 1'!$G87="","",'Year 1'!$G87)</f>
        <v>0.05</v>
      </c>
      <c r="H64">
        <f>IF('Year 2'!$E87="","",'Year 2'!$E87)</f>
        <v>6720</v>
      </c>
      <c r="I64">
        <f>IF('Year 2'!$F87="","",'Year 2'!$F87)</f>
        <v>2</v>
      </c>
      <c r="J64" s="312">
        <f>IF('Year 2'!$G87="","",'Year 2'!$G87)</f>
        <v>0.05</v>
      </c>
      <c r="K64">
        <f>IF('Year 3'!$E87="","",'Year 3'!$E87)</f>
        <v>7056</v>
      </c>
      <c r="L64">
        <f>IF('Year 3'!$F87="","",'Year 3'!$F87)</f>
        <v>2</v>
      </c>
      <c r="M64" s="312">
        <f>IF('Year 3'!$G87="","",'Year 3'!$G87)</f>
        <v>0.05</v>
      </c>
      <c r="N64">
        <f>IF('Year 4'!$E87="","",'Year 4'!$E87)</f>
        <v>7408.8</v>
      </c>
      <c r="O64">
        <f>IF('Year 4'!$F87="","",'Year 4'!$F87)</f>
        <v>2</v>
      </c>
      <c r="P64" s="312">
        <f>IF('Year 4'!$G87="","",'Year 4'!$G87)</f>
        <v>0.05</v>
      </c>
      <c r="Q64" s="313">
        <f>IF('Year 5'!$E87="","",'Year 5'!$E87)</f>
        <v>7779.2400000000007</v>
      </c>
      <c r="R64">
        <f>IF('Year 5'!$F87="","",'Year 5'!$F87)</f>
        <v>2</v>
      </c>
      <c r="S64" s="312">
        <f>IF('Year 5'!$G87="","",'Year 5'!$G87)</f>
        <v>0.05</v>
      </c>
    </row>
    <row r="65" spans="2:19" x14ac:dyDescent="0.2">
      <c r="B65" s="307"/>
      <c r="C65" s="318" t="s">
        <v>211</v>
      </c>
      <c r="D65" s="318"/>
      <c r="E65" s="318">
        <f>IF('Year 1'!$E88="","",'Year 1'!$E88)</f>
        <v>0</v>
      </c>
      <c r="F65" s="318">
        <f>IF('Year 1'!$F88="","",'Year 1'!$F88)</f>
        <v>0</v>
      </c>
      <c r="G65" s="319">
        <f>IF('Year 1'!$G88="","",'Year 1'!$G88)</f>
        <v>0.02</v>
      </c>
      <c r="H65" s="318">
        <f>IF('Year 2'!$E88="","",'Year 2'!$E88)</f>
        <v>0</v>
      </c>
      <c r="I65" s="318">
        <f>IF('Year 2'!$F88="","",'Year 2'!$F88)</f>
        <v>0</v>
      </c>
      <c r="J65" s="319">
        <f>IF('Year 2'!$G88="","",'Year 2'!$G88)</f>
        <v>0.02</v>
      </c>
      <c r="K65" s="318">
        <f>IF('Year 3'!$E88="","",'Year 3'!$E88)</f>
        <v>0</v>
      </c>
      <c r="L65" s="318">
        <f>IF('Year 3'!$F88="","",'Year 3'!$F88)</f>
        <v>0</v>
      </c>
      <c r="M65" s="319">
        <f>IF('Year 3'!$G88="","",'Year 3'!$G88)</f>
        <v>0.02</v>
      </c>
      <c r="N65" s="318">
        <f>IF('Year 4'!$E88="","",'Year 4'!$E88)</f>
        <v>0</v>
      </c>
      <c r="O65" s="318">
        <f>IF('Year 4'!$F88="","",'Year 4'!$F88)</f>
        <v>0</v>
      </c>
      <c r="P65" s="319">
        <f>IF('Year 4'!$G88="","",'Year 4'!$G88)</f>
        <v>0.02</v>
      </c>
      <c r="Q65" s="320">
        <f>IF('Year 5'!$E88="","",'Year 5'!$E88)</f>
        <v>0</v>
      </c>
      <c r="R65" s="318">
        <f>IF('Year 5'!$F88="","",'Year 5'!$F88)</f>
        <v>0</v>
      </c>
      <c r="S65" s="319">
        <f>IF('Year 5'!$G88="","",'Year 5'!$G88)</f>
        <v>0.02</v>
      </c>
    </row>
    <row r="66" spans="2:19" x14ac:dyDescent="0.2">
      <c r="B66" s="307"/>
      <c r="C66" t="s">
        <v>212</v>
      </c>
      <c r="E66">
        <f>IF('Year 1'!$E89="","",'Year 1'!$E89)</f>
        <v>0</v>
      </c>
      <c r="F66">
        <f>IF('Year 1'!$F89="","",'Year 1'!$F89)</f>
        <v>0</v>
      </c>
      <c r="G66" s="312">
        <f>IF('Year 1'!$G89="","",'Year 1'!$G89)</f>
        <v>0.02</v>
      </c>
      <c r="H66">
        <f>IF('Year 2'!$E89="","",'Year 2'!$E89)</f>
        <v>0</v>
      </c>
      <c r="I66">
        <f>IF('Year 2'!$F89="","",'Year 2'!$F89)</f>
        <v>0</v>
      </c>
      <c r="J66" s="312">
        <f>IF('Year 2'!$G89="","",'Year 2'!$G89)</f>
        <v>0.02</v>
      </c>
      <c r="K66">
        <f>IF('Year 3'!$E89="","",'Year 3'!$E89)</f>
        <v>0</v>
      </c>
      <c r="L66">
        <f>IF('Year 3'!$F89="","",'Year 3'!$F89)</f>
        <v>0</v>
      </c>
      <c r="M66" s="312">
        <f>IF('Year 3'!$G89="","",'Year 3'!$G89)</f>
        <v>0.02</v>
      </c>
      <c r="N66">
        <f>IF('Year 4'!$E89="","",'Year 4'!$E89)</f>
        <v>0</v>
      </c>
      <c r="O66">
        <f>IF('Year 4'!$F89="","",'Year 4'!$F89)</f>
        <v>0</v>
      </c>
      <c r="P66" s="312">
        <f>IF('Year 4'!$G89="","",'Year 4'!$G89)</f>
        <v>0.02</v>
      </c>
      <c r="Q66" s="313">
        <f>IF('Year 5'!$E89="","",'Year 5'!$E89)</f>
        <v>0</v>
      </c>
      <c r="R66">
        <f>IF('Year 5'!$F89="","",'Year 5'!$F89)</f>
        <v>0</v>
      </c>
      <c r="S66" s="312">
        <f>IF('Year 5'!$G89="","",'Year 5'!$G89)</f>
        <v>0.02</v>
      </c>
    </row>
    <row r="67" spans="2:19" x14ac:dyDescent="0.2">
      <c r="B67" s="307"/>
      <c r="C67" s="318" t="s">
        <v>213</v>
      </c>
      <c r="D67" s="318"/>
      <c r="E67" s="318">
        <f>IF('Year 1'!$E90="","",'Year 1'!$E90)</f>
        <v>3200</v>
      </c>
      <c r="F67" s="318">
        <f>IF('Year 1'!$F90="","",'Year 1'!$F90)</f>
        <v>1</v>
      </c>
      <c r="G67" s="319">
        <f>IF('Year 1'!$G90="","",'Year 1'!$G90)</f>
        <v>0.02</v>
      </c>
      <c r="H67" s="318">
        <f>IF('Year 2'!$E90="","",'Year 2'!$E90)</f>
        <v>3264</v>
      </c>
      <c r="I67" s="318">
        <f>IF('Year 2'!$F90="","",'Year 2'!$F90)</f>
        <v>1</v>
      </c>
      <c r="J67" s="319">
        <f>IF('Year 2'!$G90="","",'Year 2'!$G90)</f>
        <v>0.02</v>
      </c>
      <c r="K67" s="318">
        <f>IF('Year 3'!$E90="","",'Year 3'!$E90)</f>
        <v>3329.28</v>
      </c>
      <c r="L67" s="318">
        <f>IF('Year 3'!$F90="","",'Year 3'!$F90)</f>
        <v>1</v>
      </c>
      <c r="M67" s="319">
        <f>IF('Year 3'!$G90="","",'Year 3'!$G90)</f>
        <v>0.02</v>
      </c>
      <c r="N67" s="318">
        <f>IF('Year 4'!$E90="","",'Year 4'!$E90)</f>
        <v>3395.8656000000001</v>
      </c>
      <c r="O67" s="318">
        <f>IF('Year 4'!$F90="","",'Year 4'!$F90)</f>
        <v>1</v>
      </c>
      <c r="P67" s="319">
        <f>IF('Year 4'!$G90="","",'Year 4'!$G90)</f>
        <v>0.02</v>
      </c>
      <c r="Q67" s="320">
        <f>IF('Year 5'!$E90="","",'Year 5'!$E90)</f>
        <v>3463.7829120000001</v>
      </c>
      <c r="R67" s="318">
        <f>IF('Year 5'!$F90="","",'Year 5'!$F90)</f>
        <v>1</v>
      </c>
      <c r="S67" s="319">
        <f>IF('Year 5'!$G90="","",'Year 5'!$G90)</f>
        <v>0.02</v>
      </c>
    </row>
    <row r="68" spans="2:19" x14ac:dyDescent="0.2">
      <c r="B68" s="307"/>
      <c r="C68" s="318" t="s">
        <v>236</v>
      </c>
      <c r="D68" s="318"/>
      <c r="E68" s="318">
        <f>IF('Year 1'!$E91="","",'Year 1'!$E91)</f>
        <v>0</v>
      </c>
      <c r="F68" s="318">
        <f>IF('Year 1'!$F91="","",'Year 1'!$F91)</f>
        <v>0</v>
      </c>
      <c r="G68" s="319">
        <f>IF('Year 1'!$G91="","",'Year 1'!$G91)</f>
        <v>0.02</v>
      </c>
      <c r="H68" s="318">
        <f>IF('Year 2'!$E91="","",'Year 2'!$E91)</f>
        <v>0</v>
      </c>
      <c r="I68" s="318">
        <f>IF('Year 2'!$F91="","",'Year 2'!$F91)</f>
        <v>0</v>
      </c>
      <c r="J68" s="319">
        <f>IF('Year 2'!$G91="","",'Year 2'!$G91)</f>
        <v>0.02</v>
      </c>
      <c r="K68" s="318">
        <f>IF('Year 3'!$E91="","",'Year 3'!$E91)</f>
        <v>0</v>
      </c>
      <c r="L68" s="318">
        <f>IF('Year 3'!$F91="","",'Year 3'!$F91)</f>
        <v>0</v>
      </c>
      <c r="M68" s="319">
        <f>IF('Year 3'!$G91="","",'Year 3'!$G91)</f>
        <v>0.02</v>
      </c>
      <c r="N68" s="318">
        <f>IF('Year 4'!$E91="","",'Year 4'!$E91)</f>
        <v>0</v>
      </c>
      <c r="O68" s="318">
        <f>IF('Year 4'!$F91="","",'Year 4'!$F91)</f>
        <v>0</v>
      </c>
      <c r="P68" s="319">
        <f>IF('Year 4'!$G91="","",'Year 4'!$G91)</f>
        <v>0.02</v>
      </c>
      <c r="Q68" s="320">
        <f>IF('Year 5'!$E91="","",'Year 5'!$E91)</f>
        <v>0</v>
      </c>
      <c r="R68" s="318">
        <f>IF('Year 5'!$F91="","",'Year 5'!$F91)</f>
        <v>0</v>
      </c>
      <c r="S68" s="319">
        <f>IF('Year 5'!$G91="","",'Year 5'!$G91)</f>
        <v>0.02</v>
      </c>
    </row>
    <row r="69" spans="2:19" x14ac:dyDescent="0.2">
      <c r="B69" s="307"/>
      <c r="C69" s="318" t="s">
        <v>217</v>
      </c>
      <c r="D69" s="318"/>
      <c r="E69" s="318">
        <f>IF('Year 1'!$E92="","",'Year 1'!$E92)</f>
        <v>1800</v>
      </c>
      <c r="F69" s="318">
        <f>IF('Year 1'!$F92="","",'Year 1'!$F92)</f>
        <v>1</v>
      </c>
      <c r="G69" s="319" t="str">
        <f>IF('Year 1'!$G92="","",'Year 1'!$G92)</f>
        <v/>
      </c>
      <c r="H69" s="318">
        <f>IF('Year 2'!$E92="","",'Year 2'!$E92)</f>
        <v>1800</v>
      </c>
      <c r="I69" s="318">
        <f>IF('Year 2'!$F92="","",'Year 2'!$F92)</f>
        <v>1</v>
      </c>
      <c r="J69" s="319">
        <f>IF('Year 2'!$G92="","",'Year 2'!$G92)</f>
        <v>0</v>
      </c>
      <c r="K69" s="318">
        <f>IF('Year 3'!$E92="","",'Year 3'!$E92)</f>
        <v>1800</v>
      </c>
      <c r="L69" s="318">
        <f>IF('Year 3'!$F92="","",'Year 3'!$F92)</f>
        <v>1</v>
      </c>
      <c r="M69" s="319">
        <f>IF('Year 3'!$G92="","",'Year 3'!$G92)</f>
        <v>0</v>
      </c>
      <c r="N69" s="318">
        <f>IF('Year 4'!$E92="","",'Year 4'!$E92)</f>
        <v>1800</v>
      </c>
      <c r="O69" s="318">
        <f>IF('Year 4'!$F92="","",'Year 4'!$F92)</f>
        <v>1</v>
      </c>
      <c r="P69" s="319">
        <f>IF('Year 4'!$G92="","",'Year 4'!$G92)</f>
        <v>0</v>
      </c>
      <c r="Q69" s="320">
        <f>IF('Year 5'!$E92="","",'Year 5'!$E92)</f>
        <v>1800</v>
      </c>
      <c r="R69" s="318">
        <f>IF('Year 5'!$F92="","",'Year 5'!$F92)</f>
        <v>1</v>
      </c>
      <c r="S69" s="319">
        <f>IF('Year 5'!$G92="","",'Year 5'!$G92)</f>
        <v>0</v>
      </c>
    </row>
    <row r="70" spans="2:19" x14ac:dyDescent="0.2">
      <c r="B70" s="307"/>
      <c r="C70" s="318" t="s">
        <v>218</v>
      </c>
      <c r="D70" s="318"/>
      <c r="E70" s="318">
        <f>IF('Year 1'!$E93="","",'Year 1'!$E93)</f>
        <v>0</v>
      </c>
      <c r="F70" s="318">
        <f>IF('Year 1'!$F93="","",'Year 1'!$F93)</f>
        <v>0</v>
      </c>
      <c r="G70" s="319" t="str">
        <f>IF('Year 1'!$G93="","",'Year 1'!$G93)</f>
        <v/>
      </c>
      <c r="H70" s="318">
        <f>IF('Year 2'!$E93="","",'Year 2'!$E93)</f>
        <v>0</v>
      </c>
      <c r="I70" s="318">
        <f>IF('Year 2'!$F93="","",'Year 2'!$F93)</f>
        <v>0</v>
      </c>
      <c r="J70" s="319">
        <f>IF('Year 2'!$G93="","",'Year 2'!$G93)</f>
        <v>0</v>
      </c>
      <c r="K70" s="318">
        <f>IF('Year 3'!$E93="","",'Year 3'!$E93)</f>
        <v>0</v>
      </c>
      <c r="L70" s="318">
        <f>IF('Year 3'!$F93="","",'Year 3'!$F93)</f>
        <v>0</v>
      </c>
      <c r="M70" s="319">
        <f>IF('Year 3'!$G93="","",'Year 3'!$G93)</f>
        <v>0</v>
      </c>
      <c r="N70" s="318">
        <f>IF('Year 4'!$E93="","",'Year 4'!$E93)</f>
        <v>0</v>
      </c>
      <c r="O70" s="318">
        <f>IF('Year 4'!$F93="","",'Year 4'!$F93)</f>
        <v>0</v>
      </c>
      <c r="P70" s="319">
        <f>IF('Year 4'!$G93="","",'Year 4'!$G93)</f>
        <v>0</v>
      </c>
      <c r="Q70" s="320">
        <f>IF('Year 5'!$E93="","",'Year 5'!$E93)</f>
        <v>0</v>
      </c>
      <c r="R70" s="318">
        <f>IF('Year 5'!$F93="","",'Year 5'!$F93)</f>
        <v>0</v>
      </c>
      <c r="S70" s="319">
        <f>IF('Year 5'!$G93="","",'Year 5'!$G93)</f>
        <v>0</v>
      </c>
    </row>
    <row r="71" spans="2:19" x14ac:dyDescent="0.2">
      <c r="B71" s="307"/>
      <c r="C71" s="318" t="s">
        <v>219</v>
      </c>
      <c r="D71" s="318"/>
      <c r="E71" s="318">
        <f>IF('Year 1'!$E94="","",'Year 1'!$E94)</f>
        <v>0</v>
      </c>
      <c r="F71" s="318">
        <f>IF('Year 1'!$F94="","",'Year 1'!$F94)</f>
        <v>0</v>
      </c>
      <c r="G71" s="319" t="str">
        <f>IF('Year 1'!$G94="","",'Year 1'!$G94)</f>
        <v/>
      </c>
      <c r="H71" s="318">
        <f>IF('Year 2'!$E94="","",'Year 2'!$E94)</f>
        <v>0</v>
      </c>
      <c r="I71" s="318">
        <f>IF('Year 2'!$F94="","",'Year 2'!$F94)</f>
        <v>0</v>
      </c>
      <c r="J71" s="319">
        <f>IF('Year 2'!$G94="","",'Year 2'!$G94)</f>
        <v>0</v>
      </c>
      <c r="K71" s="318">
        <f>IF('Year 3'!$E94="","",'Year 3'!$E94)</f>
        <v>0</v>
      </c>
      <c r="L71" s="318">
        <f>IF('Year 3'!$F94="","",'Year 3'!$F94)</f>
        <v>0</v>
      </c>
      <c r="M71" s="319">
        <f>IF('Year 3'!$G94="","",'Year 3'!$G94)</f>
        <v>0</v>
      </c>
      <c r="N71" s="318">
        <f>IF('Year 4'!$E94="","",'Year 4'!$E94)</f>
        <v>0</v>
      </c>
      <c r="O71" s="318">
        <f>IF('Year 4'!$F94="","",'Year 4'!$F94)</f>
        <v>0</v>
      </c>
      <c r="P71" s="319">
        <f>IF('Year 4'!$G94="","",'Year 4'!$G94)</f>
        <v>0</v>
      </c>
      <c r="Q71" s="320">
        <f>IF('Year 5'!$E94="","",'Year 5'!$E94)</f>
        <v>0</v>
      </c>
      <c r="R71" s="318">
        <f>IF('Year 5'!$F94="","",'Year 5'!$F94)</f>
        <v>0</v>
      </c>
      <c r="S71" s="319">
        <f>IF('Year 5'!$G94="","",'Year 5'!$G94)</f>
        <v>0</v>
      </c>
    </row>
    <row r="72" spans="2:19" x14ac:dyDescent="0.2">
      <c r="B72" s="307"/>
      <c r="C72" t="s">
        <v>220</v>
      </c>
      <c r="E72">
        <f>IF('Year 1'!$E95="","",'Year 1'!$E95)</f>
        <v>0</v>
      </c>
      <c r="F72">
        <f>IF('Year 1'!$F95="","",'Year 1'!$F95)</f>
        <v>0</v>
      </c>
      <c r="G72" s="312" t="str">
        <f>IF('Year 1'!$G95="","",'Year 1'!$G95)</f>
        <v/>
      </c>
      <c r="H72">
        <f>IF('Year 2'!$E95="","",'Year 2'!$E95)</f>
        <v>0</v>
      </c>
      <c r="I72">
        <f>IF('Year 2'!$F95="","",'Year 2'!$F95)</f>
        <v>0</v>
      </c>
      <c r="J72" s="312">
        <f>IF('Year 2'!$G95="","",'Year 2'!$G95)</f>
        <v>0</v>
      </c>
      <c r="K72">
        <f>IF('Year 3'!$E95="","",'Year 3'!$E95)</f>
        <v>0</v>
      </c>
      <c r="L72">
        <f>IF('Year 3'!$F95="","",'Year 3'!$F95)</f>
        <v>0</v>
      </c>
      <c r="M72" s="312">
        <f>IF('Year 3'!$G95="","",'Year 3'!$G95)</f>
        <v>0</v>
      </c>
      <c r="N72">
        <f>IF('Year 4'!$E95="","",'Year 4'!$E95)</f>
        <v>0</v>
      </c>
      <c r="O72">
        <f>IF('Year 4'!$F95="","",'Year 4'!$F95)</f>
        <v>0</v>
      </c>
      <c r="P72" s="312">
        <f>IF('Year 4'!$G95="","",'Year 4'!$G95)</f>
        <v>0</v>
      </c>
      <c r="Q72" s="313">
        <f>IF('Year 5'!$E95="","",'Year 5'!$E95)</f>
        <v>0</v>
      </c>
      <c r="R72">
        <f>IF('Year 5'!$F95="","",'Year 5'!$F95)</f>
        <v>0</v>
      </c>
      <c r="S72" s="312">
        <f>IF('Year 5'!$G95="","",'Year 5'!$G95)</f>
        <v>0</v>
      </c>
    </row>
    <row r="73" spans="2:19" x14ac:dyDescent="0.2">
      <c r="B73" s="307"/>
      <c r="E73" t="str">
        <f>IF('Year 1'!$E96="","",'Year 1'!$E96)</f>
        <v/>
      </c>
      <c r="F73">
        <f>IF('Year 1'!$F96="","",'Year 1'!$F96)</f>
        <v>4</v>
      </c>
      <c r="G73" s="312" t="str">
        <f>IF('Year 1'!$G96="","",'Year 1'!$G96)</f>
        <v/>
      </c>
      <c r="H73" t="str">
        <f>IF('Year 2'!$E96="","",'Year 2'!$E96)</f>
        <v/>
      </c>
      <c r="I73">
        <f>IF('Year 2'!$F96="","",'Year 2'!$F96)</f>
        <v>4</v>
      </c>
      <c r="J73" s="312" t="str">
        <f>IF('Year 2'!$G96="","",'Year 2'!$G96)</f>
        <v/>
      </c>
      <c r="K73" t="str">
        <f>IF('Year 3'!$E96="","",'Year 3'!$E96)</f>
        <v/>
      </c>
      <c r="L73">
        <f>IF('Year 3'!$F96="","",'Year 3'!$F96)</f>
        <v>4</v>
      </c>
      <c r="M73" s="312" t="str">
        <f>IF('Year 3'!$G96="","",'Year 3'!$G96)</f>
        <v/>
      </c>
      <c r="N73" t="str">
        <f>IF('Year 4'!$E96="","",'Year 4'!$E96)</f>
        <v/>
      </c>
      <c r="O73">
        <f>IF('Year 4'!$F96="","",'Year 4'!$F96)</f>
        <v>4</v>
      </c>
      <c r="P73" s="312" t="str">
        <f>IF('Year 4'!$G96="","",'Year 4'!$G96)</f>
        <v/>
      </c>
      <c r="Q73" s="313" t="str">
        <f>IF('Year 5'!$E96="","",'Year 5'!$E96)</f>
        <v/>
      </c>
      <c r="R73">
        <f>IF('Year 5'!$F96="","",'Year 5'!$F96)</f>
        <v>4</v>
      </c>
      <c r="S73" s="312" t="str">
        <f>IF('Year 5'!$G96="","",'Year 5'!$G96)</f>
        <v/>
      </c>
    </row>
    <row r="74" spans="2:19" x14ac:dyDescent="0.2">
      <c r="B74" s="307"/>
      <c r="E74" t="str">
        <f>IF('Year 1'!D97="","",'Year 1'!D97)</f>
        <v>Number of Employees</v>
      </c>
      <c r="F74" t="str">
        <f>IF('Year 1'!$E97="","",'Year 1'!$E97)</f>
        <v>Hourly Rate</v>
      </c>
      <c r="G74" s="312" t="str">
        <f>IF('Year 1'!$F97="","",'Year 1'!$F97)</f>
        <v>Hours per week</v>
      </c>
      <c r="H74" t="str">
        <f>IF('Year 2'!G97="","",'Year 2'!G97)</f>
        <v/>
      </c>
      <c r="I74" t="str">
        <f>IF('Year 2'!$E97="","",'Year 2'!$E97)</f>
        <v>Hourly Rate</v>
      </c>
      <c r="J74" s="312" t="str">
        <f>IF('Year 2'!$F97="","",'Year 2'!$F97)</f>
        <v>Hours per week</v>
      </c>
      <c r="K74" t="str">
        <f>IF('Year 3'!J97="","",'Year 3'!J97)</f>
        <v/>
      </c>
      <c r="L74" t="str">
        <f>IF('Year 3'!$E97="","",'Year 3'!$E97)</f>
        <v>Hourly Rate</v>
      </c>
      <c r="M74" s="312" t="str">
        <f>IF('Year 3'!$F97="","",'Year 3'!$F97)</f>
        <v>Hours per week</v>
      </c>
      <c r="N74" t="str">
        <f>IF('Year 4'!M97="","",'Year 4'!M97)</f>
        <v/>
      </c>
      <c r="O74" t="str">
        <f>IF('Year 4'!$E97="","",'Year 4'!$E97)</f>
        <v>Hourly Rate</v>
      </c>
      <c r="P74" s="312" t="str">
        <f>IF('Year 4'!$F97="","",'Year 4'!$F97)</f>
        <v>Hours per week</v>
      </c>
      <c r="Q74" s="313" t="str">
        <f>IF('Year 5'!P97="","",'Year 5'!P97)</f>
        <v/>
      </c>
      <c r="R74" t="str">
        <f>IF('Year 5'!$E97="","",'Year 5'!$E97)</f>
        <v>Hourly Rate</v>
      </c>
      <c r="S74" s="312" t="str">
        <f>IF('Year 5'!$F97="","",'Year 5'!$F97)</f>
        <v>Hours per week</v>
      </c>
    </row>
    <row r="75" spans="2:19" x14ac:dyDescent="0.2">
      <c r="B75" s="307"/>
      <c r="C75" t="s">
        <v>214</v>
      </c>
      <c r="E75">
        <f>IF('Year 1'!D98="","",'Year 1'!D98)</f>
        <v>3</v>
      </c>
      <c r="F75">
        <f>IF('Year 1'!$E98="","",'Year 1'!$E98)</f>
        <v>10</v>
      </c>
      <c r="G75" s="312">
        <f>IF('Year 1'!$F98="","",'Year 1'!$F98)</f>
        <v>40</v>
      </c>
      <c r="H75" t="str">
        <f>IF('Year 2'!G98="","",'Year 2'!G98)</f>
        <v/>
      </c>
      <c r="I75">
        <f>IF('Year 2'!$E98="","",'Year 2'!$E98)</f>
        <v>10</v>
      </c>
      <c r="J75" s="312">
        <f>IF('Year 2'!$F98="","",'Year 2'!$F98)</f>
        <v>40</v>
      </c>
      <c r="K75">
        <f>IF('Year 3'!J98="","",'Year 3'!J98)</f>
        <v>5200</v>
      </c>
      <c r="L75">
        <f>IF('Year 3'!$E98="","",'Year 3'!$E98)</f>
        <v>10</v>
      </c>
      <c r="M75" s="312">
        <f>IF('Year 3'!$F98="","",'Year 3'!$F98)</f>
        <v>40</v>
      </c>
      <c r="N75">
        <f>IF('Year 4'!M98="","",'Year 4'!M98)</f>
        <v>5200</v>
      </c>
      <c r="O75">
        <f>IF('Year 4'!$E98="","",'Year 4'!$E98)</f>
        <v>10</v>
      </c>
      <c r="P75" s="312">
        <f>IF('Year 4'!$F98="","",'Year 4'!$F98)</f>
        <v>40</v>
      </c>
      <c r="Q75" s="313">
        <f>IF('Year 5'!P98="","",'Year 5'!P98)</f>
        <v>5200</v>
      </c>
      <c r="R75">
        <f>IF('Year 5'!$E98="","",'Year 5'!$E98)</f>
        <v>10</v>
      </c>
      <c r="S75" s="312">
        <f>IF('Year 5'!$F98="","",'Year 5'!$F98)</f>
        <v>40</v>
      </c>
    </row>
    <row r="76" spans="2:19" x14ac:dyDescent="0.2">
      <c r="B76" s="307"/>
      <c r="C76" s="318" t="s">
        <v>215</v>
      </c>
      <c r="D76" s="318"/>
      <c r="E76" s="318">
        <f>IF('Year 1'!D99="","",'Year 1'!D99)</f>
        <v>2</v>
      </c>
      <c r="F76" s="318">
        <f>IF('Year 1'!$E99="","",'Year 1'!$E99)</f>
        <v>9</v>
      </c>
      <c r="G76" s="319">
        <f>IF('Year 1'!$F99="","",'Year 1'!$F99)</f>
        <v>20</v>
      </c>
      <c r="H76" s="318" t="str">
        <f>IF('Year 2'!G99="","",'Year 2'!G99)</f>
        <v/>
      </c>
      <c r="I76" s="318">
        <f>IF('Year 2'!$E99="","",'Year 2'!$E99)</f>
        <v>9</v>
      </c>
      <c r="J76" s="319">
        <f>IF('Year 2'!$F99="","",'Year 2'!$F99)</f>
        <v>20</v>
      </c>
      <c r="K76" s="318">
        <f>IF('Year 3'!J99="","",'Year 3'!J99)</f>
        <v>1560</v>
      </c>
      <c r="L76" s="318">
        <f>IF('Year 3'!$E99="","",'Year 3'!$E99)</f>
        <v>9</v>
      </c>
      <c r="M76" s="319">
        <f>IF('Year 3'!$F99="","",'Year 3'!$F99)</f>
        <v>20</v>
      </c>
      <c r="N76" s="318">
        <f>IF('Year 4'!M99="","",'Year 4'!M99)</f>
        <v>1560</v>
      </c>
      <c r="O76" s="318">
        <f>IF('Year 4'!$E99="","",'Year 4'!$E99)</f>
        <v>9</v>
      </c>
      <c r="P76" s="319">
        <f>IF('Year 4'!$F99="","",'Year 4'!$F99)</f>
        <v>20</v>
      </c>
      <c r="Q76" s="320">
        <f>IF('Year 5'!P99="","",'Year 5'!P99)</f>
        <v>1560</v>
      </c>
      <c r="R76" s="318">
        <f>IF('Year 5'!$E99="","",'Year 5'!$E99)</f>
        <v>9</v>
      </c>
      <c r="S76" s="319">
        <f>IF('Year 5'!$F99="","",'Year 5'!$F99)</f>
        <v>20</v>
      </c>
    </row>
    <row r="77" spans="2:19" x14ac:dyDescent="0.2">
      <c r="B77" s="307"/>
      <c r="C77" t="s">
        <v>24</v>
      </c>
      <c r="E77">
        <f>IF('Year 1'!D100="","",'Year 1'!D100)</f>
        <v>0</v>
      </c>
      <c r="F77">
        <f>IF('Year 1'!$E100="","",'Year 1'!$E100)</f>
        <v>0</v>
      </c>
      <c r="G77" s="312">
        <f>IF('Year 1'!$F100="","",'Year 1'!$F100)</f>
        <v>0</v>
      </c>
      <c r="H77" t="str">
        <f>IF('Year 2'!G100="","",'Year 2'!G100)</f>
        <v/>
      </c>
      <c r="I77">
        <f>IF('Year 2'!$E100="","",'Year 2'!$E100)</f>
        <v>0</v>
      </c>
      <c r="J77" s="312">
        <f>IF('Year 2'!$F100="","",'Year 2'!$F100)</f>
        <v>0</v>
      </c>
      <c r="K77">
        <f>IF('Year 3'!J100="","",'Year 3'!J100)</f>
        <v>0</v>
      </c>
      <c r="L77">
        <f>IF('Year 3'!$E100="","",'Year 3'!$E100)</f>
        <v>0</v>
      </c>
      <c r="M77" s="312">
        <f>IF('Year 3'!$F100="","",'Year 3'!$F100)</f>
        <v>0</v>
      </c>
      <c r="N77">
        <f>IF('Year 4'!M100="","",'Year 4'!M100)</f>
        <v>0</v>
      </c>
      <c r="O77">
        <f>IF('Year 4'!$E100="","",'Year 4'!$E100)</f>
        <v>0</v>
      </c>
      <c r="P77" s="312">
        <f>IF('Year 4'!$F100="","",'Year 4'!$F100)</f>
        <v>0</v>
      </c>
      <c r="Q77" s="313">
        <f>IF('Year 5'!P100="","",'Year 5'!P100)</f>
        <v>0</v>
      </c>
      <c r="R77">
        <f>IF('Year 5'!$E100="","",'Year 5'!$E100)</f>
        <v>0</v>
      </c>
      <c r="S77" s="312">
        <f>IF('Year 5'!$F100="","",'Year 5'!$F100)</f>
        <v>0</v>
      </c>
    </row>
    <row r="78" spans="2:19" x14ac:dyDescent="0.2">
      <c r="B78" s="307"/>
      <c r="E78">
        <f>IF('Year 1'!D101="","",'Year 1'!D101)</f>
        <v>5</v>
      </c>
      <c r="F78" t="str">
        <f>IF('Year 1'!$E101="","",'Year 1'!$E101)</f>
        <v/>
      </c>
      <c r="G78" s="312" t="str">
        <f>IF('Year 1'!$F101="","",'Year 1'!$F101)</f>
        <v/>
      </c>
      <c r="H78" t="str">
        <f>IF('Year 2'!G101="","",'Year 2'!G101)</f>
        <v/>
      </c>
      <c r="I78" t="str">
        <f>IF('Year 2'!$E101="","",'Year 2'!$E101)</f>
        <v/>
      </c>
      <c r="J78" s="312" t="str">
        <f>IF('Year 2'!$F101="","",'Year 2'!$F101)</f>
        <v/>
      </c>
      <c r="K78" t="str">
        <f>IF('Year 3'!J101="","",'Year 3'!J101)</f>
        <v/>
      </c>
      <c r="L78" t="str">
        <f>IF('Year 3'!$E101="","",'Year 3'!$E101)</f>
        <v/>
      </c>
      <c r="M78" s="312" t="str">
        <f>IF('Year 3'!$F101="","",'Year 3'!$F101)</f>
        <v/>
      </c>
      <c r="N78" t="str">
        <f>IF('Year 4'!M101="","",'Year 4'!M101)</f>
        <v/>
      </c>
      <c r="O78" t="str">
        <f>IF('Year 4'!$E101="","",'Year 4'!$E101)</f>
        <v/>
      </c>
      <c r="P78" s="312" t="str">
        <f>IF('Year 4'!$F101="","",'Year 4'!$F101)</f>
        <v/>
      </c>
      <c r="Q78" s="313" t="str">
        <f>IF('Year 5'!P101="","",'Year 5'!P101)</f>
        <v/>
      </c>
      <c r="R78" t="str">
        <f>IF('Year 5'!$E101="","",'Year 5'!$E101)</f>
        <v/>
      </c>
      <c r="S78" s="312" t="str">
        <f>IF('Year 5'!$F101="","",'Year 5'!$F101)</f>
        <v/>
      </c>
    </row>
    <row r="79" spans="2:19" x14ac:dyDescent="0.2">
      <c r="B79" s="307" t="s">
        <v>223</v>
      </c>
      <c r="E79" t="str">
        <f>IF('Year 1'!D102="","",'Year 1'!D102)</f>
        <v/>
      </c>
      <c r="F79" t="str">
        <f>IF('Year 1'!$E102="","",'Year 1'!$E102)</f>
        <v/>
      </c>
      <c r="G79" s="312" t="str">
        <f>IF('Year 1'!$F102="","",'Year 1'!$F102)</f>
        <v/>
      </c>
      <c r="H79" t="str">
        <f>IF('Year 2'!G102="","",'Year 2'!G102)</f>
        <v/>
      </c>
      <c r="I79" t="str">
        <f>IF('Year 2'!$E102="","",'Year 2'!$E102)</f>
        <v/>
      </c>
      <c r="J79" s="312" t="str">
        <f>IF('Year 2'!$F102="","",'Year 2'!$F102)</f>
        <v/>
      </c>
      <c r="K79">
        <f>IF('Year 3'!J102="","",'Year 3'!J102)</f>
        <v>26001.279999999999</v>
      </c>
      <c r="L79" t="str">
        <f>IF('Year 3'!$E102="","",'Year 3'!$E102)</f>
        <v/>
      </c>
      <c r="M79" s="312" t="str">
        <f>IF('Year 3'!$F102="","",'Year 3'!$F102)</f>
        <v/>
      </c>
      <c r="N79">
        <f>IF('Year 4'!M102="","",'Year 4'!M102)</f>
        <v>26773.4656</v>
      </c>
      <c r="O79" t="str">
        <f>IF('Year 4'!$E102="","",'Year 4'!$E102)</f>
        <v/>
      </c>
      <c r="P79" s="312" t="str">
        <f>IF('Year 4'!$F102="","",'Year 4'!$F102)</f>
        <v/>
      </c>
      <c r="Q79" s="313">
        <f>IF('Year 5'!P102="","",'Year 5'!P102)</f>
        <v>27582.262912000002</v>
      </c>
      <c r="R79" t="str">
        <f>IF('Year 5'!$E102="","",'Year 5'!$E102)</f>
        <v/>
      </c>
      <c r="S79" s="312" t="str">
        <f>IF('Year 5'!$F102="","",'Year 5'!$F102)</f>
        <v/>
      </c>
    </row>
    <row r="80" spans="2:19" ht="16" customHeight="1" x14ac:dyDescent="0.2">
      <c r="B80" s="307"/>
      <c r="E80" t="str">
        <f>IF('Year 1'!$E103="","",'Year 1'!$E103)</f>
        <v>as % of Total Wage Costs</v>
      </c>
      <c r="F80" t="str">
        <f>IF('Year 1'!$F103="","",'Year 1'!$F103)</f>
        <v>or manually entered amount below (overrides wages)</v>
      </c>
      <c r="G80" s="312" t="str">
        <f>IF('Year 1'!$G103="","",'Year 1'!$G103)</f>
        <v/>
      </c>
      <c r="H80" t="str">
        <f>IF('Year 2'!$E103="","",'Year 2'!$E103)</f>
        <v>as % of Total Wage Costs</v>
      </c>
      <c r="I80" t="str">
        <f>IF('Year 2'!$F103="","",'Year 2'!$F103)</f>
        <v>or manually entered amount below (overrides wages)</v>
      </c>
      <c r="J80" s="312" t="str">
        <f>IF('Year 2'!$G103="","",'Year 2'!$G103)</f>
        <v/>
      </c>
      <c r="K80" t="str">
        <f>IF('Year 3'!$E103="","",'Year 3'!$E103)</f>
        <v>as % of Total Wage Costs</v>
      </c>
      <c r="L80" t="str">
        <f>IF('Year 3'!$F103="","",'Year 3'!$F103)</f>
        <v>or manually entered amount below (overrides wages)</v>
      </c>
      <c r="M80" s="312" t="str">
        <f>IF('Year 3'!$G103="","",'Year 3'!$G103)</f>
        <v/>
      </c>
      <c r="N80" t="str">
        <f>IF('Year 4'!$E103="","",'Year 4'!$E103)</f>
        <v>as % of Total Wage Costs</v>
      </c>
      <c r="O80" t="str">
        <f>IF('Year 4'!$F103="","",'Year 4'!$F103)</f>
        <v>or manually entered amount below (overrides wages)</v>
      </c>
      <c r="P80" s="312" t="str">
        <f>IF('Year 4'!$G103="","",'Year 4'!$G103)</f>
        <v/>
      </c>
      <c r="Q80" s="313" t="str">
        <f>IF('Year 5'!$E103="","",'Year 5'!$E103)</f>
        <v>as % of Total Wage Costs</v>
      </c>
      <c r="R80" t="str">
        <f>IF('Year 5'!$F103="","",'Year 5'!$F103)</f>
        <v>or manually entered amount below (overrides wages)</v>
      </c>
      <c r="S80" s="312" t="str">
        <f>IF('Year 5'!$G103="","",'Year 5'!$G103)</f>
        <v/>
      </c>
    </row>
    <row r="81" spans="2:19" x14ac:dyDescent="0.2">
      <c r="B81" s="307" t="s">
        <v>225</v>
      </c>
      <c r="E81" t="str">
        <f>IF('Year 1'!$E104="","",'Year 1'!$E104)</f>
        <v/>
      </c>
      <c r="F81" t="str">
        <f>IF('Year 1'!$F104="","",'Year 1'!$F104)</f>
        <v/>
      </c>
      <c r="G81" s="312" t="str">
        <f>IF('Year 1'!$G104="","",'Year 1'!$G104)</f>
        <v/>
      </c>
      <c r="H81" t="str">
        <f>IF('Year 2'!$E104="","",'Year 2'!$E104)</f>
        <v/>
      </c>
      <c r="I81" t="str">
        <f>IF('Year 2'!$F104="","",'Year 2'!$F104)</f>
        <v/>
      </c>
      <c r="J81" s="312" t="str">
        <f>IF('Year 2'!$G104="","",'Year 2'!$G104)</f>
        <v/>
      </c>
      <c r="K81" t="str">
        <f>IF('Year 3'!$E104="","",'Year 3'!$E104)</f>
        <v/>
      </c>
      <c r="L81" t="str">
        <f>IF('Year 3'!$F104="","",'Year 3'!$F104)</f>
        <v/>
      </c>
      <c r="M81" s="312" t="str">
        <f>IF('Year 3'!$G104="","",'Year 3'!$G104)</f>
        <v/>
      </c>
      <c r="N81" t="str">
        <f>IF('Year 4'!$E104="","",'Year 4'!$E104)</f>
        <v/>
      </c>
      <c r="O81" t="str">
        <f>IF('Year 4'!$F104="","",'Year 4'!$F104)</f>
        <v/>
      </c>
      <c r="P81" s="312" t="str">
        <f>IF('Year 4'!$G104="","",'Year 4'!$G104)</f>
        <v/>
      </c>
      <c r="Q81" s="313" t="str">
        <f>IF('Year 5'!$E104="","",'Year 5'!$E104)</f>
        <v/>
      </c>
      <c r="R81" t="str">
        <f>IF('Year 5'!$F104="","",'Year 5'!$F104)</f>
        <v/>
      </c>
      <c r="S81" s="312" t="str">
        <f>IF('Year 5'!$G104="","",'Year 5'!$G104)</f>
        <v/>
      </c>
    </row>
    <row r="82" spans="2:19" x14ac:dyDescent="0.2">
      <c r="B82" s="307"/>
      <c r="C82" t="s">
        <v>226</v>
      </c>
      <c r="E82">
        <f>IF('Year 1'!$E105="","",'Year 1'!$E105)</f>
        <v>6.2E-2</v>
      </c>
      <c r="F82">
        <f>IF('Year 1'!$F105="","",'Year 1'!$F105)</f>
        <v>102000</v>
      </c>
      <c r="G82" s="312" t="str">
        <f>IF('Year 1'!$G105="","",'Year 1'!$G105)</f>
        <v/>
      </c>
      <c r="H82">
        <f>IF('Year 2'!$E105="","",'Year 2'!$E105)</f>
        <v>6.2E-2</v>
      </c>
      <c r="I82">
        <f>IF('Year 2'!$F105="","",'Year 2'!$F105)</f>
        <v>102000</v>
      </c>
      <c r="J82" s="312" t="str">
        <f>IF('Year 2'!$G105="","",'Year 2'!$G105)</f>
        <v/>
      </c>
      <c r="K82">
        <f>IF('Year 3'!$E105="","",'Year 3'!$E105)</f>
        <v>6.2E-2</v>
      </c>
      <c r="L82">
        <f>IF('Year 3'!$F105="","",'Year 3'!$F105)</f>
        <v>102000</v>
      </c>
      <c r="M82" s="312" t="str">
        <f>IF('Year 3'!$G105="","",'Year 3'!$G105)</f>
        <v/>
      </c>
      <c r="N82">
        <f>IF('Year 4'!$E105="","",'Year 4'!$E105)</f>
        <v>6.2E-2</v>
      </c>
      <c r="O82">
        <f>IF('Year 4'!$F105="","",'Year 4'!$F105)</f>
        <v>102000</v>
      </c>
      <c r="P82" s="312" t="str">
        <f>IF('Year 4'!$G105="","",'Year 4'!$G105)</f>
        <v/>
      </c>
      <c r="Q82" s="313">
        <f>IF('Year 5'!$E105="","",'Year 5'!$E105)</f>
        <v>6.2E-2</v>
      </c>
      <c r="R82">
        <f>IF('Year 5'!$F105="","",'Year 5'!$F105)</f>
        <v>102000</v>
      </c>
      <c r="S82" s="312" t="str">
        <f>IF('Year 5'!$G105="","",'Year 5'!$G105)</f>
        <v/>
      </c>
    </row>
    <row r="83" spans="2:19" x14ac:dyDescent="0.2">
      <c r="B83" s="307"/>
      <c r="C83" s="318" t="s">
        <v>227</v>
      </c>
      <c r="D83" s="318"/>
      <c r="E83" s="318">
        <f>IF('Year 1'!$E106="","",'Year 1'!$E106)</f>
        <v>1.4500000000000001E-2</v>
      </c>
      <c r="F83" s="318" t="str">
        <f>IF('Year 1'!$F106="","",'Year 1'!$F106)</f>
        <v/>
      </c>
      <c r="G83" s="319" t="str">
        <f>IF('Year 1'!$G106="","",'Year 1'!$G106)</f>
        <v/>
      </c>
      <c r="H83" s="318">
        <f>IF('Year 2'!$E106="","",'Year 2'!$E106)</f>
        <v>1.4500000000000001E-2</v>
      </c>
      <c r="I83" s="318" t="str">
        <f>IF('Year 2'!$F106="","",'Year 2'!$F106)</f>
        <v/>
      </c>
      <c r="J83" s="319" t="str">
        <f>IF('Year 2'!$G106="","",'Year 2'!$G106)</f>
        <v/>
      </c>
      <c r="K83" s="318">
        <f>IF('Year 3'!$E106="","",'Year 3'!$E106)</f>
        <v>1.4500000000000001E-2</v>
      </c>
      <c r="L83" s="318" t="str">
        <f>IF('Year 3'!$F106="","",'Year 3'!$F106)</f>
        <v/>
      </c>
      <c r="M83" s="319" t="str">
        <f>IF('Year 3'!$G106="","",'Year 3'!$G106)</f>
        <v/>
      </c>
      <c r="N83" s="318">
        <f>IF('Year 4'!$E106="","",'Year 4'!$E106)</f>
        <v>1.4500000000000001E-2</v>
      </c>
      <c r="O83" s="318" t="str">
        <f>IF('Year 4'!$F106="","",'Year 4'!$F106)</f>
        <v/>
      </c>
      <c r="P83" s="319" t="str">
        <f>IF('Year 4'!$G106="","",'Year 4'!$G106)</f>
        <v/>
      </c>
      <c r="Q83" s="320">
        <f>IF('Year 5'!$E106="","",'Year 5'!$E106)</f>
        <v>1.4500000000000001E-2</v>
      </c>
      <c r="R83" s="318" t="str">
        <f>IF('Year 5'!$F106="","",'Year 5'!$F106)</f>
        <v/>
      </c>
      <c r="S83" s="319" t="str">
        <f>IF('Year 5'!$G106="","",'Year 5'!$G106)</f>
        <v/>
      </c>
    </row>
    <row r="84" spans="2:19" x14ac:dyDescent="0.2">
      <c r="B84" s="307"/>
      <c r="C84" s="318" t="s">
        <v>233</v>
      </c>
      <c r="D84" s="318"/>
      <c r="E84" s="318">
        <f>IF('Year 1'!$E107="","",'Year 1'!$E107)</f>
        <v>8.0000000000000002E-3</v>
      </c>
      <c r="F84" s="318">
        <f>IF('Year 1'!$F107="","",'Year 1'!$F107)</f>
        <v>7000</v>
      </c>
      <c r="G84" s="319" t="str">
        <f>IF('Year 1'!$G107="","",'Year 1'!$G107)</f>
        <v/>
      </c>
      <c r="H84" s="318">
        <f>IF('Year 2'!$E107="","",'Year 2'!$E107)</f>
        <v>8.0000000000000002E-3</v>
      </c>
      <c r="I84" s="318">
        <f>IF('Year 2'!$F107="","",'Year 2'!$F107)</f>
        <v>7000</v>
      </c>
      <c r="J84" s="319" t="str">
        <f>IF('Year 2'!$G107="","",'Year 2'!$G107)</f>
        <v/>
      </c>
      <c r="K84" s="318">
        <f>IF('Year 3'!$E107="","",'Year 3'!$E107)</f>
        <v>8.0000000000000002E-3</v>
      </c>
      <c r="L84" s="318">
        <f>IF('Year 3'!$F107="","",'Year 3'!$F107)</f>
        <v>7000</v>
      </c>
      <c r="M84" s="319" t="str">
        <f>IF('Year 3'!$G107="","",'Year 3'!$G107)</f>
        <v/>
      </c>
      <c r="N84" s="318">
        <f>IF('Year 4'!$E107="","",'Year 4'!$E107)</f>
        <v>8.0000000000000002E-3</v>
      </c>
      <c r="O84" s="318">
        <f>IF('Year 4'!$F107="","",'Year 4'!$F107)</f>
        <v>7000</v>
      </c>
      <c r="P84" s="319" t="str">
        <f>IF('Year 4'!$G107="","",'Year 4'!$G107)</f>
        <v/>
      </c>
      <c r="Q84" s="320">
        <f>IF('Year 5'!$E107="","",'Year 5'!$E107)</f>
        <v>8.0000000000000002E-3</v>
      </c>
      <c r="R84" s="318">
        <f>IF('Year 5'!$F107="","",'Year 5'!$F107)</f>
        <v>7000</v>
      </c>
      <c r="S84" s="319" t="str">
        <f>IF('Year 5'!$G107="","",'Year 5'!$G107)</f>
        <v/>
      </c>
    </row>
    <row r="85" spans="2:19" x14ac:dyDescent="0.2">
      <c r="B85" s="307"/>
      <c r="C85" t="s">
        <v>234</v>
      </c>
      <c r="E85">
        <f>IF('Year 1'!$E108="","",'Year 1'!$E108)</f>
        <v>2.7E-2</v>
      </c>
      <c r="F85">
        <f>IF('Year 1'!$F108="","",'Year 1'!$F108)</f>
        <v>7000</v>
      </c>
      <c r="G85" s="312" t="str">
        <f>IF('Year 1'!$G108="","",'Year 1'!$G108)</f>
        <v/>
      </c>
      <c r="H85">
        <f>IF('Year 2'!$E108="","",'Year 2'!$E108)</f>
        <v>2.7E-2</v>
      </c>
      <c r="I85">
        <f>IF('Year 2'!$F108="","",'Year 2'!$F108)</f>
        <v>7000</v>
      </c>
      <c r="J85" s="312" t="str">
        <f>IF('Year 2'!$G108="","",'Year 2'!$G108)</f>
        <v/>
      </c>
      <c r="K85">
        <f>IF('Year 3'!$E108="","",'Year 3'!$E108)</f>
        <v>2.7E-2</v>
      </c>
      <c r="L85">
        <f>IF('Year 3'!$F108="","",'Year 3'!$F108)</f>
        <v>7000</v>
      </c>
      <c r="M85" s="312" t="str">
        <f>IF('Year 3'!$G108="","",'Year 3'!$G108)</f>
        <v/>
      </c>
      <c r="N85">
        <f>IF('Year 4'!$E108="","",'Year 4'!$E108)</f>
        <v>2.7E-2</v>
      </c>
      <c r="O85">
        <f>IF('Year 4'!$F108="","",'Year 4'!$F108)</f>
        <v>7000</v>
      </c>
      <c r="P85" s="312" t="str">
        <f>IF('Year 4'!$G108="","",'Year 4'!$G108)</f>
        <v/>
      </c>
      <c r="Q85" s="313">
        <f>IF('Year 5'!$E108="","",'Year 5'!$E108)</f>
        <v>2.7E-2</v>
      </c>
      <c r="R85">
        <f>IF('Year 5'!$F108="","",'Year 5'!$F108)</f>
        <v>7000</v>
      </c>
      <c r="S85" s="312" t="str">
        <f>IF('Year 5'!$G108="","",'Year 5'!$G108)</f>
        <v/>
      </c>
    </row>
    <row r="86" spans="2:19" x14ac:dyDescent="0.2">
      <c r="B86" s="307"/>
      <c r="C86" s="318" t="s">
        <v>228</v>
      </c>
      <c r="D86" s="318"/>
      <c r="E86" s="318">
        <f>IF('Year 1'!$E109="","",'Year 1'!$E109)</f>
        <v>1.4999999999999999E-2</v>
      </c>
      <c r="F86" s="318" t="str">
        <f>IF('Year 1'!$F109="","",'Year 1'!$F109)</f>
        <v/>
      </c>
      <c r="G86" s="319" t="str">
        <f>IF('Year 1'!$G109="","",'Year 1'!$G109)</f>
        <v/>
      </c>
      <c r="H86" s="318">
        <f>IF('Year 2'!$E109="","",'Year 2'!$E109)</f>
        <v>1.4999999999999999E-2</v>
      </c>
      <c r="I86" s="318" t="str">
        <f>IF('Year 2'!$F109="","",'Year 2'!$F109)</f>
        <v/>
      </c>
      <c r="J86" s="319" t="str">
        <f>IF('Year 2'!$G109="","",'Year 2'!$G109)</f>
        <v/>
      </c>
      <c r="K86" s="318">
        <f>IF('Year 3'!$E109="","",'Year 3'!$E109)</f>
        <v>1.4999999999999999E-2</v>
      </c>
      <c r="L86" s="318" t="str">
        <f>IF('Year 3'!$F109="","",'Year 3'!$F109)</f>
        <v/>
      </c>
      <c r="M86" s="319" t="str">
        <f>IF('Year 3'!$G109="","",'Year 3'!$G109)</f>
        <v/>
      </c>
      <c r="N86" s="318">
        <f>IF('Year 4'!$E109="","",'Year 4'!$E109)</f>
        <v>1.4999999999999999E-2</v>
      </c>
      <c r="O86" s="318" t="str">
        <f>IF('Year 4'!$F109="","",'Year 4'!$F109)</f>
        <v/>
      </c>
      <c r="P86" s="319" t="str">
        <f>IF('Year 4'!$G109="","",'Year 4'!$G109)</f>
        <v/>
      </c>
      <c r="Q86" s="320">
        <f>IF('Year 5'!$E109="","",'Year 5'!$E109)</f>
        <v>1.4999999999999999E-2</v>
      </c>
      <c r="R86" s="318" t="str">
        <f>IF('Year 5'!$F109="","",'Year 5'!$F109)</f>
        <v/>
      </c>
      <c r="S86" s="319" t="str">
        <f>IF('Year 5'!$G109="","",'Year 5'!$G109)</f>
        <v/>
      </c>
    </row>
    <row r="87" spans="2:19" x14ac:dyDescent="0.2">
      <c r="B87" s="307"/>
      <c r="C87" t="s">
        <v>229</v>
      </c>
      <c r="E87">
        <f>IF('Year 1'!$E110="","",'Year 1'!$E110)</f>
        <v>0</v>
      </c>
      <c r="F87" t="str">
        <f>IF('Year 1'!$F110="","",'Year 1'!$F110)</f>
        <v/>
      </c>
      <c r="G87" s="312" t="str">
        <f>IF('Year 1'!$G110="","",'Year 1'!$G110)</f>
        <v/>
      </c>
      <c r="H87">
        <f>IF('Year 2'!$E110="","",'Year 2'!$E110)</f>
        <v>0</v>
      </c>
      <c r="I87" t="str">
        <f>IF('Year 2'!$F110="","",'Year 2'!$F110)</f>
        <v/>
      </c>
      <c r="J87" s="312" t="str">
        <f>IF('Year 2'!$G110="","",'Year 2'!$G110)</f>
        <v/>
      </c>
      <c r="K87">
        <f>IF('Year 3'!$E110="","",'Year 3'!$E110)</f>
        <v>0</v>
      </c>
      <c r="L87" t="str">
        <f>IF('Year 3'!$F110="","",'Year 3'!$F110)</f>
        <v/>
      </c>
      <c r="M87" s="312" t="str">
        <f>IF('Year 3'!$G110="","",'Year 3'!$G110)</f>
        <v/>
      </c>
      <c r="N87">
        <f>IF('Year 4'!$E110="","",'Year 4'!$E110)</f>
        <v>0</v>
      </c>
      <c r="O87" t="str">
        <f>IF('Year 4'!$F110="","",'Year 4'!$F110)</f>
        <v/>
      </c>
      <c r="P87" s="312" t="str">
        <f>IF('Year 4'!$G110="","",'Year 4'!$G110)</f>
        <v/>
      </c>
      <c r="Q87" s="313">
        <f>IF('Year 5'!$E110="","",'Year 5'!$E110)</f>
        <v>0</v>
      </c>
      <c r="R87" t="str">
        <f>IF('Year 5'!$F110="","",'Year 5'!$F110)</f>
        <v/>
      </c>
      <c r="S87" s="312" t="str">
        <f>IF('Year 5'!$G110="","",'Year 5'!$G110)</f>
        <v/>
      </c>
    </row>
    <row r="88" spans="2:19" x14ac:dyDescent="0.2">
      <c r="B88" s="307"/>
      <c r="C88" s="318" t="s">
        <v>230</v>
      </c>
      <c r="D88" s="318"/>
      <c r="E88" s="318">
        <f>IF('Year 1'!$E111="","",'Year 1'!$E111)</f>
        <v>0</v>
      </c>
      <c r="F88" s="318" t="str">
        <f>IF('Year 1'!$F111="","",'Year 1'!$F111)</f>
        <v/>
      </c>
      <c r="G88" s="319" t="str">
        <f>IF('Year 1'!$G111="","",'Year 1'!$G111)</f>
        <v/>
      </c>
      <c r="H88" s="318">
        <f>IF('Year 2'!$E111="","",'Year 2'!$E111)</f>
        <v>0</v>
      </c>
      <c r="I88" s="318" t="str">
        <f>IF('Year 2'!$F111="","",'Year 2'!$F111)</f>
        <v/>
      </c>
      <c r="J88" s="319" t="str">
        <f>IF('Year 2'!$G111="","",'Year 2'!$G111)</f>
        <v/>
      </c>
      <c r="K88" s="318">
        <f>IF('Year 3'!$E111="","",'Year 3'!$E111)</f>
        <v>0</v>
      </c>
      <c r="L88" s="318" t="str">
        <f>IF('Year 3'!$F111="","",'Year 3'!$F111)</f>
        <v/>
      </c>
      <c r="M88" s="319" t="str">
        <f>IF('Year 3'!$G111="","",'Year 3'!$G111)</f>
        <v/>
      </c>
      <c r="N88" s="318">
        <f>IF('Year 4'!$E111="","",'Year 4'!$E111)</f>
        <v>0</v>
      </c>
      <c r="O88" s="318" t="str">
        <f>IF('Year 4'!$F111="","",'Year 4'!$F111)</f>
        <v/>
      </c>
      <c r="P88" s="319" t="str">
        <f>IF('Year 4'!$G111="","",'Year 4'!$G111)</f>
        <v/>
      </c>
      <c r="Q88" s="320">
        <f>IF('Year 5'!$E111="","",'Year 5'!$E111)</f>
        <v>0</v>
      </c>
      <c r="R88" s="318" t="str">
        <f>IF('Year 5'!$F111="","",'Year 5'!$F111)</f>
        <v/>
      </c>
      <c r="S88" s="319" t="str">
        <f>IF('Year 5'!$G111="","",'Year 5'!$G111)</f>
        <v/>
      </c>
    </row>
    <row r="89" spans="2:19" x14ac:dyDescent="0.2">
      <c r="B89" s="307"/>
      <c r="C89" s="318" t="s">
        <v>231</v>
      </c>
      <c r="D89" s="318"/>
      <c r="E89" s="318">
        <f>IF('Year 1'!$E112="","",'Year 1'!$E112)</f>
        <v>0.04</v>
      </c>
      <c r="F89" s="318" t="str">
        <f>IF('Year 1'!$F112="","",'Year 1'!$F112)</f>
        <v/>
      </c>
      <c r="G89" s="319" t="str">
        <f>IF('Year 1'!$G112="","",'Year 1'!$G112)</f>
        <v/>
      </c>
      <c r="H89" s="318">
        <f>IF('Year 2'!$E112="","",'Year 2'!$E112)</f>
        <v>0.04</v>
      </c>
      <c r="I89" s="318" t="str">
        <f>IF('Year 2'!$F112="","",'Year 2'!$F112)</f>
        <v/>
      </c>
      <c r="J89" s="319" t="str">
        <f>IF('Year 2'!$G112="","",'Year 2'!$G112)</f>
        <v/>
      </c>
      <c r="K89" s="318">
        <f>IF('Year 3'!$E112="","",'Year 3'!$E112)</f>
        <v>0.04</v>
      </c>
      <c r="L89" s="318" t="str">
        <f>IF('Year 3'!$F112="","",'Year 3'!$F112)</f>
        <v/>
      </c>
      <c r="M89" s="319" t="str">
        <f>IF('Year 3'!$G112="","",'Year 3'!$G112)</f>
        <v/>
      </c>
      <c r="N89" s="318">
        <f>IF('Year 4'!$E112="","",'Year 4'!$E112)</f>
        <v>0.04</v>
      </c>
      <c r="O89" s="318" t="str">
        <f>IF('Year 4'!$F112="","",'Year 4'!$F112)</f>
        <v/>
      </c>
      <c r="P89" s="319" t="str">
        <f>IF('Year 4'!$G112="","",'Year 4'!$G112)</f>
        <v/>
      </c>
      <c r="Q89" s="320">
        <f>IF('Year 5'!$E112="","",'Year 5'!$E112)</f>
        <v>0.04</v>
      </c>
      <c r="R89" s="318" t="str">
        <f>IF('Year 5'!$F112="","",'Year 5'!$F112)</f>
        <v/>
      </c>
      <c r="S89" s="319" t="str">
        <f>IF('Year 5'!$G112="","",'Year 5'!$G112)</f>
        <v/>
      </c>
    </row>
    <row r="90" spans="2:19" x14ac:dyDescent="0.2">
      <c r="B90" s="307" t="s">
        <v>232</v>
      </c>
      <c r="E90" t="str">
        <f>IF('Year 1'!$E113="","",'Year 1'!$E113)</f>
        <v/>
      </c>
      <c r="F90" t="str">
        <f>IF('Year 1'!$F113="","",'Year 1'!$F113)</f>
        <v/>
      </c>
      <c r="G90" s="312" t="str">
        <f>IF('Year 1'!$G113="","",'Year 1'!$G113)</f>
        <v/>
      </c>
      <c r="H90" t="str">
        <f>IF('Year 2'!$E113="","",'Year 2'!$E113)</f>
        <v/>
      </c>
      <c r="I90" t="str">
        <f>IF('Year 2'!$F113="","",'Year 2'!$F113)</f>
        <v/>
      </c>
      <c r="J90" s="312" t="str">
        <f>IF('Year 2'!$G113="","",'Year 2'!$G113)</f>
        <v/>
      </c>
      <c r="K90" t="str">
        <f>IF('Year 3'!$E113="","",'Year 3'!$E113)</f>
        <v/>
      </c>
      <c r="L90" t="str">
        <f>IF('Year 3'!$F113="","",'Year 3'!$F113)</f>
        <v/>
      </c>
      <c r="M90" s="312" t="str">
        <f>IF('Year 3'!$G113="","",'Year 3'!$G113)</f>
        <v/>
      </c>
      <c r="N90" t="str">
        <f>IF('Year 4'!$E113="","",'Year 4'!$E113)</f>
        <v/>
      </c>
      <c r="O90" t="str">
        <f>IF('Year 4'!$F113="","",'Year 4'!$F113)</f>
        <v/>
      </c>
      <c r="P90" s="312" t="str">
        <f>IF('Year 4'!$G113="","",'Year 4'!$G113)</f>
        <v/>
      </c>
      <c r="Q90" s="313" t="str">
        <f>IF('Year 5'!$E113="","",'Year 5'!$E113)</f>
        <v/>
      </c>
      <c r="R90" t="str">
        <f>IF('Year 5'!$F113="","",'Year 5'!$F113)</f>
        <v/>
      </c>
      <c r="S90" s="312" t="str">
        <f>IF('Year 5'!$G113="","",'Year 5'!$G113)</f>
        <v/>
      </c>
    </row>
    <row r="91" spans="2:19" x14ac:dyDescent="0.2">
      <c r="B91" s="307"/>
      <c r="E91" t="str">
        <f>IF('Year 1'!$E114="","",'Year 1'!$E114)</f>
        <v/>
      </c>
      <c r="F91" t="str">
        <f>IF('Year 1'!$F114="","",'Year 1'!$F114)</f>
        <v/>
      </c>
      <c r="G91" s="312" t="str">
        <f>IF('Year 1'!$G114="","",'Year 1'!$G114)</f>
        <v/>
      </c>
      <c r="H91" t="str">
        <f>IF('Year 2'!$E114="","",'Year 2'!$E114)</f>
        <v/>
      </c>
      <c r="I91" t="str">
        <f>IF('Year 2'!$F114="","",'Year 2'!$F114)</f>
        <v/>
      </c>
      <c r="J91" s="312" t="str">
        <f>IF('Year 2'!$G114="","",'Year 2'!$G114)</f>
        <v/>
      </c>
      <c r="K91" t="str">
        <f>IF('Year 3'!$E114="","",'Year 3'!$E114)</f>
        <v/>
      </c>
      <c r="L91" t="str">
        <f>IF('Year 3'!$F114="","",'Year 3'!$F114)</f>
        <v/>
      </c>
      <c r="M91" s="312" t="str">
        <f>IF('Year 3'!$G114="","",'Year 3'!$G114)</f>
        <v/>
      </c>
      <c r="N91" t="str">
        <f>IF('Year 4'!$E114="","",'Year 4'!$E114)</f>
        <v/>
      </c>
      <c r="O91" t="str">
        <f>IF('Year 4'!$F114="","",'Year 4'!$F114)</f>
        <v/>
      </c>
      <c r="P91" s="312" t="str">
        <f>IF('Year 4'!$G114="","",'Year 4'!$G114)</f>
        <v/>
      </c>
      <c r="Q91" s="313" t="str">
        <f>IF('Year 5'!$E114="","",'Year 5'!$E114)</f>
        <v/>
      </c>
      <c r="R91" t="str">
        <f>IF('Year 5'!$F114="","",'Year 5'!$F114)</f>
        <v/>
      </c>
      <c r="S91" s="312" t="str">
        <f>IF('Year 5'!$G114="","",'Year 5'!$G114)</f>
        <v/>
      </c>
    </row>
    <row r="92" spans="2:19" x14ac:dyDescent="0.2">
      <c r="B92" s="307" t="s">
        <v>17</v>
      </c>
      <c r="E92" t="str">
        <f>IF('Year 1'!$E117="","",'Year 1'!$E117)</f>
        <v>Year 1 (2020)</v>
      </c>
      <c r="F92" t="str">
        <f>IF('Year 1'!$F117="","",'Year 1'!$F117)</f>
        <v/>
      </c>
      <c r="G92" s="312" t="str">
        <f>IF('Year 1'!$G117="","",'Year 1'!$G117)</f>
        <v/>
      </c>
      <c r="H92" t="str">
        <f>IF('Year 2'!$E117="","",'Year 2'!$E117)</f>
        <v>Year 2 (2021)</v>
      </c>
      <c r="I92" t="str">
        <f>IF('Year 2'!$F117="","",'Year 2'!$F117)</f>
        <v/>
      </c>
      <c r="J92" s="312" t="str">
        <f>IF('Year 2'!$G117="","",'Year 2'!$G117)</f>
        <v/>
      </c>
      <c r="K92" t="str">
        <f>IF('Year 3'!$E117="","",'Year 3'!$E117)</f>
        <v>Year 3 (2022)</v>
      </c>
      <c r="L92" t="str">
        <f>IF('Year 3'!$F117="","",'Year 3'!$F117)</f>
        <v/>
      </c>
      <c r="M92" s="312" t="str">
        <f>IF('Year 3'!$G117="","",'Year 3'!$G117)</f>
        <v/>
      </c>
      <c r="N92" t="str">
        <f>IF('Year 4'!$E117="","",'Year 4'!$E117)</f>
        <v>Year 4 (2023)</v>
      </c>
      <c r="O92" t="str">
        <f>IF('Year 4'!$F117="","",'Year 4'!$F117)</f>
        <v/>
      </c>
      <c r="P92" s="312" t="str">
        <f>IF('Year 4'!$G117="","",'Year 4'!$G117)</f>
        <v/>
      </c>
      <c r="Q92" s="313" t="str">
        <f>IF('Year 5'!$E117="","",'Year 5'!$E117)</f>
        <v>Year 5 (2024)</v>
      </c>
      <c r="R92" t="str">
        <f>IF('Year 5'!$F117="","",'Year 5'!$F117)</f>
        <v/>
      </c>
      <c r="S92" s="312" t="str">
        <f>IF('Year 5'!$G117="","",'Year 5'!$G117)</f>
        <v/>
      </c>
    </row>
    <row r="93" spans="2:19" x14ac:dyDescent="0.2">
      <c r="B93" s="307"/>
      <c r="E93" t="str">
        <f>IF('Year 1'!$E118="","",'Year 1'!$E118)</f>
        <v/>
      </c>
      <c r="F93" t="str">
        <f>IF('Year 1'!$F118="","",'Year 1'!$F118)</f>
        <v/>
      </c>
      <c r="G93" s="312" t="str">
        <f>IF('Year 1'!$G118="","",'Year 1'!$G118)</f>
        <v>Period</v>
      </c>
      <c r="H93" t="str">
        <f>IF('Year 2'!$E118="","",'Year 2'!$E118)</f>
        <v/>
      </c>
      <c r="I93" t="str">
        <f>IF('Year 2'!$F118="","",'Year 2'!$F118)</f>
        <v/>
      </c>
      <c r="J93" s="312" t="str">
        <f>IF('Year 2'!$G118="","",'Year 2'!$G118)</f>
        <v>Period</v>
      </c>
      <c r="K93" t="str">
        <f>IF('Year 3'!$E118="","",'Year 3'!$E118)</f>
        <v/>
      </c>
      <c r="L93" t="str">
        <f>IF('Year 3'!$F118="","",'Year 3'!$F118)</f>
        <v/>
      </c>
      <c r="M93" s="312" t="str">
        <f>IF('Year 3'!$G118="","",'Year 3'!$G118)</f>
        <v>Period</v>
      </c>
      <c r="N93" t="str">
        <f>IF('Year 4'!$E118="","",'Year 4'!$E118)</f>
        <v/>
      </c>
      <c r="O93" t="str">
        <f>IF('Year 4'!$F118="","",'Year 4'!$F118)</f>
        <v/>
      </c>
      <c r="P93" s="312" t="str">
        <f>IF('Year 4'!$G118="","",'Year 4'!$G118)</f>
        <v>Period</v>
      </c>
      <c r="Q93" s="313" t="str">
        <f>IF('Year 5'!$E118="","",'Year 5'!$E118)</f>
        <v/>
      </c>
      <c r="R93" t="str">
        <f>IF('Year 5'!$F118="","",'Year 5'!$F118)</f>
        <v/>
      </c>
      <c r="S93" s="312" t="str">
        <f>IF('Year 5'!$G118="","",'Year 5'!$G118)</f>
        <v>Period</v>
      </c>
    </row>
    <row r="94" spans="2:19" x14ac:dyDescent="0.2">
      <c r="B94" s="307"/>
      <c r="E94" t="str">
        <f>IF('Year 1'!$E119="","",'Year 1'!$E119)</f>
        <v/>
      </c>
      <c r="F94" t="str">
        <f>IF('Year 1'!$F119="","",'Year 1'!$F119)</f>
        <v/>
      </c>
      <c r="G94" s="312" t="str">
        <f>IF('Year 1'!$G119="","",'Year 1'!$G119)</f>
        <v/>
      </c>
      <c r="H94" t="str">
        <f>IF('Year 2'!$E119="","",'Year 2'!$E119)</f>
        <v/>
      </c>
      <c r="I94" t="str">
        <f>IF('Year 2'!$F119="","",'Year 2'!$F119)</f>
        <v/>
      </c>
      <c r="J94" s="312" t="str">
        <f>IF('Year 2'!$G119="","",'Year 2'!$G119)</f>
        <v/>
      </c>
      <c r="K94" t="str">
        <f>IF('Year 3'!$E119="","",'Year 3'!$E119)</f>
        <v/>
      </c>
      <c r="L94" t="str">
        <f>IF('Year 3'!$F119="","",'Year 3'!$F119)</f>
        <v/>
      </c>
      <c r="M94" s="312" t="str">
        <f>IF('Year 3'!$G119="","",'Year 3'!$G119)</f>
        <v/>
      </c>
      <c r="N94" t="str">
        <f>IF('Year 4'!$E119="","",'Year 4'!$E119)</f>
        <v/>
      </c>
      <c r="O94" t="str">
        <f>IF('Year 4'!$F119="","",'Year 4'!$F119)</f>
        <v/>
      </c>
      <c r="P94" s="312" t="str">
        <f>IF('Year 4'!$G119="","",'Year 4'!$G119)</f>
        <v/>
      </c>
      <c r="Q94" s="313" t="str">
        <f>IF('Year 5'!$E119="","",'Year 5'!$E119)</f>
        <v/>
      </c>
      <c r="R94" t="str">
        <f>IF('Year 5'!$F119="","",'Year 5'!$F119)</f>
        <v/>
      </c>
      <c r="S94" s="312" t="str">
        <f>IF('Year 5'!$G119="","",'Year 5'!$G119)</f>
        <v/>
      </c>
    </row>
    <row r="95" spans="2:19" x14ac:dyDescent="0.2">
      <c r="B95" s="307" t="s">
        <v>31</v>
      </c>
      <c r="E95" t="str">
        <f>IF('Year 1'!$E120="","",'Year 1'!$E120)</f>
        <v>Monthly Cost</v>
      </c>
      <c r="F95" t="str">
        <f>IF('Year 1'!$F120="","",'Year 1'!$F120)</f>
        <v>Units</v>
      </c>
      <c r="G95" s="312" t="str">
        <f>IF('Year 1'!$G120="","",'Year 1'!$G120)</f>
        <v/>
      </c>
      <c r="H95" t="str">
        <f>IF('Year 2'!$E120="","",'Year 2'!$E120)</f>
        <v>Monthly Cost</v>
      </c>
      <c r="I95" t="str">
        <f>IF('Year 2'!$F120="","",'Year 2'!$F120)</f>
        <v>Units</v>
      </c>
      <c r="J95" s="312" t="str">
        <f>IF('Year 2'!$G120="","",'Year 2'!$G120)</f>
        <v/>
      </c>
      <c r="K95" t="str">
        <f>IF('Year 3'!$E120="","",'Year 3'!$E120)</f>
        <v>Monthly Cost</v>
      </c>
      <c r="L95" t="str">
        <f>IF('Year 3'!$F120="","",'Year 3'!$F120)</f>
        <v>Units</v>
      </c>
      <c r="M95" s="312" t="str">
        <f>IF('Year 3'!$G120="","",'Year 3'!$G120)</f>
        <v/>
      </c>
      <c r="N95" t="str">
        <f>IF('Year 4'!$E120="","",'Year 4'!$E120)</f>
        <v>Monthly Cost</v>
      </c>
      <c r="O95" t="str">
        <f>IF('Year 4'!$F120="","",'Year 4'!$F120)</f>
        <v>Units</v>
      </c>
      <c r="P95" s="312" t="str">
        <f>IF('Year 4'!$G120="","",'Year 4'!$G120)</f>
        <v/>
      </c>
      <c r="Q95" s="313" t="str">
        <f>IF('Year 5'!$E120="","",'Year 5'!$E120)</f>
        <v>Monthly Cost</v>
      </c>
      <c r="R95" t="str">
        <f>IF('Year 5'!$F120="","",'Year 5'!$F120)</f>
        <v>Units</v>
      </c>
      <c r="S95" s="312" t="str">
        <f>IF('Year 5'!$G120="","",'Year 5'!$G120)</f>
        <v/>
      </c>
    </row>
    <row r="96" spans="2:19" x14ac:dyDescent="0.2">
      <c r="B96" s="307"/>
      <c r="C96" t="s">
        <v>207</v>
      </c>
      <c r="E96">
        <f>IF('Year 1'!$E121="","",'Year 1'!$E121)</f>
        <v>500</v>
      </c>
      <c r="F96">
        <f>IF('Year 1'!$F121="","",'Year 1'!$F121)</f>
        <v>1</v>
      </c>
      <c r="G96" s="312" t="str">
        <f>IF('Year 1'!$G121="","",'Year 1'!$G121)</f>
        <v/>
      </c>
      <c r="H96">
        <f>IF('Year 2'!$E121="","",'Year 2'!$E121)</f>
        <v>500</v>
      </c>
      <c r="I96">
        <f>IF('Year 2'!$F121="","",'Year 2'!$F121)</f>
        <v>1</v>
      </c>
      <c r="J96" s="312" t="str">
        <f>IF('Year 2'!$G121="","",'Year 2'!$G121)</f>
        <v/>
      </c>
      <c r="K96">
        <f>IF('Year 3'!$E121="","",'Year 3'!$E121)</f>
        <v>500</v>
      </c>
      <c r="L96">
        <f>IF('Year 3'!$F121="","",'Year 3'!$F121)</f>
        <v>1</v>
      </c>
      <c r="M96" s="312" t="str">
        <f>IF('Year 3'!$G121="","",'Year 3'!$G121)</f>
        <v/>
      </c>
      <c r="N96">
        <f>IF('Year 4'!$E121="","",'Year 4'!$E121)</f>
        <v>500</v>
      </c>
      <c r="O96">
        <f>IF('Year 4'!$F121="","",'Year 4'!$F121)</f>
        <v>1</v>
      </c>
      <c r="P96" s="312" t="str">
        <f>IF('Year 4'!$G121="","",'Year 4'!$G121)</f>
        <v/>
      </c>
      <c r="Q96" s="313">
        <f>IF('Year 5'!$E121="","",'Year 5'!$E121)</f>
        <v>500</v>
      </c>
      <c r="R96">
        <f>IF('Year 5'!$F121="","",'Year 5'!$F121)</f>
        <v>1</v>
      </c>
      <c r="S96" s="312" t="str">
        <f>IF('Year 5'!$G121="","",'Year 5'!$G121)</f>
        <v/>
      </c>
    </row>
    <row r="97" spans="2:19" x14ac:dyDescent="0.2">
      <c r="B97" s="307"/>
      <c r="C97" s="318" t="s">
        <v>190</v>
      </c>
      <c r="D97" s="318"/>
      <c r="E97" s="318">
        <f>IF('Year 1'!$E122="","",'Year 1'!$E122)</f>
        <v>300</v>
      </c>
      <c r="F97" s="318">
        <f>IF('Year 1'!$F122="","",'Year 1'!$F122)</f>
        <v>2</v>
      </c>
      <c r="G97" s="319" t="str">
        <f>IF('Year 1'!$G122="","",'Year 1'!$G122)</f>
        <v/>
      </c>
      <c r="H97" s="318">
        <f>IF('Year 2'!$E122="","",'Year 2'!$E122)</f>
        <v>300</v>
      </c>
      <c r="I97" s="318">
        <f>IF('Year 2'!$F122="","",'Year 2'!$F122)</f>
        <v>2</v>
      </c>
      <c r="J97" s="319" t="str">
        <f>IF('Year 2'!$G122="","",'Year 2'!$G122)</f>
        <v/>
      </c>
      <c r="K97" s="318">
        <f>IF('Year 3'!$E122="","",'Year 3'!$E122)</f>
        <v>300</v>
      </c>
      <c r="L97" s="318">
        <f>IF('Year 3'!$F122="","",'Year 3'!$F122)</f>
        <v>2</v>
      </c>
      <c r="M97" s="319" t="str">
        <f>IF('Year 3'!$G122="","",'Year 3'!$G122)</f>
        <v/>
      </c>
      <c r="N97" s="318">
        <f>IF('Year 4'!$E122="","",'Year 4'!$E122)</f>
        <v>300</v>
      </c>
      <c r="O97" s="318">
        <f>IF('Year 4'!$F122="","",'Year 4'!$F122)</f>
        <v>2</v>
      </c>
      <c r="P97" s="319" t="str">
        <f>IF('Year 4'!$G122="","",'Year 4'!$G122)</f>
        <v/>
      </c>
      <c r="Q97" s="320">
        <f>IF('Year 5'!$E122="","",'Year 5'!$E122)</f>
        <v>300</v>
      </c>
      <c r="R97" s="318">
        <f>IF('Year 5'!$F122="","",'Year 5'!$F122)</f>
        <v>2</v>
      </c>
      <c r="S97" s="319" t="str">
        <f>IF('Year 5'!$G122="","",'Year 5'!$G122)</f>
        <v/>
      </c>
    </row>
    <row r="98" spans="2:19" x14ac:dyDescent="0.2">
      <c r="B98" s="307"/>
      <c r="C98" s="318" t="s">
        <v>191</v>
      </c>
      <c r="D98" s="318"/>
      <c r="E98" s="318">
        <f>IF('Year 1'!$E123="","",'Year 1'!$E123)</f>
        <v>0</v>
      </c>
      <c r="F98" s="318">
        <f>IF('Year 1'!$F123="","",'Year 1'!$F123)</f>
        <v>3</v>
      </c>
      <c r="G98" s="319" t="str">
        <f>IF('Year 1'!$G123="","",'Year 1'!$G123)</f>
        <v/>
      </c>
      <c r="H98" s="318">
        <f>IF('Year 2'!$E123="","",'Year 2'!$E123)</f>
        <v>0</v>
      </c>
      <c r="I98" s="318">
        <f>IF('Year 2'!$F123="","",'Year 2'!$F123)</f>
        <v>3</v>
      </c>
      <c r="J98" s="319" t="str">
        <f>IF('Year 2'!$G123="","",'Year 2'!$G123)</f>
        <v/>
      </c>
      <c r="K98" s="318">
        <f>IF('Year 3'!$E123="","",'Year 3'!$E123)</f>
        <v>0</v>
      </c>
      <c r="L98" s="318">
        <f>IF('Year 3'!$F123="","",'Year 3'!$F123)</f>
        <v>3</v>
      </c>
      <c r="M98" s="319" t="str">
        <f>IF('Year 3'!$G123="","",'Year 3'!$G123)</f>
        <v/>
      </c>
      <c r="N98" s="318">
        <f>IF('Year 4'!$E123="","",'Year 4'!$E123)</f>
        <v>0</v>
      </c>
      <c r="O98" s="318">
        <f>IF('Year 4'!$F123="","",'Year 4'!$F123)</f>
        <v>3</v>
      </c>
      <c r="P98" s="319" t="str">
        <f>IF('Year 4'!$G123="","",'Year 4'!$G123)</f>
        <v/>
      </c>
      <c r="Q98" s="320">
        <f>IF('Year 5'!$E123="","",'Year 5'!$E123)</f>
        <v>0</v>
      </c>
      <c r="R98" s="318">
        <f>IF('Year 5'!$F123="","",'Year 5'!$F123)</f>
        <v>3</v>
      </c>
      <c r="S98" s="319" t="str">
        <f>IF('Year 5'!$G123="","",'Year 5'!$G123)</f>
        <v/>
      </c>
    </row>
    <row r="99" spans="2:19" x14ac:dyDescent="0.2">
      <c r="B99" s="307"/>
      <c r="C99" s="318" t="s">
        <v>192</v>
      </c>
      <c r="D99" s="318"/>
      <c r="E99" s="318">
        <f>IF('Year 1'!$E124="","",'Year 1'!$E124)</f>
        <v>0</v>
      </c>
      <c r="F99" s="318">
        <f>IF('Year 1'!$F124="","",'Year 1'!$F124)</f>
        <v>1</v>
      </c>
      <c r="G99" s="319" t="str">
        <f>IF('Year 1'!$G124="","",'Year 1'!$G124)</f>
        <v/>
      </c>
      <c r="H99" s="318">
        <f>IF('Year 2'!$E124="","",'Year 2'!$E124)</f>
        <v>0</v>
      </c>
      <c r="I99" s="318">
        <f>IF('Year 2'!$F124="","",'Year 2'!$F124)</f>
        <v>1</v>
      </c>
      <c r="J99" s="319" t="str">
        <f>IF('Year 2'!$G124="","",'Year 2'!$G124)</f>
        <v/>
      </c>
      <c r="K99" s="318">
        <f>IF('Year 3'!$E124="","",'Year 3'!$E124)</f>
        <v>0</v>
      </c>
      <c r="L99" s="318">
        <f>IF('Year 3'!$F124="","",'Year 3'!$F124)</f>
        <v>1</v>
      </c>
      <c r="M99" s="319" t="str">
        <f>IF('Year 3'!$G124="","",'Year 3'!$G124)</f>
        <v/>
      </c>
      <c r="N99" s="318">
        <f>IF('Year 4'!$E124="","",'Year 4'!$E124)</f>
        <v>0</v>
      </c>
      <c r="O99" s="318">
        <f>IF('Year 4'!$F124="","",'Year 4'!$F124)</f>
        <v>1</v>
      </c>
      <c r="P99" s="319" t="str">
        <f>IF('Year 4'!$G124="","",'Year 4'!$G124)</f>
        <v/>
      </c>
      <c r="Q99" s="320">
        <f>IF('Year 5'!$E124="","",'Year 5'!$E124)</f>
        <v>0</v>
      </c>
      <c r="R99" s="318">
        <f>IF('Year 5'!$F124="","",'Year 5'!$F124)</f>
        <v>1</v>
      </c>
      <c r="S99" s="319" t="str">
        <f>IF('Year 5'!$G124="","",'Year 5'!$G124)</f>
        <v/>
      </c>
    </row>
    <row r="100" spans="2:19" x14ac:dyDescent="0.2">
      <c r="B100" s="307"/>
      <c r="C100" s="318" t="s">
        <v>193</v>
      </c>
      <c r="D100" s="318"/>
      <c r="E100" s="318">
        <f>IF('Year 1'!$E125="","",'Year 1'!$E125)</f>
        <v>200</v>
      </c>
      <c r="F100" s="318">
        <f>IF('Year 1'!$F125="","",'Year 1'!$F125)</f>
        <v>1</v>
      </c>
      <c r="G100" s="319" t="str">
        <f>IF('Year 1'!$G125="","",'Year 1'!$G125)</f>
        <v/>
      </c>
      <c r="H100" s="318">
        <f>IF('Year 2'!$E125="","",'Year 2'!$E125)</f>
        <v>200</v>
      </c>
      <c r="I100" s="318">
        <f>IF('Year 2'!$F125="","",'Year 2'!$F125)</f>
        <v>1</v>
      </c>
      <c r="J100" s="319" t="str">
        <f>IF('Year 2'!$G125="","",'Year 2'!$G125)</f>
        <v/>
      </c>
      <c r="K100" s="318">
        <f>IF('Year 3'!$E125="","",'Year 3'!$E125)</f>
        <v>200</v>
      </c>
      <c r="L100" s="318">
        <f>IF('Year 3'!$F125="","",'Year 3'!$F125)</f>
        <v>1</v>
      </c>
      <c r="M100" s="319" t="str">
        <f>IF('Year 3'!$G125="","",'Year 3'!$G125)</f>
        <v/>
      </c>
      <c r="N100" s="318">
        <f>IF('Year 4'!$E125="","",'Year 4'!$E125)</f>
        <v>200</v>
      </c>
      <c r="O100" s="318">
        <f>IF('Year 4'!$F125="","",'Year 4'!$F125)</f>
        <v>1</v>
      </c>
      <c r="P100" s="319" t="str">
        <f>IF('Year 4'!$G125="","",'Year 4'!$G125)</f>
        <v/>
      </c>
      <c r="Q100" s="320">
        <f>IF('Year 5'!$E125="","",'Year 5'!$E125)</f>
        <v>200</v>
      </c>
      <c r="R100" s="318">
        <f>IF('Year 5'!$F125="","",'Year 5'!$F125)</f>
        <v>1</v>
      </c>
      <c r="S100" s="319" t="str">
        <f>IF('Year 5'!$G125="","",'Year 5'!$G125)</f>
        <v/>
      </c>
    </row>
    <row r="101" spans="2:19" x14ac:dyDescent="0.2">
      <c r="B101" s="307"/>
      <c r="C101" s="318" t="s">
        <v>194</v>
      </c>
      <c r="D101" s="318"/>
      <c r="E101" s="318">
        <f>IF('Year 1'!$E126="","",'Year 1'!$E126)</f>
        <v>0</v>
      </c>
      <c r="F101" s="318">
        <f>IF('Year 1'!$F126="","",'Year 1'!$F126)</f>
        <v>2</v>
      </c>
      <c r="G101" s="319" t="str">
        <f>IF('Year 1'!$G126="","",'Year 1'!$G126)</f>
        <v/>
      </c>
      <c r="H101" s="318">
        <f>IF('Year 2'!$E126="","",'Year 2'!$E126)</f>
        <v>0</v>
      </c>
      <c r="I101" s="318">
        <f>IF('Year 2'!$F126="","",'Year 2'!$F126)</f>
        <v>2</v>
      </c>
      <c r="J101" s="319" t="str">
        <f>IF('Year 2'!$G126="","",'Year 2'!$G126)</f>
        <v/>
      </c>
      <c r="K101" s="318">
        <f>IF('Year 3'!$E126="","",'Year 3'!$E126)</f>
        <v>0</v>
      </c>
      <c r="L101" s="318">
        <f>IF('Year 3'!$F126="","",'Year 3'!$F126)</f>
        <v>2</v>
      </c>
      <c r="M101" s="319" t="str">
        <f>IF('Year 3'!$G126="","",'Year 3'!$G126)</f>
        <v/>
      </c>
      <c r="N101" s="318">
        <f>IF('Year 4'!$E126="","",'Year 4'!$E126)</f>
        <v>0</v>
      </c>
      <c r="O101" s="318">
        <f>IF('Year 4'!$F126="","",'Year 4'!$F126)</f>
        <v>2</v>
      </c>
      <c r="P101" s="319" t="str">
        <f>IF('Year 4'!$G126="","",'Year 4'!$G126)</f>
        <v/>
      </c>
      <c r="Q101" s="320">
        <f>IF('Year 5'!$E126="","",'Year 5'!$E126)</f>
        <v>0</v>
      </c>
      <c r="R101" s="318">
        <f>IF('Year 5'!$F126="","",'Year 5'!$F126)</f>
        <v>2</v>
      </c>
      <c r="S101" s="319" t="str">
        <f>IF('Year 5'!$G126="","",'Year 5'!$G126)</f>
        <v/>
      </c>
    </row>
    <row r="102" spans="2:19" x14ac:dyDescent="0.2">
      <c r="B102" s="307"/>
      <c r="C102" s="318" t="s">
        <v>195</v>
      </c>
      <c r="D102" s="318"/>
      <c r="E102" s="318">
        <f>IF('Year 1'!$E127="","",'Year 1'!$E127)</f>
        <v>0</v>
      </c>
      <c r="F102" s="318">
        <f>IF('Year 1'!$F127="","",'Year 1'!$F127)</f>
        <v>1</v>
      </c>
      <c r="G102" s="319" t="str">
        <f>IF('Year 1'!$G127="","",'Year 1'!$G127)</f>
        <v/>
      </c>
      <c r="H102" s="318">
        <f>IF('Year 2'!$E127="","",'Year 2'!$E127)</f>
        <v>0</v>
      </c>
      <c r="I102" s="318">
        <f>IF('Year 2'!$F127="","",'Year 2'!$F127)</f>
        <v>1</v>
      </c>
      <c r="J102" s="319" t="str">
        <f>IF('Year 2'!$G127="","",'Year 2'!$G127)</f>
        <v/>
      </c>
      <c r="K102" s="318">
        <f>IF('Year 3'!$E127="","",'Year 3'!$E127)</f>
        <v>0</v>
      </c>
      <c r="L102" s="318">
        <f>IF('Year 3'!$F127="","",'Year 3'!$F127)</f>
        <v>1</v>
      </c>
      <c r="M102" s="319" t="str">
        <f>IF('Year 3'!$G127="","",'Year 3'!$G127)</f>
        <v/>
      </c>
      <c r="N102" s="318">
        <f>IF('Year 4'!$E127="","",'Year 4'!$E127)</f>
        <v>0</v>
      </c>
      <c r="O102" s="318">
        <f>IF('Year 4'!$F127="","",'Year 4'!$F127)</f>
        <v>1</v>
      </c>
      <c r="P102" s="319" t="str">
        <f>IF('Year 4'!$G127="","",'Year 4'!$G127)</f>
        <v/>
      </c>
      <c r="Q102" s="320">
        <f>IF('Year 5'!$E127="","",'Year 5'!$E127)</f>
        <v>0</v>
      </c>
      <c r="R102" s="318">
        <f>IF('Year 5'!$F127="","",'Year 5'!$F127)</f>
        <v>1</v>
      </c>
      <c r="S102" s="319" t="str">
        <f>IF('Year 5'!$G127="","",'Year 5'!$G127)</f>
        <v/>
      </c>
    </row>
    <row r="103" spans="2:19" x14ac:dyDescent="0.2">
      <c r="B103" s="307"/>
      <c r="C103" s="318" t="s">
        <v>196</v>
      </c>
      <c r="D103" s="318"/>
      <c r="E103" s="318">
        <f>IF('Year 1'!$E128="","",'Year 1'!$E128)</f>
        <v>0</v>
      </c>
      <c r="F103" s="318">
        <f>IF('Year 1'!$F128="","",'Year 1'!$F128)</f>
        <v>1</v>
      </c>
      <c r="G103" s="319" t="str">
        <f>IF('Year 1'!$G128="","",'Year 1'!$G128)</f>
        <v/>
      </c>
      <c r="H103" s="318">
        <f>IF('Year 2'!$E128="","",'Year 2'!$E128)</f>
        <v>0</v>
      </c>
      <c r="I103" s="318">
        <f>IF('Year 2'!$F128="","",'Year 2'!$F128)</f>
        <v>1</v>
      </c>
      <c r="J103" s="319" t="str">
        <f>IF('Year 2'!$G128="","",'Year 2'!$G128)</f>
        <v/>
      </c>
      <c r="K103" s="318">
        <f>IF('Year 3'!$E128="","",'Year 3'!$E128)</f>
        <v>0</v>
      </c>
      <c r="L103" s="318">
        <f>IF('Year 3'!$F128="","",'Year 3'!$F128)</f>
        <v>1</v>
      </c>
      <c r="M103" s="319" t="str">
        <f>IF('Year 3'!$G128="","",'Year 3'!$G128)</f>
        <v/>
      </c>
      <c r="N103" s="318">
        <f>IF('Year 4'!$E128="","",'Year 4'!$E128)</f>
        <v>0</v>
      </c>
      <c r="O103" s="318">
        <f>IF('Year 4'!$F128="","",'Year 4'!$F128)</f>
        <v>1</v>
      </c>
      <c r="P103" s="319" t="str">
        <f>IF('Year 4'!$G128="","",'Year 4'!$G128)</f>
        <v/>
      </c>
      <c r="Q103" s="320">
        <f>IF('Year 5'!$E128="","",'Year 5'!$E128)</f>
        <v>0</v>
      </c>
      <c r="R103" s="318">
        <f>IF('Year 5'!$F128="","",'Year 5'!$F128)</f>
        <v>1</v>
      </c>
      <c r="S103" s="319" t="str">
        <f>IF('Year 5'!$G128="","",'Year 5'!$G128)</f>
        <v/>
      </c>
    </row>
    <row r="104" spans="2:19" x14ac:dyDescent="0.2">
      <c r="B104" s="307"/>
      <c r="C104" s="318" t="s">
        <v>197</v>
      </c>
      <c r="D104" s="318"/>
      <c r="E104" s="318">
        <f>IF('Year 1'!$E129="","",'Year 1'!$E129)</f>
        <v>0</v>
      </c>
      <c r="F104" s="318">
        <f>IF('Year 1'!$F129="","",'Year 1'!$F129)</f>
        <v>1</v>
      </c>
      <c r="G104" s="319" t="str">
        <f>IF('Year 1'!$G129="","",'Year 1'!$G129)</f>
        <v/>
      </c>
      <c r="H104" s="318">
        <f>IF('Year 2'!$E129="","",'Year 2'!$E129)</f>
        <v>0</v>
      </c>
      <c r="I104" s="318">
        <f>IF('Year 2'!$F129="","",'Year 2'!$F129)</f>
        <v>1</v>
      </c>
      <c r="J104" s="319" t="str">
        <f>IF('Year 2'!$G129="","",'Year 2'!$G129)</f>
        <v/>
      </c>
      <c r="K104" s="318">
        <f>IF('Year 3'!$E129="","",'Year 3'!$E129)</f>
        <v>0</v>
      </c>
      <c r="L104" s="318">
        <f>IF('Year 3'!$F129="","",'Year 3'!$F129)</f>
        <v>1</v>
      </c>
      <c r="M104" s="319" t="str">
        <f>IF('Year 3'!$G129="","",'Year 3'!$G129)</f>
        <v/>
      </c>
      <c r="N104" s="318">
        <f>IF('Year 4'!$E129="","",'Year 4'!$E129)</f>
        <v>0</v>
      </c>
      <c r="O104" s="318">
        <f>IF('Year 4'!$F129="","",'Year 4'!$F129)</f>
        <v>1</v>
      </c>
      <c r="P104" s="319" t="str">
        <f>IF('Year 4'!$G129="","",'Year 4'!$G129)</f>
        <v/>
      </c>
      <c r="Q104" s="320">
        <f>IF('Year 5'!$E129="","",'Year 5'!$E129)</f>
        <v>0</v>
      </c>
      <c r="R104" s="318">
        <f>IF('Year 5'!$F129="","",'Year 5'!$F129)</f>
        <v>1</v>
      </c>
      <c r="S104" s="319" t="str">
        <f>IF('Year 5'!$G129="","",'Year 5'!$G129)</f>
        <v/>
      </c>
    </row>
    <row r="105" spans="2:19" x14ac:dyDescent="0.2">
      <c r="B105" s="307"/>
      <c r="C105" s="318" t="s">
        <v>198</v>
      </c>
      <c r="D105" s="318"/>
      <c r="E105" s="318">
        <f>IF('Year 1'!$E130="","",'Year 1'!$E130)</f>
        <v>0</v>
      </c>
      <c r="F105" s="318">
        <f>IF('Year 1'!$F130="","",'Year 1'!$F130)</f>
        <v>1</v>
      </c>
      <c r="G105" s="319" t="str">
        <f>IF('Year 1'!$G130="","",'Year 1'!$G130)</f>
        <v/>
      </c>
      <c r="H105" s="318">
        <f>IF('Year 2'!$E130="","",'Year 2'!$E130)</f>
        <v>0</v>
      </c>
      <c r="I105" s="318">
        <f>IF('Year 2'!$F130="","",'Year 2'!$F130)</f>
        <v>1</v>
      </c>
      <c r="J105" s="319" t="str">
        <f>IF('Year 2'!$G130="","",'Year 2'!$G130)</f>
        <v/>
      </c>
      <c r="K105" s="318">
        <f>IF('Year 3'!$E130="","",'Year 3'!$E130)</f>
        <v>0</v>
      </c>
      <c r="L105" s="318">
        <f>IF('Year 3'!$F130="","",'Year 3'!$F130)</f>
        <v>1</v>
      </c>
      <c r="M105" s="319" t="str">
        <f>IF('Year 3'!$G130="","",'Year 3'!$G130)</f>
        <v/>
      </c>
      <c r="N105" s="318">
        <f>IF('Year 4'!$E130="","",'Year 4'!$E130)</f>
        <v>0</v>
      </c>
      <c r="O105" s="318">
        <f>IF('Year 4'!$F130="","",'Year 4'!$F130)</f>
        <v>1</v>
      </c>
      <c r="P105" s="319" t="str">
        <f>IF('Year 4'!$G130="","",'Year 4'!$G130)</f>
        <v/>
      </c>
      <c r="Q105" s="320">
        <f>IF('Year 5'!$E130="","",'Year 5'!$E130)</f>
        <v>0</v>
      </c>
      <c r="R105" s="318">
        <f>IF('Year 5'!$F130="","",'Year 5'!$F130)</f>
        <v>1</v>
      </c>
      <c r="S105" s="319" t="str">
        <f>IF('Year 5'!$G130="","",'Year 5'!$G130)</f>
        <v/>
      </c>
    </row>
    <row r="106" spans="2:19" x14ac:dyDescent="0.2">
      <c r="B106" s="307"/>
      <c r="C106" s="318" t="s">
        <v>32</v>
      </c>
      <c r="D106" s="318"/>
      <c r="E106" s="318">
        <f>IF('Year 1'!$E131="","",'Year 1'!$E131)</f>
        <v>200</v>
      </c>
      <c r="F106" s="318">
        <f>IF('Year 1'!$F131="","",'Year 1'!$F131)</f>
        <v>1</v>
      </c>
      <c r="G106" s="319" t="str">
        <f>IF('Year 1'!$G131="","",'Year 1'!$G131)</f>
        <v/>
      </c>
      <c r="H106" s="318">
        <f>IF('Year 2'!$E131="","",'Year 2'!$E131)</f>
        <v>200</v>
      </c>
      <c r="I106" s="318">
        <f>IF('Year 2'!$F131="","",'Year 2'!$F131)</f>
        <v>1</v>
      </c>
      <c r="J106" s="319" t="str">
        <f>IF('Year 2'!$G131="","",'Year 2'!$G131)</f>
        <v/>
      </c>
      <c r="K106" s="318">
        <f>IF('Year 3'!$E131="","",'Year 3'!$E131)</f>
        <v>200</v>
      </c>
      <c r="L106" s="318">
        <f>IF('Year 3'!$F131="","",'Year 3'!$F131)</f>
        <v>1</v>
      </c>
      <c r="M106" s="319" t="str">
        <f>IF('Year 3'!$G131="","",'Year 3'!$G131)</f>
        <v/>
      </c>
      <c r="N106" s="318">
        <f>IF('Year 4'!$E131="","",'Year 4'!$E131)</f>
        <v>200</v>
      </c>
      <c r="O106" s="318">
        <f>IF('Year 4'!$F131="","",'Year 4'!$F131)</f>
        <v>1</v>
      </c>
      <c r="P106" s="319" t="str">
        <f>IF('Year 4'!$G131="","",'Year 4'!$G131)</f>
        <v/>
      </c>
      <c r="Q106" s="320">
        <f>IF('Year 5'!$E131="","",'Year 5'!$E131)</f>
        <v>200</v>
      </c>
      <c r="R106" s="318">
        <f>IF('Year 5'!$F131="","",'Year 5'!$F131)</f>
        <v>1</v>
      </c>
      <c r="S106" s="319" t="str">
        <f>IF('Year 5'!$G131="","",'Year 5'!$G131)</f>
        <v/>
      </c>
    </row>
    <row r="107" spans="2:19" x14ac:dyDescent="0.2">
      <c r="B107" s="307"/>
      <c r="C107" s="318" t="s">
        <v>199</v>
      </c>
      <c r="D107" s="318"/>
      <c r="E107" s="318">
        <f>IF('Year 1'!$E132="","",'Year 1'!$E132)</f>
        <v>3000</v>
      </c>
      <c r="F107" s="318">
        <f>IF('Year 1'!$F132="","",'Year 1'!$F132)</f>
        <v>1</v>
      </c>
      <c r="G107" s="319" t="str">
        <f>IF('Year 1'!$G132="","",'Year 1'!$G132)</f>
        <v/>
      </c>
      <c r="H107" s="318">
        <f>IF('Year 2'!$E132="","",'Year 2'!$E132)</f>
        <v>3000</v>
      </c>
      <c r="I107" s="318">
        <f>IF('Year 2'!$F132="","",'Year 2'!$F132)</f>
        <v>1</v>
      </c>
      <c r="J107" s="319" t="str">
        <f>IF('Year 2'!$G132="","",'Year 2'!$G132)</f>
        <v/>
      </c>
      <c r="K107" s="318">
        <f>IF('Year 3'!$E132="","",'Year 3'!$E132)</f>
        <v>3000</v>
      </c>
      <c r="L107" s="318">
        <f>IF('Year 3'!$F132="","",'Year 3'!$F132)</f>
        <v>1</v>
      </c>
      <c r="M107" s="319" t="str">
        <f>IF('Year 3'!$G132="","",'Year 3'!$G132)</f>
        <v/>
      </c>
      <c r="N107" s="318">
        <f>IF('Year 4'!$E132="","",'Year 4'!$E132)</f>
        <v>3000</v>
      </c>
      <c r="O107" s="318">
        <f>IF('Year 4'!$F132="","",'Year 4'!$F132)</f>
        <v>1</v>
      </c>
      <c r="P107" s="319" t="str">
        <f>IF('Year 4'!$G132="","",'Year 4'!$G132)</f>
        <v/>
      </c>
      <c r="Q107" s="320">
        <f>IF('Year 5'!$E132="","",'Year 5'!$E132)</f>
        <v>3000</v>
      </c>
      <c r="R107" s="318">
        <f>IF('Year 5'!$F132="","",'Year 5'!$F132)</f>
        <v>1</v>
      </c>
      <c r="S107" s="319" t="str">
        <f>IF('Year 5'!$G132="","",'Year 5'!$G132)</f>
        <v/>
      </c>
    </row>
    <row r="108" spans="2:19" x14ac:dyDescent="0.2">
      <c r="B108" s="307"/>
      <c r="C108" s="318" t="s">
        <v>200</v>
      </c>
      <c r="D108" s="318"/>
      <c r="E108" s="318">
        <f>IF('Year 1'!$E133="","",'Year 1'!$E133)</f>
        <v>740</v>
      </c>
      <c r="F108" s="318">
        <f>IF('Year 1'!$F133="","",'Year 1'!$F133)</f>
        <v>1</v>
      </c>
      <c r="G108" s="319" t="str">
        <f>IF('Year 1'!$G133="","",'Year 1'!$G133)</f>
        <v/>
      </c>
      <c r="H108" s="318">
        <f>IF('Year 2'!$E133="","",'Year 2'!$E133)</f>
        <v>740</v>
      </c>
      <c r="I108" s="318">
        <f>IF('Year 2'!$F133="","",'Year 2'!$F133)</f>
        <v>1</v>
      </c>
      <c r="J108" s="319" t="str">
        <f>IF('Year 2'!$G133="","",'Year 2'!$G133)</f>
        <v/>
      </c>
      <c r="K108" s="318">
        <f>IF('Year 3'!$E133="","",'Year 3'!$E133)</f>
        <v>740</v>
      </c>
      <c r="L108" s="318">
        <f>IF('Year 3'!$F133="","",'Year 3'!$F133)</f>
        <v>1</v>
      </c>
      <c r="M108" s="319" t="str">
        <f>IF('Year 3'!$G133="","",'Year 3'!$G133)</f>
        <v/>
      </c>
      <c r="N108" s="318">
        <f>IF('Year 4'!$E133="","",'Year 4'!$E133)</f>
        <v>740</v>
      </c>
      <c r="O108" s="318">
        <f>IF('Year 4'!$F133="","",'Year 4'!$F133)</f>
        <v>1</v>
      </c>
      <c r="P108" s="319" t="str">
        <f>IF('Year 4'!$G133="","",'Year 4'!$G133)</f>
        <v/>
      </c>
      <c r="Q108" s="320">
        <f>IF('Year 5'!$E133="","",'Year 5'!$E133)</f>
        <v>740</v>
      </c>
      <c r="R108" s="318">
        <f>IF('Year 5'!$F133="","",'Year 5'!$F133)</f>
        <v>1</v>
      </c>
      <c r="S108" s="319" t="str">
        <f>IF('Year 5'!$G133="","",'Year 5'!$G133)</f>
        <v/>
      </c>
    </row>
    <row r="109" spans="2:19" x14ac:dyDescent="0.2">
      <c r="B109" s="307"/>
      <c r="C109" s="318" t="s">
        <v>201</v>
      </c>
      <c r="D109" s="318"/>
      <c r="E109" s="318">
        <f>IF('Year 1'!$E134="","",'Year 1'!$E134)</f>
        <v>0</v>
      </c>
      <c r="F109" s="318">
        <f>IF('Year 1'!$F134="","",'Year 1'!$F134)</f>
        <v>1</v>
      </c>
      <c r="G109" s="319" t="str">
        <f>IF('Year 1'!$G134="","",'Year 1'!$G134)</f>
        <v/>
      </c>
      <c r="H109" s="318">
        <f>IF('Year 2'!$E134="","",'Year 2'!$E134)</f>
        <v>0</v>
      </c>
      <c r="I109" s="318">
        <f>IF('Year 2'!$F134="","",'Year 2'!$F134)</f>
        <v>1</v>
      </c>
      <c r="J109" s="319" t="str">
        <f>IF('Year 2'!$G134="","",'Year 2'!$G134)</f>
        <v/>
      </c>
      <c r="K109" s="318">
        <f>IF('Year 3'!$E134="","",'Year 3'!$E134)</f>
        <v>0</v>
      </c>
      <c r="L109" s="318">
        <f>IF('Year 3'!$F134="","",'Year 3'!$F134)</f>
        <v>1</v>
      </c>
      <c r="M109" s="319" t="str">
        <f>IF('Year 3'!$G134="","",'Year 3'!$G134)</f>
        <v/>
      </c>
      <c r="N109" s="318">
        <f>IF('Year 4'!$E134="","",'Year 4'!$E134)</f>
        <v>0</v>
      </c>
      <c r="O109" s="318">
        <f>IF('Year 4'!$F134="","",'Year 4'!$F134)</f>
        <v>1</v>
      </c>
      <c r="P109" s="319" t="str">
        <f>IF('Year 4'!$G134="","",'Year 4'!$G134)</f>
        <v/>
      </c>
      <c r="Q109" s="320">
        <f>IF('Year 5'!$E134="","",'Year 5'!$E134)</f>
        <v>0</v>
      </c>
      <c r="R109" s="318">
        <f>IF('Year 5'!$F134="","",'Year 5'!$F134)</f>
        <v>1</v>
      </c>
      <c r="S109" s="319" t="str">
        <f>IF('Year 5'!$G134="","",'Year 5'!$G134)</f>
        <v/>
      </c>
    </row>
    <row r="110" spans="2:19" x14ac:dyDescent="0.2">
      <c r="B110" s="307"/>
      <c r="C110" s="318" t="s">
        <v>202</v>
      </c>
      <c r="D110" s="318"/>
      <c r="E110" s="318">
        <f>IF('Year 1'!$E135="","",'Year 1'!$E135)</f>
        <v>0</v>
      </c>
      <c r="F110" s="318">
        <f>IF('Year 1'!$F135="","",'Year 1'!$F135)</f>
        <v>1</v>
      </c>
      <c r="G110" s="319" t="str">
        <f>IF('Year 1'!$G135="","",'Year 1'!$G135)</f>
        <v/>
      </c>
      <c r="H110" s="318">
        <f>IF('Year 2'!$E135="","",'Year 2'!$E135)</f>
        <v>0</v>
      </c>
      <c r="I110" s="318">
        <f>IF('Year 2'!$F135="","",'Year 2'!$F135)</f>
        <v>1</v>
      </c>
      <c r="J110" s="319" t="str">
        <f>IF('Year 2'!$G135="","",'Year 2'!$G135)</f>
        <v/>
      </c>
      <c r="K110" s="318">
        <f>IF('Year 3'!$E135="","",'Year 3'!$E135)</f>
        <v>0</v>
      </c>
      <c r="L110" s="318">
        <f>IF('Year 3'!$F135="","",'Year 3'!$F135)</f>
        <v>1</v>
      </c>
      <c r="M110" s="319" t="str">
        <f>IF('Year 3'!$G135="","",'Year 3'!$G135)</f>
        <v/>
      </c>
      <c r="N110" s="318">
        <f>IF('Year 4'!$E135="","",'Year 4'!$E135)</f>
        <v>0</v>
      </c>
      <c r="O110" s="318">
        <f>IF('Year 4'!$F135="","",'Year 4'!$F135)</f>
        <v>1</v>
      </c>
      <c r="P110" s="319" t="str">
        <f>IF('Year 4'!$G135="","",'Year 4'!$G135)</f>
        <v/>
      </c>
      <c r="Q110" s="320">
        <f>IF('Year 5'!$E135="","",'Year 5'!$E135)</f>
        <v>0</v>
      </c>
      <c r="R110" s="318">
        <f>IF('Year 5'!$F135="","",'Year 5'!$F135)</f>
        <v>1</v>
      </c>
      <c r="S110" s="319" t="str">
        <f>IF('Year 5'!$G135="","",'Year 5'!$G135)</f>
        <v/>
      </c>
    </row>
    <row r="111" spans="2:19" x14ac:dyDescent="0.2">
      <c r="B111" s="307"/>
      <c r="C111" s="318" t="s">
        <v>203</v>
      </c>
      <c r="D111" s="318"/>
      <c r="E111" s="318">
        <f>IF('Year 1'!$E136="","",'Year 1'!$E136)</f>
        <v>0</v>
      </c>
      <c r="F111" s="318">
        <f>IF('Year 1'!$F136="","",'Year 1'!$F136)</f>
        <v>1</v>
      </c>
      <c r="G111" s="319" t="str">
        <f>IF('Year 1'!$G136="","",'Year 1'!$G136)</f>
        <v/>
      </c>
      <c r="H111" s="318">
        <f>IF('Year 2'!$E136="","",'Year 2'!$E136)</f>
        <v>0</v>
      </c>
      <c r="I111" s="318">
        <f>IF('Year 2'!$F136="","",'Year 2'!$F136)</f>
        <v>1</v>
      </c>
      <c r="J111" s="319" t="str">
        <f>IF('Year 2'!$G136="","",'Year 2'!$G136)</f>
        <v/>
      </c>
      <c r="K111" s="318">
        <f>IF('Year 3'!$E136="","",'Year 3'!$E136)</f>
        <v>0</v>
      </c>
      <c r="L111" s="318">
        <f>IF('Year 3'!$F136="","",'Year 3'!$F136)</f>
        <v>1</v>
      </c>
      <c r="M111" s="319" t="str">
        <f>IF('Year 3'!$G136="","",'Year 3'!$G136)</f>
        <v/>
      </c>
      <c r="N111" s="318">
        <f>IF('Year 4'!$E136="","",'Year 4'!$E136)</f>
        <v>0</v>
      </c>
      <c r="O111" s="318">
        <f>IF('Year 4'!$F136="","",'Year 4'!$F136)</f>
        <v>1</v>
      </c>
      <c r="P111" s="319" t="str">
        <f>IF('Year 4'!$G136="","",'Year 4'!$G136)</f>
        <v/>
      </c>
      <c r="Q111" s="320">
        <f>IF('Year 5'!$E136="","",'Year 5'!$E136)</f>
        <v>0</v>
      </c>
      <c r="R111" s="318">
        <f>IF('Year 5'!$F136="","",'Year 5'!$F136)</f>
        <v>1</v>
      </c>
      <c r="S111" s="319" t="str">
        <f>IF('Year 5'!$G136="","",'Year 5'!$G136)</f>
        <v/>
      </c>
    </row>
    <row r="112" spans="2:19" x14ac:dyDescent="0.2">
      <c r="B112" s="307"/>
      <c r="C112" s="318" t="s">
        <v>204</v>
      </c>
      <c r="D112" s="318"/>
      <c r="E112" s="318">
        <f>IF('Year 1'!$E137="","",'Year 1'!$E137)</f>
        <v>0</v>
      </c>
      <c r="F112" s="318">
        <f>IF('Year 1'!$F137="","",'Year 1'!$F137)</f>
        <v>1</v>
      </c>
      <c r="G112" s="319" t="str">
        <f>IF('Year 1'!$G137="","",'Year 1'!$G137)</f>
        <v/>
      </c>
      <c r="H112" s="318">
        <f>IF('Year 2'!$E137="","",'Year 2'!$E137)</f>
        <v>0</v>
      </c>
      <c r="I112" s="318">
        <f>IF('Year 2'!$F137="","",'Year 2'!$F137)</f>
        <v>1</v>
      </c>
      <c r="J112" s="319" t="str">
        <f>IF('Year 2'!$G137="","",'Year 2'!$G137)</f>
        <v/>
      </c>
      <c r="K112" s="318">
        <f>IF('Year 3'!$E137="","",'Year 3'!$E137)</f>
        <v>0</v>
      </c>
      <c r="L112" s="318">
        <f>IF('Year 3'!$F137="","",'Year 3'!$F137)</f>
        <v>1</v>
      </c>
      <c r="M112" s="319" t="str">
        <f>IF('Year 3'!$G137="","",'Year 3'!$G137)</f>
        <v/>
      </c>
      <c r="N112" s="318">
        <f>IF('Year 4'!$E137="","",'Year 4'!$E137)</f>
        <v>0</v>
      </c>
      <c r="O112" s="318">
        <f>IF('Year 4'!$F137="","",'Year 4'!$F137)</f>
        <v>1</v>
      </c>
      <c r="P112" s="319" t="str">
        <f>IF('Year 4'!$G137="","",'Year 4'!$G137)</f>
        <v/>
      </c>
      <c r="Q112" s="320">
        <f>IF('Year 5'!$E137="","",'Year 5'!$E137)</f>
        <v>0</v>
      </c>
      <c r="R112" s="318">
        <f>IF('Year 5'!$F137="","",'Year 5'!$F137)</f>
        <v>1</v>
      </c>
      <c r="S112" s="319" t="str">
        <f>IF('Year 5'!$G137="","",'Year 5'!$G137)</f>
        <v/>
      </c>
    </row>
    <row r="113" spans="2:19" x14ac:dyDescent="0.2">
      <c r="B113" s="307"/>
      <c r="C113" s="318" t="s">
        <v>205</v>
      </c>
      <c r="D113" s="318"/>
      <c r="E113" s="318">
        <f>IF('Year 1'!$E138="","",'Year 1'!$E138)</f>
        <v>150</v>
      </c>
      <c r="F113" s="318">
        <f>IF('Year 1'!$F138="","",'Year 1'!$F138)</f>
        <v>1</v>
      </c>
      <c r="G113" s="319" t="str">
        <f>IF('Year 1'!$G138="","",'Year 1'!$G138)</f>
        <v/>
      </c>
      <c r="H113" s="318">
        <f>IF('Year 2'!$E138="","",'Year 2'!$E138)</f>
        <v>150</v>
      </c>
      <c r="I113" s="318">
        <f>IF('Year 2'!$F138="","",'Year 2'!$F138)</f>
        <v>1</v>
      </c>
      <c r="J113" s="319" t="str">
        <f>IF('Year 2'!$G138="","",'Year 2'!$G138)</f>
        <v/>
      </c>
      <c r="K113" s="318">
        <f>IF('Year 3'!$E138="","",'Year 3'!$E138)</f>
        <v>150</v>
      </c>
      <c r="L113" s="318">
        <f>IF('Year 3'!$F138="","",'Year 3'!$F138)</f>
        <v>1</v>
      </c>
      <c r="M113" s="319" t="str">
        <f>IF('Year 3'!$G138="","",'Year 3'!$G138)</f>
        <v/>
      </c>
      <c r="N113" s="318">
        <f>IF('Year 4'!$E138="","",'Year 4'!$E138)</f>
        <v>150</v>
      </c>
      <c r="O113" s="318">
        <f>IF('Year 4'!$F138="","",'Year 4'!$F138)</f>
        <v>1</v>
      </c>
      <c r="P113" s="319" t="str">
        <f>IF('Year 4'!$G138="","",'Year 4'!$G138)</f>
        <v/>
      </c>
      <c r="Q113" s="320">
        <f>IF('Year 5'!$E138="","",'Year 5'!$E138)</f>
        <v>150</v>
      </c>
      <c r="R113" s="318">
        <f>IF('Year 5'!$F138="","",'Year 5'!$F138)</f>
        <v>1</v>
      </c>
      <c r="S113" s="319" t="str">
        <f>IF('Year 5'!$G138="","",'Year 5'!$G138)</f>
        <v/>
      </c>
    </row>
    <row r="114" spans="2:19" x14ac:dyDescent="0.2">
      <c r="B114" s="307"/>
      <c r="C114" t="s">
        <v>206</v>
      </c>
      <c r="E114">
        <f>IF('Year 1'!$E139="","",'Year 1'!$E139)</f>
        <v>0</v>
      </c>
      <c r="F114">
        <f>IF('Year 1'!$F139="","",'Year 1'!$F139)</f>
        <v>1</v>
      </c>
      <c r="G114" s="312" t="str">
        <f>IF('Year 1'!$G139="","",'Year 1'!$G139)</f>
        <v/>
      </c>
      <c r="H114">
        <f>IF('Year 2'!$E139="","",'Year 2'!$E139)</f>
        <v>0</v>
      </c>
      <c r="I114">
        <f>IF('Year 2'!$F139="","",'Year 2'!$F139)</f>
        <v>1</v>
      </c>
      <c r="J114" s="312" t="str">
        <f>IF('Year 2'!$G139="","",'Year 2'!$G139)</f>
        <v/>
      </c>
      <c r="K114">
        <f>IF('Year 3'!$E139="","",'Year 3'!$E139)</f>
        <v>0</v>
      </c>
      <c r="L114">
        <f>IF('Year 3'!$F139="","",'Year 3'!$F139)</f>
        <v>1</v>
      </c>
      <c r="M114" s="312" t="str">
        <f>IF('Year 3'!$G139="","",'Year 3'!$G139)</f>
        <v/>
      </c>
      <c r="N114">
        <f>IF('Year 4'!$E139="","",'Year 4'!$E139)</f>
        <v>0</v>
      </c>
      <c r="O114">
        <f>IF('Year 4'!$F139="","",'Year 4'!$F139)</f>
        <v>1</v>
      </c>
      <c r="P114" s="312" t="str">
        <f>IF('Year 4'!$G139="","",'Year 4'!$G139)</f>
        <v/>
      </c>
      <c r="Q114" s="313">
        <f>IF('Year 5'!$E139="","",'Year 5'!$E139)</f>
        <v>0</v>
      </c>
      <c r="R114">
        <f>IF('Year 5'!$F139="","",'Year 5'!$F139)</f>
        <v>1</v>
      </c>
      <c r="S114" s="312" t="str">
        <f>IF('Year 5'!$G139="","",'Year 5'!$G139)</f>
        <v/>
      </c>
    </row>
    <row r="115" spans="2:19" x14ac:dyDescent="0.2">
      <c r="B115" s="307"/>
      <c r="E115" t="str">
        <f>IF('Year 1'!$E140="","",'Year 1'!$E140)</f>
        <v/>
      </c>
      <c r="F115" t="str">
        <f>IF('Year 1'!$F140="","",'Year 1'!$F140)</f>
        <v/>
      </c>
      <c r="G115" s="312" t="str">
        <f>IF('Year 1'!$G140="","",'Year 1'!$G140)</f>
        <v/>
      </c>
      <c r="H115" t="str">
        <f>IF('Year 2'!$E140="","",'Year 2'!$E140)</f>
        <v/>
      </c>
      <c r="I115" t="str">
        <f>IF('Year 2'!$F140="","",'Year 2'!$F140)</f>
        <v/>
      </c>
      <c r="J115" s="312" t="str">
        <f>IF('Year 2'!$G140="","",'Year 2'!$G140)</f>
        <v/>
      </c>
      <c r="K115" t="str">
        <f>IF('Year 3'!$E140="","",'Year 3'!$E140)</f>
        <v/>
      </c>
      <c r="L115" t="str">
        <f>IF('Year 3'!$F140="","",'Year 3'!$F140)</f>
        <v/>
      </c>
      <c r="M115" s="312" t="str">
        <f>IF('Year 3'!$G140="","",'Year 3'!$G140)</f>
        <v/>
      </c>
      <c r="N115" t="str">
        <f>IF('Year 4'!$E140="","",'Year 4'!$E140)</f>
        <v/>
      </c>
      <c r="O115" t="str">
        <f>IF('Year 4'!$F140="","",'Year 4'!$F140)</f>
        <v/>
      </c>
      <c r="P115" s="312" t="str">
        <f>IF('Year 4'!$G140="","",'Year 4'!$G140)</f>
        <v/>
      </c>
      <c r="Q115" s="313" t="str">
        <f>IF('Year 5'!$E140="","",'Year 5'!$E140)</f>
        <v/>
      </c>
      <c r="R115" t="str">
        <f>IF('Year 5'!$F140="","",'Year 5'!$F140)</f>
        <v/>
      </c>
      <c r="S115" s="312" t="str">
        <f>IF('Year 5'!$G140="","",'Year 5'!$G140)</f>
        <v/>
      </c>
    </row>
    <row r="116" spans="2:19" x14ac:dyDescent="0.2">
      <c r="B116" s="307"/>
      <c r="E116" t="str">
        <f>IF('Year 1'!$E153="","",'Year 1'!$E153)</f>
        <v/>
      </c>
      <c r="F116" t="str">
        <f>IF('Year 1'!$F153="","",'Year 1'!$F153)</f>
        <v/>
      </c>
      <c r="G116" s="312" t="str">
        <f>IF('Year 1'!$G153="","",'Year 1'!$G153)</f>
        <v/>
      </c>
      <c r="H116" t="str">
        <f>IF('Year 2'!$E153="","",'Year 2'!$E153)</f>
        <v/>
      </c>
      <c r="I116" t="str">
        <f>IF('Year 2'!$F153="","",'Year 2'!$F153)</f>
        <v/>
      </c>
      <c r="J116" s="312" t="str">
        <f>IF('Year 2'!$G153="","",'Year 2'!$G153)</f>
        <v/>
      </c>
      <c r="K116" t="str">
        <f>IF('Year 3'!$E153="","",'Year 3'!$E153)</f>
        <v/>
      </c>
      <c r="L116" t="str">
        <f>IF('Year 3'!$F153="","",'Year 3'!$F153)</f>
        <v/>
      </c>
      <c r="M116" s="312" t="str">
        <f>IF('Year 3'!$G153="","",'Year 3'!$G153)</f>
        <v/>
      </c>
      <c r="N116" t="str">
        <f>IF('Year 4'!$E153="","",'Year 4'!$E153)</f>
        <v/>
      </c>
      <c r="O116" t="str">
        <f>IF('Year 4'!$F153="","",'Year 4'!$F153)</f>
        <v/>
      </c>
      <c r="P116" s="312" t="str">
        <f>IF('Year 4'!$G153="","",'Year 4'!$G153)</f>
        <v/>
      </c>
      <c r="Q116" s="313" t="str">
        <f>IF('Year 5'!$E153="","",'Year 5'!$E153)</f>
        <v/>
      </c>
      <c r="R116" t="str">
        <f>IF('Year 5'!$F153="","",'Year 5'!$F153)</f>
        <v/>
      </c>
      <c r="S116" s="312" t="str">
        <f>IF('Year 5'!$G153="","",'Year 5'!$G153)</f>
        <v/>
      </c>
    </row>
    <row r="117" spans="2:19" x14ac:dyDescent="0.2">
      <c r="B117" s="307" t="s">
        <v>378</v>
      </c>
      <c r="E117" t="str">
        <f>IF('Year 1'!$E154="","",'Year 1'!$E154)</f>
        <v>Rate (as % of Capital Expenditures)</v>
      </c>
      <c r="F117" t="str">
        <f>IF('Year 1'!$F154="","",'Year 1'!$F154)</f>
        <v/>
      </c>
      <c r="G117" s="312" t="str">
        <f>IF('Year 1'!$G154="","",'Year 1'!$G154)</f>
        <v/>
      </c>
      <c r="H117" t="str">
        <f>IF('Year 2'!$E154="","",'Year 2'!$E154)</f>
        <v>Rate (as % of Capital Expenditures)</v>
      </c>
      <c r="I117" t="str">
        <f>IF('Year 2'!$F154="","",'Year 2'!$F154)</f>
        <v/>
      </c>
      <c r="J117" s="312" t="str">
        <f>IF('Year 2'!$G154="","",'Year 2'!$G154)</f>
        <v/>
      </c>
      <c r="K117" t="str">
        <f>IF('Year 3'!$E154="","",'Year 3'!$E154)</f>
        <v>Rate (as % of Capital Expenditures)</v>
      </c>
      <c r="L117" t="str">
        <f>IF('Year 3'!$F154="","",'Year 3'!$F154)</f>
        <v/>
      </c>
      <c r="M117" s="312" t="str">
        <f>IF('Year 3'!$G154="","",'Year 3'!$G154)</f>
        <v/>
      </c>
      <c r="N117" t="str">
        <f>IF('Year 4'!$E154="","",'Year 4'!$E154)</f>
        <v>Rate (as % of Capital Expenditures)</v>
      </c>
      <c r="O117" t="str">
        <f>IF('Year 4'!$F154="","",'Year 4'!$F154)</f>
        <v/>
      </c>
      <c r="P117" s="312" t="str">
        <f>IF('Year 4'!$G154="","",'Year 4'!$G154)</f>
        <v/>
      </c>
      <c r="Q117" s="313" t="str">
        <f>IF('Year 5'!$E154="","",'Year 5'!$E154)</f>
        <v>Rate (as % of Capital Expenditures)</v>
      </c>
      <c r="R117" t="str">
        <f>IF('Year 5'!$F154="","",'Year 5'!$F154)</f>
        <v/>
      </c>
      <c r="S117" s="312" t="str">
        <f>IF('Year 5'!$G154="","",'Year 5'!$G154)</f>
        <v/>
      </c>
    </row>
    <row r="118" spans="2:19" x14ac:dyDescent="0.2">
      <c r="B118" s="307"/>
      <c r="C118" t="s">
        <v>40</v>
      </c>
      <c r="E118">
        <f>IF('Year 1'!$E155="","",'Year 1'!$E155)</f>
        <v>0.01</v>
      </c>
      <c r="F118" t="str">
        <f>IF('Year 1'!$F155="","",'Year 1'!$F155)</f>
        <v/>
      </c>
      <c r="G118" s="312" t="str">
        <f>IF('Year 1'!$G155="","",'Year 1'!$G155)</f>
        <v/>
      </c>
      <c r="H118">
        <f>IF('Year 2'!$E155="","",'Year 2'!$E155)</f>
        <v>0.01</v>
      </c>
      <c r="I118" t="str">
        <f>IF('Year 2'!$F155="","",'Year 2'!$F155)</f>
        <v/>
      </c>
      <c r="J118" s="312" t="str">
        <f>IF('Year 2'!$G155="","",'Year 2'!$G155)</f>
        <v/>
      </c>
      <c r="K118">
        <f>IF('Year 3'!$E155="","",'Year 3'!$E155)</f>
        <v>0.01</v>
      </c>
      <c r="L118" t="str">
        <f>IF('Year 3'!$F155="","",'Year 3'!$F155)</f>
        <v/>
      </c>
      <c r="M118" s="312" t="str">
        <f>IF('Year 3'!$G155="","",'Year 3'!$G155)</f>
        <v/>
      </c>
      <c r="N118">
        <f>IF('Year 4'!$E155="","",'Year 4'!$E155)</f>
        <v>0.01</v>
      </c>
      <c r="O118" t="str">
        <f>IF('Year 4'!$F155="","",'Year 4'!$F155)</f>
        <v/>
      </c>
      <c r="P118" s="312" t="str">
        <f>IF('Year 4'!$G155="","",'Year 4'!$G155)</f>
        <v/>
      </c>
      <c r="Q118" s="313">
        <f>IF('Year 5'!$E155="","",'Year 5'!$E155)</f>
        <v>0.01</v>
      </c>
      <c r="R118" t="str">
        <f>IF('Year 5'!$F155="","",'Year 5'!$F155)</f>
        <v/>
      </c>
      <c r="S118" s="312" t="str">
        <f>IF('Year 5'!$G155="","",'Year 5'!$G155)</f>
        <v/>
      </c>
    </row>
    <row r="119" spans="2:19" x14ac:dyDescent="0.2">
      <c r="B119" s="307"/>
      <c r="E119" t="str">
        <f>IF('Year 1'!$E156="","",'Year 1'!$E156)</f>
        <v/>
      </c>
      <c r="F119" t="str">
        <f>IF('Year 1'!$F156="","",'Year 1'!$F156)</f>
        <v/>
      </c>
      <c r="G119" s="312" t="str">
        <f>IF('Year 1'!$G156="","",'Year 1'!$G156)</f>
        <v/>
      </c>
      <c r="H119" t="str">
        <f>IF('Year 2'!$E156="","",'Year 2'!$E156)</f>
        <v/>
      </c>
      <c r="I119" t="str">
        <f>IF('Year 2'!$F156="","",'Year 2'!$F156)</f>
        <v/>
      </c>
      <c r="J119" s="312" t="str">
        <f>IF('Year 2'!$G156="","",'Year 2'!$G156)</f>
        <v/>
      </c>
      <c r="K119" t="str">
        <f>IF('Year 3'!$E156="","",'Year 3'!$E156)</f>
        <v/>
      </c>
      <c r="L119" t="str">
        <f>IF('Year 3'!$F156="","",'Year 3'!$F156)</f>
        <v/>
      </c>
      <c r="M119" s="312" t="str">
        <f>IF('Year 3'!$G156="","",'Year 3'!$G156)</f>
        <v/>
      </c>
      <c r="N119" t="str">
        <f>IF('Year 4'!$E156="","",'Year 4'!$E156)</f>
        <v/>
      </c>
      <c r="O119" t="str">
        <f>IF('Year 4'!$F156="","",'Year 4'!$F156)</f>
        <v/>
      </c>
      <c r="P119" s="312" t="str">
        <f>IF('Year 4'!$G156="","",'Year 4'!$G156)</f>
        <v/>
      </c>
      <c r="Q119" s="313" t="str">
        <f>IF('Year 5'!$E156="","",'Year 5'!$E156)</f>
        <v/>
      </c>
      <c r="R119" t="str">
        <f>IF('Year 5'!$F156="","",'Year 5'!$F156)</f>
        <v/>
      </c>
      <c r="S119" s="312" t="str">
        <f>IF('Year 5'!$G156="","",'Year 5'!$G156)</f>
        <v/>
      </c>
    </row>
    <row r="120" spans="2:19" ht="16" customHeight="1" x14ac:dyDescent="0.2">
      <c r="B120" s="307" t="s">
        <v>306</v>
      </c>
      <c r="G120" s="312"/>
      <c r="J120" s="312"/>
      <c r="M120" s="312"/>
      <c r="P120" s="312"/>
      <c r="Q120" s="313"/>
      <c r="S120" s="312"/>
    </row>
    <row r="121" spans="2:19" x14ac:dyDescent="0.2">
      <c r="B121" s="307"/>
      <c r="E121" t="str">
        <f>IF('Year 1'!$D169="","",'Year 1'!$D169)</f>
        <v>Tax Rate</v>
      </c>
      <c r="F121" t="s">
        <v>293</v>
      </c>
      <c r="G121" s="312"/>
      <c r="H121" t="str">
        <f>IF('Year 2'!$D169="","",'Year 2'!$D169)</f>
        <v>Tax Rate</v>
      </c>
      <c r="I121" t="s">
        <v>293</v>
      </c>
      <c r="J121" s="312"/>
      <c r="K121" t="str">
        <f>IF('Year 3'!$D169="","",'Year 3'!$D169)</f>
        <v>Tax Rate</v>
      </c>
      <c r="L121" t="s">
        <v>293</v>
      </c>
      <c r="M121" s="312"/>
      <c r="N121" t="str">
        <f>IF('Year 4'!$D169="","",'Year 4'!$D169)</f>
        <v>Tax Rate</v>
      </c>
      <c r="O121" t="s">
        <v>293</v>
      </c>
      <c r="P121" s="312"/>
      <c r="Q121" s="313" t="str">
        <f>IF('Year 5'!$D169="","",'Year 5'!$D169)</f>
        <v>Tax Rate</v>
      </c>
      <c r="R121" t="s">
        <v>293</v>
      </c>
      <c r="S121" s="312"/>
    </row>
    <row r="122" spans="2:19" x14ac:dyDescent="0.2">
      <c r="B122" s="307"/>
      <c r="C122" t="s">
        <v>295</v>
      </c>
      <c r="E122">
        <f>IF('Year 1'!$D170="","",'Year 1'!$D170)</f>
        <v>0.02</v>
      </c>
      <c r="F122" t="str">
        <f>IF('Year 1'!$E170="","",'Year 1'!$E170)</f>
        <v>Monthly</v>
      </c>
      <c r="G122" s="312"/>
      <c r="H122">
        <f>IF('Year 2'!$D170="","",'Year 2'!$D170)</f>
        <v>0.02</v>
      </c>
      <c r="I122" t="str">
        <f>IF('Year 2'!$E170="","",'Year 2'!$E170)</f>
        <v>Monthly</v>
      </c>
      <c r="J122" s="312"/>
      <c r="K122">
        <f>IF('Year 3'!$D170="","",'Year 3'!$D170)</f>
        <v>0.02</v>
      </c>
      <c r="L122" t="str">
        <f>IF('Year 3'!$E170="","",'Year 3'!$E170)</f>
        <v>Monthly</v>
      </c>
      <c r="M122" s="312"/>
      <c r="N122">
        <f>IF('Year 4'!$D170="","",'Year 4'!$D170)</f>
        <v>0.02</v>
      </c>
      <c r="O122" t="str">
        <f>IF('Year 4'!$E170="","",'Year 4'!$E170)</f>
        <v>Monthly</v>
      </c>
      <c r="P122" s="312"/>
      <c r="Q122" s="313">
        <f>IF('Year 5'!$D170="","",'Year 5'!$D170)</f>
        <v>0.02</v>
      </c>
      <c r="R122" t="str">
        <f>IF('Year 5'!$E170="","",'Year 5'!$E170)</f>
        <v>Monthly</v>
      </c>
      <c r="S122" s="312"/>
    </row>
    <row r="123" spans="2:19" x14ac:dyDescent="0.2">
      <c r="B123" s="307"/>
      <c r="C123" s="318" t="s">
        <v>296</v>
      </c>
      <c r="D123" s="318"/>
      <c r="E123" s="318">
        <f>IF('Year 1'!$D172="","",'Year 1'!$D172)</f>
        <v>0.01</v>
      </c>
      <c r="F123" s="318" t="str">
        <f>IF('Year 1'!$E172="","",'Year 1'!$E172)</f>
        <v>n.a.</v>
      </c>
      <c r="G123" s="319"/>
      <c r="H123" s="318">
        <f>IF('Year 2'!$D172="","",'Year 2'!$D172)</f>
        <v>0.01</v>
      </c>
      <c r="I123" s="318" t="str">
        <f>IF('Year 2'!$E172="","",'Year 2'!$E172)</f>
        <v>n.a.</v>
      </c>
      <c r="J123" s="319"/>
      <c r="K123" s="318">
        <f>IF('Year 3'!$D172="","",'Year 3'!$D172)</f>
        <v>0.01</v>
      </c>
      <c r="L123" s="318" t="str">
        <f>IF('Year 3'!$E172="","",'Year 3'!$E172)</f>
        <v>n.a.</v>
      </c>
      <c r="M123" s="319"/>
      <c r="N123" s="318">
        <f>IF('Year 4'!$D172="","",'Year 4'!$D172)</f>
        <v>0.01</v>
      </c>
      <c r="O123" s="318" t="str">
        <f>IF('Year 4'!$E172="","",'Year 4'!$E172)</f>
        <v>n.a.</v>
      </c>
      <c r="P123" s="319"/>
      <c r="Q123" s="320">
        <f>IF('Year 5'!$D172="","",'Year 5'!$D172)</f>
        <v>0.01</v>
      </c>
      <c r="R123" s="318" t="str">
        <f>IF('Year 5'!$E172="","",'Year 5'!$E172)</f>
        <v>n.a.</v>
      </c>
      <c r="S123" s="319"/>
    </row>
    <row r="124" spans="2:19" x14ac:dyDescent="0.2">
      <c r="B124" s="307"/>
      <c r="C124" s="318" t="s">
        <v>297</v>
      </c>
      <c r="D124" s="318"/>
      <c r="E124" s="318">
        <f>IF('Year 1'!$D174="","",'Year 1'!$D174)</f>
        <v>0.01</v>
      </c>
      <c r="F124" s="318" t="str">
        <f>IF('Year 1'!$E174="","",'Year 1'!$E174)</f>
        <v>Yearly</v>
      </c>
      <c r="G124" s="319"/>
      <c r="H124" s="318">
        <f>IF('Year 2'!$D174="","",'Year 2'!$D174)</f>
        <v>0.01</v>
      </c>
      <c r="I124" s="318" t="str">
        <f>IF('Year 2'!$E174="","",'Year 2'!$E174)</f>
        <v>Yearly</v>
      </c>
      <c r="J124" s="319"/>
      <c r="K124" s="318">
        <f>IF('Year 3'!$D174="","",'Year 3'!$D174)</f>
        <v>0.01</v>
      </c>
      <c r="L124" s="318" t="str">
        <f>IF('Year 3'!$E174="","",'Year 3'!$E174)</f>
        <v>Yearly</v>
      </c>
      <c r="M124" s="319"/>
      <c r="N124" s="318">
        <f>IF('Year 4'!$D174="","",'Year 4'!$D174)</f>
        <v>0.01</v>
      </c>
      <c r="O124" s="318" t="str">
        <f>IF('Year 4'!$E174="","",'Year 4'!$E174)</f>
        <v>Yearly</v>
      </c>
      <c r="P124" s="319"/>
      <c r="Q124" s="320">
        <f>IF('Year 5'!$D174="","",'Year 5'!$D174)</f>
        <v>0.01</v>
      </c>
      <c r="R124" s="318" t="str">
        <f>IF('Year 5'!$E174="","",'Year 5'!$E174)</f>
        <v>Yearly</v>
      </c>
      <c r="S124" s="319"/>
    </row>
    <row r="125" spans="2:19" x14ac:dyDescent="0.2">
      <c r="B125" s="307"/>
      <c r="C125" s="318" t="s">
        <v>298</v>
      </c>
      <c r="D125" s="318"/>
      <c r="E125" s="318">
        <f>IF('Year 1'!$D176="","",'Year 1'!$D176)</f>
        <v>0</v>
      </c>
      <c r="F125" s="318" t="str">
        <f>IF('Year 1'!$E176="","",'Year 1'!$E176)</f>
        <v>Quarterly</v>
      </c>
      <c r="G125" s="319"/>
      <c r="H125" s="318">
        <f>IF('Year 2'!$D176="","",'Year 2'!$D176)</f>
        <v>0</v>
      </c>
      <c r="I125" s="318" t="str">
        <f>IF('Year 2'!$E176="","",'Year 2'!$E176)</f>
        <v>Quarterly</v>
      </c>
      <c r="J125" s="319"/>
      <c r="K125" s="318">
        <f>IF('Year 3'!$D176="","",'Year 3'!$D176)</f>
        <v>0</v>
      </c>
      <c r="L125" s="318" t="str">
        <f>IF('Year 3'!$E176="","",'Year 3'!$E176)</f>
        <v>Quarterly</v>
      </c>
      <c r="M125" s="319"/>
      <c r="N125" s="318">
        <f>IF('Year 4'!$D176="","",'Year 4'!$D176)</f>
        <v>0</v>
      </c>
      <c r="O125" s="318" t="str">
        <f>IF('Year 4'!$E176="","",'Year 4'!$E176)</f>
        <v>Quarterly</v>
      </c>
      <c r="P125" s="319"/>
      <c r="Q125" s="320">
        <f>IF('Year 5'!$D176="","",'Year 5'!$D176)</f>
        <v>0</v>
      </c>
      <c r="R125" s="318" t="str">
        <f>IF('Year 5'!$E176="","",'Year 5'!$E176)</f>
        <v>Quarterly</v>
      </c>
      <c r="S125" s="319"/>
    </row>
    <row r="126" spans="2:19" x14ac:dyDescent="0.2">
      <c r="B126" s="307"/>
      <c r="C126" s="318"/>
      <c r="D126" s="318"/>
      <c r="E126" s="318"/>
      <c r="F126" s="318"/>
      <c r="G126" s="319"/>
      <c r="H126" s="318"/>
      <c r="I126" s="318"/>
      <c r="J126" s="319"/>
      <c r="K126" s="318"/>
      <c r="L126" s="318"/>
      <c r="M126" s="319"/>
      <c r="N126" s="318"/>
      <c r="O126" s="318"/>
      <c r="P126" s="319"/>
      <c r="Q126" s="320"/>
      <c r="R126" s="318"/>
      <c r="S126" s="319" t="str">
        <f>IF('Year 5'!$F178="","",'Year 5'!$F178)</f>
        <v/>
      </c>
    </row>
    <row r="127" spans="2:19" x14ac:dyDescent="0.2">
      <c r="B127" s="307"/>
      <c r="C127" t="s">
        <v>290</v>
      </c>
      <c r="E127">
        <f>IF('Year 1'!$D179="","",'Year 1'!$D179)</f>
        <v>0.24</v>
      </c>
      <c r="F127" t="str">
        <f>IF('Year 1'!$E179="","",'Year 1'!$E179)</f>
        <v>Quarterly</v>
      </c>
      <c r="G127" s="312"/>
      <c r="H127">
        <f>IF('Year 2'!$D179="","",'Year 2'!$D179)</f>
        <v>0.24</v>
      </c>
      <c r="I127" t="str">
        <f>IF('Year 2'!$E179="","",'Year 2'!$E179)</f>
        <v>Quarterly</v>
      </c>
      <c r="J127" s="312"/>
      <c r="K127">
        <f>IF('Year 3'!$D179="","",'Year 3'!$D179)</f>
        <v>0.24</v>
      </c>
      <c r="L127" t="str">
        <f>IF('Year 3'!$E179="","",'Year 3'!$E179)</f>
        <v>Quarterly</v>
      </c>
      <c r="M127" s="312"/>
      <c r="N127">
        <f>IF('Year 4'!$D179="","",'Year 4'!$D179)</f>
        <v>0.24</v>
      </c>
      <c r="O127" t="str">
        <f>IF('Year 4'!$E179="","",'Year 4'!$E179)</f>
        <v>Quarterly</v>
      </c>
      <c r="P127" s="312" t="str">
        <f>IF('Year 4'!$F179="","",'Year 4'!$F179)</f>
        <v/>
      </c>
      <c r="Q127" s="313">
        <f>IF('Year 5'!$D179="","",'Year 5'!$D179)</f>
        <v>0.24</v>
      </c>
      <c r="R127" t="str">
        <f>IF('Year 5'!$E179="","",'Year 5'!$E179)</f>
        <v>Quarterly</v>
      </c>
      <c r="S127" s="312" t="str">
        <f>IF('Year 5'!$F179="","",'Year 5'!$F179)</f>
        <v/>
      </c>
    </row>
    <row r="128" spans="2:19" x14ac:dyDescent="0.2">
      <c r="B128" s="307"/>
      <c r="E128" t="str">
        <f>IF('Year 1'!D180="","",'Year 1'!D180)</f>
        <v/>
      </c>
      <c r="F128" t="str">
        <f>IF('Year 1'!$E180="","",'Year 1'!$E180)</f>
        <v/>
      </c>
      <c r="G128" s="312" t="str">
        <f>IF('Year 1'!$F180="","",'Year 1'!$F180)</f>
        <v/>
      </c>
      <c r="H128" t="str">
        <f>IF('Year 2'!G180="","",'Year 2'!G180)</f>
        <v>Paid</v>
      </c>
      <c r="I128" t="str">
        <f>IF('Year 2'!$E180="","",'Year 2'!$E180)</f>
        <v/>
      </c>
      <c r="J128" s="312" t="str">
        <f>IF('Year 2'!$F180="","",'Year 2'!$F180)</f>
        <v/>
      </c>
      <c r="K128">
        <f>IF('Year 3'!J180="","",'Year 3'!J180)</f>
        <v>0</v>
      </c>
      <c r="L128" t="str">
        <f>IF('Year 3'!$E180="","",'Year 3'!$E180)</f>
        <v/>
      </c>
      <c r="M128" s="312" t="str">
        <f>IF('Year 3'!$F180="","",'Year 3'!$F180)</f>
        <v/>
      </c>
      <c r="N128">
        <f>IF('Year 4'!M180="","",'Year 4'!M180)</f>
        <v>0</v>
      </c>
      <c r="O128" t="str">
        <f>IF('Year 4'!$E180="","",'Year 4'!$E180)</f>
        <v/>
      </c>
      <c r="P128" s="312" t="str">
        <f>IF('Year 4'!$F180="","",'Year 4'!$F180)</f>
        <v/>
      </c>
      <c r="Q128" s="313">
        <f>IF('Year 5'!P180="","",'Year 5'!P180)</f>
        <v>0</v>
      </c>
      <c r="R128" t="str">
        <f>IF('Year 5'!$E180="","",'Year 5'!$E180)</f>
        <v/>
      </c>
      <c r="S128" s="312" t="str">
        <f>IF('Year 5'!$F180="","",'Year 5'!$F180)</f>
        <v/>
      </c>
    </row>
    <row r="129" spans="2:19" x14ac:dyDescent="0.2">
      <c r="B129" s="307" t="s">
        <v>35</v>
      </c>
      <c r="C129" s="33"/>
      <c r="D129" s="33"/>
      <c r="E129" s="33" t="str">
        <f>IF('Year 1'!D185="","",'Year 1'!D185)</f>
        <v/>
      </c>
      <c r="F129" s="33" t="str">
        <f>IF('Year 1'!$E185="","",'Year 1'!$E185)</f>
        <v>Year 1 (2020)</v>
      </c>
      <c r="G129" s="314" t="str">
        <f>IF('Year 1'!$F185="","",'Year 1'!$F185)</f>
        <v/>
      </c>
      <c r="H129" s="33" t="str">
        <f>IF('Year 2'!G185="","",'Year 2'!G185)</f>
        <v/>
      </c>
      <c r="I129" s="33" t="str">
        <f>IF('Year 2'!$E185="","",'Year 2'!$E185)</f>
        <v>Year 2 (2021)</v>
      </c>
      <c r="J129" s="314" t="str">
        <f>IF('Year 2'!$F185="","",'Year 2'!$F185)</f>
        <v/>
      </c>
      <c r="K129" s="33" t="str">
        <f>IF('Year 3'!J185="","",'Year 3'!J185)</f>
        <v>March</v>
      </c>
      <c r="L129" s="33" t="str">
        <f>IF('Year 3'!$E185="","",'Year 3'!$E185)</f>
        <v>Year 3 (2022)</v>
      </c>
      <c r="M129" s="314" t="str">
        <f>IF('Year 3'!$F185="","",'Year 3'!$F185)</f>
        <v/>
      </c>
      <c r="N129" s="33" t="str">
        <f>IF('Year 4'!M185="","",'Year 4'!M185)</f>
        <v>June</v>
      </c>
      <c r="O129" s="33" t="str">
        <f>IF('Year 4'!$E185="","",'Year 4'!$E185)</f>
        <v>Year 4 (2023)</v>
      </c>
      <c r="P129" s="314" t="str">
        <f>IF('Year 4'!$F185="","",'Year 4'!$F185)</f>
        <v/>
      </c>
      <c r="Q129" s="315" t="str">
        <f>IF('Year 5'!P185="","",'Year 5'!P185)</f>
        <v>September</v>
      </c>
      <c r="R129" s="33" t="str">
        <f>IF('Year 5'!$E185="","",'Year 5'!$E185)</f>
        <v>Year 5 (2024)</v>
      </c>
      <c r="S129" s="314" t="str">
        <f>IF('Year 5'!$F185="","",'Year 5'!$F185)</f>
        <v/>
      </c>
    </row>
    <row r="130" spans="2:19" x14ac:dyDescent="0.2">
      <c r="B130" s="307"/>
      <c r="E130" t="str">
        <f>IF('Year 1'!D186="","",'Year 1'!D186)</f>
        <v/>
      </c>
      <c r="F130" t="str">
        <f>IF('Year 1'!$E186="","",'Year 1'!$E186)</f>
        <v/>
      </c>
      <c r="G130" s="312" t="str">
        <f>IF('Year 1'!$F186="","",'Year 1'!$F186)</f>
        <v/>
      </c>
      <c r="H130" t="str">
        <f>IF('Year 2'!G186="","",'Year 2'!G186)</f>
        <v>Period</v>
      </c>
      <c r="I130" t="str">
        <f>IF('Year 2'!$E186="","",'Year 2'!$E186)</f>
        <v/>
      </c>
      <c r="J130" s="312" t="str">
        <f>IF('Year 2'!$F186="","",'Year 2'!$F186)</f>
        <v/>
      </c>
      <c r="K130">
        <f>IF('Year 3'!J186="","",'Year 3'!J186)</f>
        <v>27</v>
      </c>
      <c r="L130" t="str">
        <f>IF('Year 3'!$E186="","",'Year 3'!$E186)</f>
        <v/>
      </c>
      <c r="M130" s="312" t="str">
        <f>IF('Year 3'!$F186="","",'Year 3'!$F186)</f>
        <v/>
      </c>
      <c r="N130">
        <f>IF('Year 4'!M186="","",'Year 4'!M186)</f>
        <v>42</v>
      </c>
      <c r="O130" t="str">
        <f>IF('Year 4'!$E186="","",'Year 4'!$E186)</f>
        <v/>
      </c>
      <c r="P130" s="312" t="str">
        <f>IF('Year 4'!$F186="","",'Year 4'!$F186)</f>
        <v/>
      </c>
      <c r="Q130" s="313">
        <f>IF('Year 5'!P186="","",'Year 5'!P186)</f>
        <v>57</v>
      </c>
      <c r="R130" t="str">
        <f>IF('Year 5'!$E186="","",'Year 5'!$E186)</f>
        <v/>
      </c>
      <c r="S130" s="312" t="str">
        <f>IF('Year 5'!$F186="","",'Year 5'!$F186)</f>
        <v/>
      </c>
    </row>
    <row r="131" spans="2:19" x14ac:dyDescent="0.2">
      <c r="B131" s="307" t="s">
        <v>289</v>
      </c>
      <c r="E131" t="str">
        <f>IF('Year 1'!D187="","",'Year 1'!D187)</f>
        <v>Capex Period</v>
      </c>
      <c r="F131" t="str">
        <f>IF('Year 1'!$E187="","",'Year 1'!$E187)</f>
        <v>Capex Amount</v>
      </c>
      <c r="G131" s="312" t="str">
        <f>IF('Year 1'!$F187="","",'Year 1'!$F187)</f>
        <v/>
      </c>
      <c r="H131" t="str">
        <f>IF('Year 2'!G187="","",'Year 2'!G187)</f>
        <v/>
      </c>
      <c r="I131" t="str">
        <f>IF('Year 2'!$E187="","",'Year 2'!$E187)</f>
        <v>Capex Amount</v>
      </c>
      <c r="J131" s="312" t="str">
        <f>IF('Year 2'!$F187="","",'Year 2'!$F187)</f>
        <v/>
      </c>
      <c r="K131" t="str">
        <f>IF('Year 3'!J187="","",'Year 3'!J187)</f>
        <v/>
      </c>
      <c r="L131" t="str">
        <f>IF('Year 3'!$E187="","",'Year 3'!$E187)</f>
        <v>Capex Amount</v>
      </c>
      <c r="M131" s="312" t="str">
        <f>IF('Year 3'!$F187="","",'Year 3'!$F187)</f>
        <v/>
      </c>
      <c r="N131" t="str">
        <f>IF('Year 4'!M187="","",'Year 4'!M187)</f>
        <v/>
      </c>
      <c r="O131" t="str">
        <f>IF('Year 4'!$E187="","",'Year 4'!$E187)</f>
        <v>Capex Amount</v>
      </c>
      <c r="P131" s="312" t="str">
        <f>IF('Year 4'!$F187="","",'Year 4'!$F187)</f>
        <v/>
      </c>
      <c r="Q131" s="313" t="str">
        <f>IF('Year 5'!P187="","",'Year 5'!P187)</f>
        <v/>
      </c>
      <c r="R131" t="str">
        <f>IF('Year 5'!$E187="","",'Year 5'!$E187)</f>
        <v>Capex Amount</v>
      </c>
      <c r="S131" s="312" t="str">
        <f>IF('Year 5'!$F187="","",'Year 5'!$F187)</f>
        <v/>
      </c>
    </row>
    <row r="132" spans="2:19" x14ac:dyDescent="0.2">
      <c r="B132" s="307"/>
      <c r="C132" t="s">
        <v>238</v>
      </c>
      <c r="E132">
        <f>IF('Year 1'!D188="","",'Year 1'!D188)</f>
        <v>1</v>
      </c>
      <c r="F132">
        <f>IF('Year 1'!$E188="","",'Year 1'!$E188)</f>
        <v>50000</v>
      </c>
      <c r="G132" s="312" t="str">
        <f>IF('Year 1'!$F188="","",'Year 1'!$F188)</f>
        <v/>
      </c>
      <c r="H132" t="str">
        <f>IF('Year 2'!G188="","",'Year 2'!G188)</f>
        <v/>
      </c>
      <c r="I132">
        <f>IF('Year 2'!$E188="","",'Year 2'!$E188)</f>
        <v>100000</v>
      </c>
      <c r="J132" s="312" t="str">
        <f>IF('Year 2'!$F188="","",'Year 2'!$F188)</f>
        <v/>
      </c>
      <c r="K132">
        <f>IF('Year 3'!J188="","",'Year 3'!J188)</f>
        <v>0</v>
      </c>
      <c r="L132">
        <f>IF('Year 3'!$E188="","",'Year 3'!$E188)</f>
        <v>100000</v>
      </c>
      <c r="M132" s="312" t="str">
        <f>IF('Year 3'!$F188="","",'Year 3'!$F188)</f>
        <v/>
      </c>
      <c r="N132">
        <f>IF('Year 4'!M188="","",'Year 4'!M188)</f>
        <v>0</v>
      </c>
      <c r="O132">
        <f>IF('Year 4'!$E188="","",'Year 4'!$E188)</f>
        <v>100000</v>
      </c>
      <c r="P132" s="312" t="str">
        <f>IF('Year 4'!$F188="","",'Year 4'!$F188)</f>
        <v/>
      </c>
      <c r="Q132" s="313">
        <f>IF('Year 5'!P188="","",'Year 5'!P188)</f>
        <v>0</v>
      </c>
      <c r="R132">
        <f>IF('Year 5'!$E188="","",'Year 5'!$E188)</f>
        <v>100000</v>
      </c>
      <c r="S132" s="312" t="str">
        <f>IF('Year 5'!$F188="","",'Year 5'!$F188)</f>
        <v/>
      </c>
    </row>
    <row r="133" spans="2:19" x14ac:dyDescent="0.2">
      <c r="B133" s="307"/>
      <c r="C133" s="318" t="s">
        <v>239</v>
      </c>
      <c r="D133" s="318"/>
      <c r="E133" s="318">
        <f>IF('Year 1'!D189="","",'Year 1'!D189)</f>
        <v>1</v>
      </c>
      <c r="F133" s="318">
        <f>IF('Year 1'!$E189="","",'Year 1'!$E189)</f>
        <v>300000</v>
      </c>
      <c r="G133" s="319" t="str">
        <f>IF('Year 1'!$F189="","",'Year 1'!$F189)</f>
        <v/>
      </c>
      <c r="H133" s="318" t="str">
        <f>IF('Year 2'!G189="","",'Year 2'!G189)</f>
        <v/>
      </c>
      <c r="I133" s="318">
        <f>IF('Year 2'!$E189="","",'Year 2'!$E189)</f>
        <v>1200000</v>
      </c>
      <c r="J133" s="319" t="str">
        <f>IF('Year 2'!$F189="","",'Year 2'!$F189)</f>
        <v/>
      </c>
      <c r="K133" s="318">
        <f>IF('Year 3'!J189="","",'Year 3'!J189)</f>
        <v>0</v>
      </c>
      <c r="L133" s="318">
        <f>IF('Year 3'!$E189="","",'Year 3'!$E189)</f>
        <v>1200000</v>
      </c>
      <c r="M133" s="319" t="str">
        <f>IF('Year 3'!$F189="","",'Year 3'!$F189)</f>
        <v/>
      </c>
      <c r="N133" s="318">
        <f>IF('Year 4'!M189="","",'Year 4'!M189)</f>
        <v>0</v>
      </c>
      <c r="O133" s="318">
        <f>IF('Year 4'!$E189="","",'Year 4'!$E189)</f>
        <v>1200000</v>
      </c>
      <c r="P133" s="319" t="str">
        <f>IF('Year 4'!$F189="","",'Year 4'!$F189)</f>
        <v/>
      </c>
      <c r="Q133" s="320">
        <f>IF('Year 5'!P189="","",'Year 5'!P189)</f>
        <v>0</v>
      </c>
      <c r="R133" s="318">
        <f>IF('Year 5'!$E189="","",'Year 5'!$E189)</f>
        <v>4000000</v>
      </c>
      <c r="S133" s="319" t="str">
        <f>IF('Year 5'!$F189="","",'Year 5'!$F189)</f>
        <v/>
      </c>
    </row>
    <row r="134" spans="2:19" x14ac:dyDescent="0.2">
      <c r="B134" s="307"/>
      <c r="C134" s="318" t="s">
        <v>240</v>
      </c>
      <c r="D134" s="318"/>
      <c r="E134" s="318">
        <f>IF('Year 1'!D190="","",'Year 1'!D190)</f>
        <v>6</v>
      </c>
      <c r="F134" s="318">
        <f>IF('Year 1'!$E190="","",'Year 1'!$E190)</f>
        <v>23000</v>
      </c>
      <c r="G134" s="319" t="str">
        <f>IF('Year 1'!$F190="","",'Year 1'!$F190)</f>
        <v/>
      </c>
      <c r="H134" s="318" t="str">
        <f>IF('Year 2'!G190="","",'Year 2'!G190)</f>
        <v/>
      </c>
      <c r="I134" s="318">
        <f>IF('Year 2'!$E190="","",'Year 2'!$E190)</f>
        <v>23000</v>
      </c>
      <c r="J134" s="319" t="str">
        <f>IF('Year 2'!$F190="","",'Year 2'!$F190)</f>
        <v/>
      </c>
      <c r="K134" s="318">
        <f>IF('Year 3'!J190="","",'Year 3'!J190)</f>
        <v>0</v>
      </c>
      <c r="L134" s="318">
        <f>IF('Year 3'!$E190="","",'Year 3'!$E190)</f>
        <v>23000</v>
      </c>
      <c r="M134" s="319" t="str">
        <f>IF('Year 3'!$F190="","",'Year 3'!$F190)</f>
        <v/>
      </c>
      <c r="N134" s="318">
        <f>IF('Year 4'!M190="","",'Year 4'!M190)</f>
        <v>0</v>
      </c>
      <c r="O134" s="318">
        <f>IF('Year 4'!$E190="","",'Year 4'!$E190)</f>
        <v>23000</v>
      </c>
      <c r="P134" s="319" t="str">
        <f>IF('Year 4'!$F190="","",'Year 4'!$F190)</f>
        <v/>
      </c>
      <c r="Q134" s="320">
        <f>IF('Year 5'!P190="","",'Year 5'!P190)</f>
        <v>0</v>
      </c>
      <c r="R134" s="318">
        <f>IF('Year 5'!$E190="","",'Year 5'!$E190)</f>
        <v>23000</v>
      </c>
      <c r="S134" s="319" t="str">
        <f>IF('Year 5'!$F190="","",'Year 5'!$F190)</f>
        <v/>
      </c>
    </row>
    <row r="135" spans="2:19" x14ac:dyDescent="0.2">
      <c r="B135" s="307"/>
      <c r="C135" t="s">
        <v>24</v>
      </c>
      <c r="E135">
        <f>IF('Year 1'!D191="","",'Year 1'!D191)</f>
        <v>2</v>
      </c>
      <c r="F135">
        <f>IF('Year 1'!$E191="","",'Year 1'!$E191)</f>
        <v>3000</v>
      </c>
      <c r="G135" s="312" t="str">
        <f>IF('Year 1'!$F191="","",'Year 1'!$F191)</f>
        <v/>
      </c>
      <c r="H135" t="str">
        <f>IF('Year 2'!G191="","",'Year 2'!G191)</f>
        <v/>
      </c>
      <c r="I135">
        <f>IF('Year 2'!$E191="","",'Year 2'!$E191)</f>
        <v>1400</v>
      </c>
      <c r="J135" s="312" t="str">
        <f>IF('Year 2'!$F191="","",'Year 2'!$F191)</f>
        <v/>
      </c>
      <c r="K135">
        <f>IF('Year 3'!J191="","",'Year 3'!J191)</f>
        <v>0</v>
      </c>
      <c r="L135">
        <f>IF('Year 3'!$E191="","",'Year 3'!$E191)</f>
        <v>3000</v>
      </c>
      <c r="M135" s="312" t="str">
        <f>IF('Year 3'!$F191="","",'Year 3'!$F191)</f>
        <v/>
      </c>
      <c r="N135">
        <f>IF('Year 4'!M191="","",'Year 4'!M191)</f>
        <v>0</v>
      </c>
      <c r="O135">
        <f>IF('Year 4'!$E191="","",'Year 4'!$E191)</f>
        <v>3000</v>
      </c>
      <c r="P135" s="312" t="str">
        <f>IF('Year 4'!$F191="","",'Year 4'!$F191)</f>
        <v/>
      </c>
      <c r="Q135" s="313">
        <f>IF('Year 5'!P191="","",'Year 5'!P191)</f>
        <v>0</v>
      </c>
      <c r="R135">
        <f>IF('Year 5'!$E191="","",'Year 5'!$E191)</f>
        <v>20000</v>
      </c>
      <c r="S135" s="312" t="str">
        <f>IF('Year 5'!$F191="","",'Year 5'!$F191)</f>
        <v/>
      </c>
    </row>
    <row r="136" spans="2:19" x14ac:dyDescent="0.2">
      <c r="B136" s="307"/>
      <c r="E136" t="str">
        <f>IF('Year 1'!D192="","",'Year 1'!D192)</f>
        <v/>
      </c>
      <c r="F136" t="str">
        <f>IF('Year 1'!$E192="","",'Year 1'!$E192)</f>
        <v/>
      </c>
      <c r="G136" s="312" t="str">
        <f>IF('Year 1'!$F192="","",'Year 1'!$F192)</f>
        <v/>
      </c>
      <c r="H136" t="str">
        <f>IF('Year 2'!G192="","",'Year 2'!G192)</f>
        <v/>
      </c>
      <c r="I136" t="str">
        <f>IF('Year 2'!$E192="","",'Year 2'!$E192)</f>
        <v/>
      </c>
      <c r="J136" s="312" t="str">
        <f>IF('Year 2'!$F192="","",'Year 2'!$F192)</f>
        <v/>
      </c>
      <c r="K136" t="str">
        <f>IF('Year 3'!J192="","",'Year 3'!J192)</f>
        <v/>
      </c>
      <c r="L136" t="str">
        <f>IF('Year 3'!$E192="","",'Year 3'!$E192)</f>
        <v/>
      </c>
      <c r="M136" s="312" t="str">
        <f>IF('Year 3'!$F192="","",'Year 3'!$F192)</f>
        <v/>
      </c>
      <c r="N136" t="str">
        <f>IF('Year 4'!M192="","",'Year 4'!M192)</f>
        <v/>
      </c>
      <c r="O136" t="str">
        <f>IF('Year 4'!$E192="","",'Year 4'!$E192)</f>
        <v/>
      </c>
      <c r="P136" s="312" t="str">
        <f>IF('Year 4'!$F192="","",'Year 4'!$F192)</f>
        <v/>
      </c>
      <c r="Q136" s="313" t="str">
        <f>IF('Year 5'!P192="","",'Year 5'!P192)</f>
        <v/>
      </c>
      <c r="R136" t="str">
        <f>IF('Year 5'!$E192="","",'Year 5'!$E192)</f>
        <v/>
      </c>
      <c r="S136" s="312" t="str">
        <f>IF('Year 5'!$F192="","",'Year 5'!$F192)</f>
        <v/>
      </c>
    </row>
    <row r="137" spans="2:19" x14ac:dyDescent="0.2">
      <c r="B137" s="307" t="s">
        <v>288</v>
      </c>
      <c r="E137" t="str">
        <f>IF('Year 1'!D193="","",'Year 1'!D193)</f>
        <v>Capex Amount</v>
      </c>
      <c r="F137" t="str">
        <f>IF('Year 1'!$E193="","",'Year 1'!$E193)</f>
        <v>Capex Period</v>
      </c>
      <c r="G137" s="312" t="str">
        <f>IF('Year 1'!$F193="","",'Year 1'!$F193)</f>
        <v>Recurring every # periods</v>
      </c>
      <c r="H137" t="str">
        <f>IF('Year 2'!G193="","",'Year 2'!G193)</f>
        <v/>
      </c>
      <c r="I137" t="str">
        <f>IF('Year 2'!$E193="","",'Year 2'!$E193)</f>
        <v>Capex Period</v>
      </c>
      <c r="J137" s="312" t="str">
        <f>IF('Year 2'!$F193="","",'Year 2'!$F193)</f>
        <v>Recurring every # periods</v>
      </c>
      <c r="K137" t="str">
        <f>IF('Year 3'!J193="","",'Year 3'!J193)</f>
        <v/>
      </c>
      <c r="L137" t="str">
        <f>IF('Year 3'!$E193="","",'Year 3'!$E193)</f>
        <v>Capex Period</v>
      </c>
      <c r="M137" s="312" t="str">
        <f>IF('Year 3'!$F193="","",'Year 3'!$F193)</f>
        <v>Recurring every # periods</v>
      </c>
      <c r="N137" t="str">
        <f>IF('Year 4'!M193="","",'Year 4'!M193)</f>
        <v/>
      </c>
      <c r="O137" t="str">
        <f>IF('Year 4'!$E193="","",'Year 4'!$E193)</f>
        <v>Capex Period</v>
      </c>
      <c r="P137" s="312" t="str">
        <f>IF('Year 4'!$F193="","",'Year 4'!$F193)</f>
        <v>Recurring every # periods</v>
      </c>
      <c r="Q137" s="313" t="str">
        <f>IF('Year 5'!P193="","",'Year 5'!P193)</f>
        <v/>
      </c>
      <c r="R137" t="str">
        <f>IF('Year 5'!$E193="","",'Year 5'!$E193)</f>
        <v>Capex Period</v>
      </c>
      <c r="S137" s="312" t="str">
        <f>IF('Year 5'!$F193="","",'Year 5'!$F193)</f>
        <v>Recurring every # periods</v>
      </c>
    </row>
    <row r="138" spans="2:19" x14ac:dyDescent="0.2">
      <c r="B138" s="307"/>
      <c r="C138" t="s">
        <v>238</v>
      </c>
      <c r="E138">
        <f>IF('Year 1'!D194="","",'Year 1'!D194)</f>
        <v>1200</v>
      </c>
      <c r="F138">
        <f>IF('Year 1'!$E194="","",'Year 1'!$E194)</f>
        <v>1</v>
      </c>
      <c r="G138" s="312">
        <f>IF('Year 1'!$F194="","",'Year 1'!$F194)</f>
        <v>7</v>
      </c>
      <c r="H138" t="str">
        <f>IF('Year 2'!G194="","",'Year 2'!G194)</f>
        <v/>
      </c>
      <c r="I138">
        <f>IF('Year 2'!$E194="","",'Year 2'!$E194)</f>
        <v>15</v>
      </c>
      <c r="J138" s="312">
        <f>IF('Year 2'!$F194="","",'Year 2'!$F194)</f>
        <v>7</v>
      </c>
      <c r="K138">
        <f>IF('Year 3'!J194="","",'Year 3'!J194)</f>
        <v>0</v>
      </c>
      <c r="L138">
        <f>IF('Year 3'!$E194="","",'Year 3'!$E194)</f>
        <v>29</v>
      </c>
      <c r="M138" s="312">
        <f>IF('Year 3'!$F194="","",'Year 3'!$F194)</f>
        <v>7</v>
      </c>
      <c r="N138">
        <f>IF('Year 4'!M194="","",'Year 4'!M194)</f>
        <v>0</v>
      </c>
      <c r="O138">
        <f>IF('Year 4'!$E194="","",'Year 4'!$E194)</f>
        <v>43</v>
      </c>
      <c r="P138" s="312">
        <f>IF('Year 4'!$F194="","",'Year 4'!$F194)</f>
        <v>7</v>
      </c>
      <c r="Q138" s="313">
        <f>IF('Year 5'!P194="","",'Year 5'!P194)</f>
        <v>1200</v>
      </c>
      <c r="R138">
        <f>IF('Year 5'!$E194="","",'Year 5'!$E194)</f>
        <v>50</v>
      </c>
      <c r="S138" s="312">
        <f>IF('Year 5'!$F194="","",'Year 5'!$F194)</f>
        <v>7</v>
      </c>
    </row>
    <row r="139" spans="2:19" x14ac:dyDescent="0.2">
      <c r="B139" s="307"/>
      <c r="C139" s="318" t="s">
        <v>239</v>
      </c>
      <c r="D139" s="318"/>
      <c r="E139" s="318">
        <f>IF('Year 1'!D195="","",'Year 1'!D195)</f>
        <v>1000</v>
      </c>
      <c r="F139" s="318">
        <f>IF('Year 1'!$E195="","",'Year 1'!$E195)</f>
        <v>3</v>
      </c>
      <c r="G139" s="319">
        <f>IF('Year 1'!$F195="","",'Year 1'!$F195)</f>
        <v>5</v>
      </c>
      <c r="H139" s="318" t="str">
        <f>IF('Year 2'!G195="","",'Year 2'!G195)</f>
        <v/>
      </c>
      <c r="I139" s="318">
        <f>IF('Year 2'!$E195="","",'Year 2'!$E195)</f>
        <v>18</v>
      </c>
      <c r="J139" s="319">
        <f>IF('Year 2'!$F195="","",'Year 2'!$F195)</f>
        <v>5</v>
      </c>
      <c r="K139" s="318">
        <f>IF('Year 3'!J195="","",'Year 3'!J195)</f>
        <v>0</v>
      </c>
      <c r="L139" s="318">
        <f>IF('Year 3'!$E195="","",'Year 3'!$E195)</f>
        <v>28</v>
      </c>
      <c r="M139" s="319">
        <f>IF('Year 3'!$F195="","",'Year 3'!$F195)</f>
        <v>5</v>
      </c>
      <c r="N139" s="318">
        <f>IF('Year 4'!M195="","",'Year 4'!M195)</f>
        <v>0</v>
      </c>
      <c r="O139" s="318">
        <f>IF('Year 4'!$E195="","",'Year 4'!$E195)</f>
        <v>43</v>
      </c>
      <c r="P139" s="319">
        <f>IF('Year 4'!$F195="","",'Year 4'!$F195)</f>
        <v>5</v>
      </c>
      <c r="Q139" s="320">
        <f>IF('Year 5'!P195="","",'Year 5'!P195)</f>
        <v>0</v>
      </c>
      <c r="R139" s="318">
        <f>IF('Year 5'!$E195="","",'Year 5'!$E195)</f>
        <v>53</v>
      </c>
      <c r="S139" s="319">
        <f>IF('Year 5'!$F195="","",'Year 5'!$F195)</f>
        <v>5</v>
      </c>
    </row>
    <row r="140" spans="2:19" x14ac:dyDescent="0.2">
      <c r="B140" s="307"/>
      <c r="C140" s="318" t="s">
        <v>240</v>
      </c>
      <c r="D140" s="318"/>
      <c r="E140" s="318">
        <f>IF('Year 1'!D196="","",'Year 1'!D196)</f>
        <v>1000</v>
      </c>
      <c r="F140" s="318">
        <f>IF('Year 1'!$E196="","",'Year 1'!$E196)</f>
        <v>1</v>
      </c>
      <c r="G140" s="319">
        <f>IF('Year 1'!$F196="","",'Year 1'!$F196)</f>
        <v>12</v>
      </c>
      <c r="H140" s="318" t="str">
        <f>IF('Year 2'!G196="","",'Year 2'!G196)</f>
        <v/>
      </c>
      <c r="I140" s="318">
        <f>IF('Year 2'!$E196="","",'Year 2'!$E196)</f>
        <v>13</v>
      </c>
      <c r="J140" s="319">
        <f>IF('Year 2'!$F196="","",'Year 2'!$F196)</f>
        <v>12</v>
      </c>
      <c r="K140" s="318">
        <f>IF('Year 3'!J196="","",'Year 3'!J196)</f>
        <v>0</v>
      </c>
      <c r="L140" s="318">
        <f>IF('Year 3'!$E196="","",'Year 3'!$E196)</f>
        <v>25</v>
      </c>
      <c r="M140" s="319">
        <f>IF('Year 3'!$F196="","",'Year 3'!$F196)</f>
        <v>12</v>
      </c>
      <c r="N140" s="318">
        <f>IF('Year 4'!M196="","",'Year 4'!M196)</f>
        <v>0</v>
      </c>
      <c r="O140" s="318">
        <f>IF('Year 4'!$E196="","",'Year 4'!$E196)</f>
        <v>37</v>
      </c>
      <c r="P140" s="319">
        <f>IF('Year 4'!$F196="","",'Year 4'!$F196)</f>
        <v>12</v>
      </c>
      <c r="Q140" s="320">
        <f>IF('Year 5'!P196="","",'Year 5'!P196)</f>
        <v>0</v>
      </c>
      <c r="R140" s="318">
        <f>IF('Year 5'!$E196="","",'Year 5'!$E196)</f>
        <v>49</v>
      </c>
      <c r="S140" s="319">
        <f>IF('Year 5'!$F196="","",'Year 5'!$F196)</f>
        <v>12</v>
      </c>
    </row>
    <row r="141" spans="2:19" x14ac:dyDescent="0.2">
      <c r="B141" s="307"/>
      <c r="C141" s="318" t="s">
        <v>36</v>
      </c>
      <c r="D141" s="318"/>
      <c r="E141" s="318">
        <f>IF('Year 1'!D197="","",'Year 1'!D197)</f>
        <v>3000</v>
      </c>
      <c r="F141" s="318">
        <f>IF('Year 1'!$E197="","",'Year 1'!$E197)</f>
        <v>1</v>
      </c>
      <c r="G141" s="319">
        <f>IF('Year 1'!$F197="","",'Year 1'!$F197)</f>
        <v>6</v>
      </c>
      <c r="H141" s="318" t="str">
        <f>IF('Year 2'!G197="","",'Year 2'!G197)</f>
        <v/>
      </c>
      <c r="I141" s="318">
        <f>IF('Year 2'!$E197="","",'Year 2'!$E197)</f>
        <v>13</v>
      </c>
      <c r="J141" s="319">
        <f>IF('Year 2'!$F197="","",'Year 2'!$F197)</f>
        <v>6</v>
      </c>
      <c r="K141" s="318">
        <f>IF('Year 3'!J197="","",'Year 3'!J197)</f>
        <v>0</v>
      </c>
      <c r="L141" s="318">
        <f>IF('Year 3'!$E197="","",'Year 3'!$E197)</f>
        <v>25</v>
      </c>
      <c r="M141" s="319">
        <f>IF('Year 3'!$F197="","",'Year 3'!$F197)</f>
        <v>6</v>
      </c>
      <c r="N141" s="318">
        <f>IF('Year 4'!M197="","",'Year 4'!M197)</f>
        <v>0</v>
      </c>
      <c r="O141" s="318">
        <f>IF('Year 4'!$E197="","",'Year 4'!$E197)</f>
        <v>37</v>
      </c>
      <c r="P141" s="319">
        <f>IF('Year 4'!$F197="","",'Year 4'!$F197)</f>
        <v>6</v>
      </c>
      <c r="Q141" s="320">
        <f>IF('Year 5'!P197="","",'Year 5'!P197)</f>
        <v>0</v>
      </c>
      <c r="R141" s="318">
        <f>IF('Year 5'!$E197="","",'Year 5'!$E197)</f>
        <v>49</v>
      </c>
      <c r="S141" s="319">
        <f>IF('Year 5'!$F197="","",'Year 5'!$F197)</f>
        <v>6</v>
      </c>
    </row>
    <row r="142" spans="2:19" x14ac:dyDescent="0.2">
      <c r="B142" s="307"/>
      <c r="C142" s="318" t="s">
        <v>37</v>
      </c>
      <c r="D142" s="318"/>
      <c r="E142" s="318">
        <f>IF('Year 1'!D198="","",'Year 1'!D198)</f>
        <v>900</v>
      </c>
      <c r="F142" s="318">
        <f>IF('Year 1'!$E198="","",'Year 1'!$E198)</f>
        <v>1</v>
      </c>
      <c r="G142" s="319">
        <f>IF('Year 1'!$F198="","",'Year 1'!$F198)</f>
        <v>0</v>
      </c>
      <c r="H142" s="318" t="str">
        <f>IF('Year 2'!G198="","",'Year 2'!G198)</f>
        <v/>
      </c>
      <c r="I142" s="318">
        <f>IF('Year 2'!$E198="","",'Year 2'!$E198)</f>
        <v>1</v>
      </c>
      <c r="J142" s="319">
        <f>IF('Year 2'!$F198="","",'Year 2'!$F198)</f>
        <v>0</v>
      </c>
      <c r="K142" s="318">
        <f>IF('Year 3'!J198="","",'Year 3'!J198)</f>
        <v>0</v>
      </c>
      <c r="L142" s="318">
        <f>IF('Year 3'!$E198="","",'Year 3'!$E198)</f>
        <v>1</v>
      </c>
      <c r="M142" s="319">
        <f>IF('Year 3'!$F198="","",'Year 3'!$F198)</f>
        <v>0</v>
      </c>
      <c r="N142" s="318">
        <f>IF('Year 4'!M198="","",'Year 4'!M198)</f>
        <v>0</v>
      </c>
      <c r="O142" s="318">
        <f>IF('Year 4'!$E198="","",'Year 4'!$E198)</f>
        <v>1</v>
      </c>
      <c r="P142" s="319">
        <f>IF('Year 4'!$F198="","",'Year 4'!$F198)</f>
        <v>0</v>
      </c>
      <c r="Q142" s="320">
        <f>IF('Year 5'!P198="","",'Year 5'!P198)</f>
        <v>0</v>
      </c>
      <c r="R142" s="318">
        <f>IF('Year 5'!$E198="","",'Year 5'!$E198)</f>
        <v>1</v>
      </c>
      <c r="S142" s="319">
        <f>IF('Year 5'!$F198="","",'Year 5'!$F198)</f>
        <v>0</v>
      </c>
    </row>
    <row r="143" spans="2:19" x14ac:dyDescent="0.2">
      <c r="B143" s="307"/>
      <c r="C143" t="s">
        <v>38</v>
      </c>
      <c r="E143">
        <f>IF('Year 1'!D199="","",'Year 1'!D199)</f>
        <v>15000</v>
      </c>
      <c r="F143">
        <f>IF('Year 1'!$E199="","",'Year 1'!$E199)</f>
        <v>1</v>
      </c>
      <c r="G143" s="312">
        <f>IF('Year 1'!$F199="","",'Year 1'!$F199)</f>
        <v>24</v>
      </c>
      <c r="H143" t="str">
        <f>IF('Year 2'!G199="","",'Year 2'!G199)</f>
        <v/>
      </c>
      <c r="I143">
        <f>IF('Year 2'!$E199="","",'Year 2'!$E199)</f>
        <v>25</v>
      </c>
      <c r="J143" s="312">
        <f>IF('Year 2'!$F199="","",'Year 2'!$F199)</f>
        <v>24</v>
      </c>
      <c r="K143">
        <f>IF('Year 3'!J199="","",'Year 3'!J199)</f>
        <v>0</v>
      </c>
      <c r="L143">
        <f>IF('Year 3'!$E199="","",'Year 3'!$E199)</f>
        <v>25</v>
      </c>
      <c r="M143" s="312">
        <f>IF('Year 3'!$F199="","",'Year 3'!$F199)</f>
        <v>24</v>
      </c>
      <c r="N143">
        <f>IF('Year 4'!M199="","",'Year 4'!M199)</f>
        <v>0</v>
      </c>
      <c r="O143">
        <f>IF('Year 4'!$E199="","",'Year 4'!$E199)</f>
        <v>49</v>
      </c>
      <c r="P143" s="312">
        <f>IF('Year 4'!$F199="","",'Year 4'!$F199)</f>
        <v>24</v>
      </c>
      <c r="Q143" s="313">
        <f>IF('Year 5'!P199="","",'Year 5'!P199)</f>
        <v>0</v>
      </c>
      <c r="R143">
        <f>IF('Year 5'!$E199="","",'Year 5'!$E199)</f>
        <v>49</v>
      </c>
      <c r="S143" s="312">
        <f>IF('Year 5'!$F199="","",'Year 5'!$F199)</f>
        <v>24</v>
      </c>
    </row>
    <row r="144" spans="2:19" x14ac:dyDescent="0.2">
      <c r="B144" s="307" t="s">
        <v>39</v>
      </c>
      <c r="E144" t="str">
        <f>IF('Year 1'!D200="","",'Year 1'!D200)</f>
        <v/>
      </c>
      <c r="F144" t="str">
        <f>IF('Year 1'!$E200="","",'Year 1'!$E200)</f>
        <v/>
      </c>
      <c r="G144" s="312" t="str">
        <f>IF('Year 1'!$F200="","",'Year 1'!$F200)</f>
        <v/>
      </c>
      <c r="H144" t="str">
        <f>IF('Year 2'!G200="","",'Year 2'!G200)</f>
        <v/>
      </c>
      <c r="I144" t="str">
        <f>IF('Year 2'!$E200="","",'Year 2'!$E200)</f>
        <v/>
      </c>
      <c r="J144" s="312" t="str">
        <f>IF('Year 2'!$F200="","",'Year 2'!$F200)</f>
        <v/>
      </c>
      <c r="K144">
        <f>IF('Year 3'!J200="","",'Year 3'!J200)</f>
        <v>0</v>
      </c>
      <c r="L144" t="str">
        <f>IF('Year 3'!$E200="","",'Year 3'!$E200)</f>
        <v/>
      </c>
      <c r="M144" s="312" t="str">
        <f>IF('Year 3'!$F200="","",'Year 3'!$F200)</f>
        <v/>
      </c>
      <c r="N144">
        <f>IF('Year 4'!M200="","",'Year 4'!M200)</f>
        <v>0</v>
      </c>
      <c r="O144" t="str">
        <f>IF('Year 4'!$E200="","",'Year 4'!$E200)</f>
        <v/>
      </c>
      <c r="P144" s="312" t="str">
        <f>IF('Year 4'!$F200="","",'Year 4'!$F200)</f>
        <v/>
      </c>
      <c r="Q144" s="313">
        <f>IF('Year 5'!P200="","",'Year 5'!P200)</f>
        <v>1200</v>
      </c>
      <c r="R144" t="str">
        <f>IF('Year 5'!$E200="","",'Year 5'!$E200)</f>
        <v/>
      </c>
      <c r="S144" s="312" t="str">
        <f>IF('Year 5'!$F200="","",'Year 5'!$F200)</f>
        <v/>
      </c>
    </row>
    <row r="145" spans="2:19" x14ac:dyDescent="0.2">
      <c r="B145" s="307"/>
      <c r="E145" t="str">
        <f>IF('Year 1'!D201="","",'Year 1'!D201)</f>
        <v/>
      </c>
      <c r="F145" t="str">
        <f>IF('Year 1'!$E201="","",'Year 1'!$E201)</f>
        <v/>
      </c>
      <c r="G145" s="312" t="str">
        <f>IF('Year 1'!$F201="","",'Year 1'!$F201)</f>
        <v/>
      </c>
      <c r="H145" t="str">
        <f>IF('Year 2'!G201="","",'Year 2'!G201)</f>
        <v/>
      </c>
      <c r="I145" t="str">
        <f>IF('Year 2'!$E201="","",'Year 2'!$E201)</f>
        <v/>
      </c>
      <c r="J145" s="312" t="str">
        <f>IF('Year 2'!$F201="","",'Year 2'!$F201)</f>
        <v/>
      </c>
      <c r="K145" t="str">
        <f>IF('Year 3'!J201="","",'Year 3'!J201)</f>
        <v/>
      </c>
      <c r="L145" t="str">
        <f>IF('Year 3'!$E201="","",'Year 3'!$E201)</f>
        <v/>
      </c>
      <c r="M145" s="312" t="str">
        <f>IF('Year 3'!$F201="","",'Year 3'!$F201)</f>
        <v/>
      </c>
      <c r="N145" t="str">
        <f>IF('Year 4'!M201="","",'Year 4'!M201)</f>
        <v/>
      </c>
      <c r="O145" t="str">
        <f>IF('Year 4'!$E201="","",'Year 4'!$E201)</f>
        <v/>
      </c>
      <c r="P145" s="312" t="str">
        <f>IF('Year 4'!$F201="","",'Year 4'!$F201)</f>
        <v/>
      </c>
      <c r="Q145" s="313" t="str">
        <f>IF('Year 5'!P201="","",'Year 5'!P201)</f>
        <v/>
      </c>
      <c r="R145" t="str">
        <f>IF('Year 5'!$E201="","",'Year 5'!$E201)</f>
        <v/>
      </c>
      <c r="S145" s="312" t="str">
        <f>IF('Year 5'!$F201="","",'Year 5'!$F201)</f>
        <v/>
      </c>
    </row>
    <row r="146" spans="2:19" x14ac:dyDescent="0.2">
      <c r="B146" s="307" t="s">
        <v>41</v>
      </c>
      <c r="E146" t="str">
        <f>IF('Year 1'!$E202="","",'Year 1'!$E202)</f>
        <v>Year 1 (2020)</v>
      </c>
      <c r="F146" t="str">
        <f>IF('Year 1'!$F202="","",'Year 1'!$F202)</f>
        <v/>
      </c>
      <c r="G146" s="312" t="str">
        <f>IF('Year 1'!$G202="","",'Year 1'!$G202)</f>
        <v/>
      </c>
      <c r="H146" t="str">
        <f>IF('Year 2'!$E202="","",'Year 2'!$E202)</f>
        <v>Year 2 (2021)</v>
      </c>
      <c r="I146" t="str">
        <f>IF('Year 2'!$F202="","",'Year 2'!$F202)</f>
        <v/>
      </c>
      <c r="J146" s="312" t="str">
        <f>IF('Year 2'!$G202="","",'Year 2'!$G202)</f>
        <v/>
      </c>
      <c r="K146" t="str">
        <f>IF('Year 3'!$E202="","",'Year 3'!$E202)</f>
        <v>Year 3 (2022)</v>
      </c>
      <c r="L146" t="str">
        <f>IF('Year 3'!$F202="","",'Year 3'!$F202)</f>
        <v/>
      </c>
      <c r="M146" s="312" t="str">
        <f>IF('Year 3'!$G202="","",'Year 3'!$G202)</f>
        <v/>
      </c>
      <c r="N146" t="str">
        <f>IF('Year 4'!$E202="","",'Year 4'!$E202)</f>
        <v>Year 4 (2023)</v>
      </c>
      <c r="O146" t="str">
        <f>IF('Year 4'!$F202="","",'Year 4'!$F202)</f>
        <v/>
      </c>
      <c r="P146" s="312" t="str">
        <f>IF('Year 4'!$G202="","",'Year 4'!$G202)</f>
        <v/>
      </c>
      <c r="Q146" s="313" t="str">
        <f>IF('Year 5'!$E202="","",'Year 5'!$E202)</f>
        <v>Year 5 (2024)</v>
      </c>
      <c r="R146" t="str">
        <f>IF('Year 5'!$F202="","",'Year 5'!$F202)</f>
        <v/>
      </c>
      <c r="S146" s="312" t="str">
        <f>IF('Year 5'!$G202="","",'Year 5'!$G202)</f>
        <v/>
      </c>
    </row>
    <row r="147" spans="2:19" x14ac:dyDescent="0.2">
      <c r="B147" s="307"/>
      <c r="E147" t="str">
        <f>IF('Year 1'!$E203="","",'Year 1'!$E203)</f>
        <v/>
      </c>
      <c r="F147" t="str">
        <f>IF('Year 1'!$F203="","",'Year 1'!$F203)</f>
        <v/>
      </c>
      <c r="G147" s="312" t="str">
        <f>IF('Year 1'!$G203="","",'Year 1'!$G203)</f>
        <v>Period</v>
      </c>
      <c r="H147" t="str">
        <f>IF('Year 2'!$E203="","",'Year 2'!$E203)</f>
        <v/>
      </c>
      <c r="I147" t="str">
        <f>IF('Year 2'!$F203="","",'Year 2'!$F203)</f>
        <v/>
      </c>
      <c r="J147" s="312" t="str">
        <f>IF('Year 2'!$G203="","",'Year 2'!$G203)</f>
        <v>Period</v>
      </c>
      <c r="K147" t="str">
        <f>IF('Year 3'!$E203="","",'Year 3'!$E203)</f>
        <v/>
      </c>
      <c r="L147" t="str">
        <f>IF('Year 3'!$F203="","",'Year 3'!$F203)</f>
        <v/>
      </c>
      <c r="M147" s="312" t="str">
        <f>IF('Year 3'!$G203="","",'Year 3'!$G203)</f>
        <v>Period</v>
      </c>
      <c r="N147" t="str">
        <f>IF('Year 4'!$E203="","",'Year 4'!$E203)</f>
        <v/>
      </c>
      <c r="O147" t="str">
        <f>IF('Year 4'!$F203="","",'Year 4'!$F203)</f>
        <v/>
      </c>
      <c r="P147" s="312" t="str">
        <f>IF('Year 4'!$G203="","",'Year 4'!$G203)</f>
        <v>Period</v>
      </c>
      <c r="Q147" s="313" t="str">
        <f>IF('Year 5'!$E203="","",'Year 5'!$E203)</f>
        <v/>
      </c>
      <c r="R147" t="str">
        <f>IF('Year 5'!$F203="","",'Year 5'!$F203)</f>
        <v/>
      </c>
      <c r="S147" s="312" t="str">
        <f>IF('Year 5'!$G203="","",'Year 5'!$G203)</f>
        <v>Period</v>
      </c>
    </row>
    <row r="148" spans="2:19" x14ac:dyDescent="0.2">
      <c r="B148" s="307" t="s">
        <v>149</v>
      </c>
      <c r="E148" t="str">
        <f>IF('Year 1'!$E204="","",'Year 1'!$E204)</f>
        <v xml:space="preserve">Payment period in days </v>
      </c>
      <c r="F148" t="str">
        <f>IF('Year 1'!$F204="","",'Year 1'!$F204)</f>
        <v/>
      </c>
      <c r="G148" s="312" t="str">
        <f>IF('Year 1'!$G204="","",'Year 1'!$G204)</f>
        <v/>
      </c>
      <c r="H148" t="str">
        <f>IF('Year 2'!$E204="","",'Year 2'!$E204)</f>
        <v xml:space="preserve">Payment period in days </v>
      </c>
      <c r="I148" t="str">
        <f>IF('Year 2'!$F204="","",'Year 2'!$F204)</f>
        <v/>
      </c>
      <c r="J148" s="312" t="str">
        <f>IF('Year 2'!$G204="","",'Year 2'!$G204)</f>
        <v/>
      </c>
      <c r="K148" t="str">
        <f>IF('Year 3'!$E204="","",'Year 3'!$E204)</f>
        <v xml:space="preserve">Payment period in days </v>
      </c>
      <c r="L148" t="str">
        <f>IF('Year 3'!$F204="","",'Year 3'!$F204)</f>
        <v/>
      </c>
      <c r="M148" s="312" t="str">
        <f>IF('Year 3'!$G204="","",'Year 3'!$G204)</f>
        <v/>
      </c>
      <c r="N148" t="str">
        <f>IF('Year 4'!$E204="","",'Year 4'!$E204)</f>
        <v xml:space="preserve">Payment period in days </v>
      </c>
      <c r="O148" t="str">
        <f>IF('Year 4'!$F204="","",'Year 4'!$F204)</f>
        <v/>
      </c>
      <c r="P148" s="312" t="str">
        <f>IF('Year 4'!$G204="","",'Year 4'!$G204)</f>
        <v/>
      </c>
      <c r="Q148" s="313" t="str">
        <f>IF('Year 5'!$E204="","",'Year 5'!$E204)</f>
        <v xml:space="preserve">Payment period in days </v>
      </c>
      <c r="R148" t="str">
        <f>IF('Year 5'!$F204="","",'Year 5'!$F204)</f>
        <v/>
      </c>
      <c r="S148" s="312" t="str">
        <f>IF('Year 5'!$G204="","",'Year 5'!$G204)</f>
        <v/>
      </c>
    </row>
    <row r="149" spans="2:19" x14ac:dyDescent="0.2">
      <c r="B149" s="307"/>
      <c r="C149" t="s">
        <v>330</v>
      </c>
      <c r="E149">
        <f>IF('Year 1'!$E205="","",'Year 1'!$E205)</f>
        <v>30</v>
      </c>
      <c r="F149" t="str">
        <f>IF('Year 1'!$F205="","",'Year 1'!$F205)</f>
        <v/>
      </c>
      <c r="G149" s="312" t="str">
        <f>IF('Year 1'!$G205="","",'Year 1'!$G205)</f>
        <v/>
      </c>
      <c r="H149">
        <f>IF('Year 2'!$E205="","",'Year 2'!$E205)</f>
        <v>30</v>
      </c>
      <c r="I149" t="str">
        <f>IF('Year 2'!$F205="","",'Year 2'!$F205)</f>
        <v/>
      </c>
      <c r="J149" s="312" t="str">
        <f>IF('Year 2'!$G205="","",'Year 2'!$G205)</f>
        <v/>
      </c>
      <c r="K149">
        <f>IF('Year 3'!$E205="","",'Year 3'!$E205)</f>
        <v>30</v>
      </c>
      <c r="L149" t="str">
        <f>IF('Year 3'!$F205="","",'Year 3'!$F205)</f>
        <v/>
      </c>
      <c r="M149" s="312" t="str">
        <f>IF('Year 3'!$G205="","",'Year 3'!$G205)</f>
        <v/>
      </c>
      <c r="N149">
        <f>IF('Year 4'!$E205="","",'Year 4'!$E205)</f>
        <v>30</v>
      </c>
      <c r="O149" t="str">
        <f>IF('Year 4'!$F205="","",'Year 4'!$F205)</f>
        <v/>
      </c>
      <c r="P149" s="312" t="str">
        <f>IF('Year 4'!$G205="","",'Year 4'!$G205)</f>
        <v/>
      </c>
      <c r="Q149" s="313">
        <f>IF('Year 5'!$E205="","",'Year 5'!$E205)</f>
        <v>30</v>
      </c>
      <c r="R149" t="str">
        <f>IF('Year 5'!$F205="","",'Year 5'!$F205)</f>
        <v/>
      </c>
      <c r="S149" s="312" t="str">
        <f>IF('Year 5'!$G205="","",'Year 5'!$G205)</f>
        <v/>
      </c>
    </row>
    <row r="150" spans="2:19" x14ac:dyDescent="0.2">
      <c r="B150" s="307"/>
      <c r="C150" s="318" t="s">
        <v>331</v>
      </c>
      <c r="D150" s="318"/>
      <c r="E150" s="318">
        <f>IF('Year 1'!$E206="","",'Year 1'!$E206)</f>
        <v>0</v>
      </c>
      <c r="F150" s="318" t="str">
        <f>IF('Year 1'!$F206="","",'Year 1'!$F206)</f>
        <v/>
      </c>
      <c r="G150" s="319" t="str">
        <f>IF('Year 1'!$G206="","",'Year 1'!$G206)</f>
        <v/>
      </c>
      <c r="H150" s="318">
        <f>IF('Year 2'!$E206="","",'Year 2'!$E206)</f>
        <v>0</v>
      </c>
      <c r="I150" s="318" t="str">
        <f>IF('Year 2'!$F206="","",'Year 2'!$F206)</f>
        <v/>
      </c>
      <c r="J150" s="319" t="str">
        <f>IF('Year 2'!$G206="","",'Year 2'!$G206)</f>
        <v/>
      </c>
      <c r="K150" s="318">
        <f>IF('Year 3'!$E206="","",'Year 3'!$E206)</f>
        <v>0</v>
      </c>
      <c r="L150" s="318" t="str">
        <f>IF('Year 3'!$F206="","",'Year 3'!$F206)</f>
        <v/>
      </c>
      <c r="M150" s="319" t="str">
        <f>IF('Year 3'!$G206="","",'Year 3'!$G206)</f>
        <v/>
      </c>
      <c r="N150" s="318">
        <f>IF('Year 4'!$E206="","",'Year 4'!$E206)</f>
        <v>0</v>
      </c>
      <c r="O150" s="318" t="str">
        <f>IF('Year 4'!$F206="","",'Year 4'!$F206)</f>
        <v/>
      </c>
      <c r="P150" s="319" t="str">
        <f>IF('Year 4'!$G206="","",'Year 4'!$G206)</f>
        <v/>
      </c>
      <c r="Q150" s="320">
        <f>IF('Year 5'!$E206="","",'Year 5'!$E206)</f>
        <v>0</v>
      </c>
      <c r="R150" s="318" t="str">
        <f>IF('Year 5'!$F206="","",'Year 5'!$F206)</f>
        <v/>
      </c>
      <c r="S150" s="319" t="str">
        <f>IF('Year 5'!$G206="","",'Year 5'!$G206)</f>
        <v/>
      </c>
    </row>
    <row r="151" spans="2:19" x14ac:dyDescent="0.2">
      <c r="B151" s="307"/>
      <c r="C151" s="318" t="s">
        <v>332</v>
      </c>
      <c r="D151" s="318"/>
      <c r="E151" s="318">
        <f>IF('Year 1'!$E207="","",'Year 1'!$E207)</f>
        <v>15</v>
      </c>
      <c r="F151" s="318" t="str">
        <f>IF('Year 1'!$F207="","",'Year 1'!$F207)</f>
        <v/>
      </c>
      <c r="G151" s="319" t="str">
        <f>IF('Year 1'!$G207="","",'Year 1'!$G207)</f>
        <v/>
      </c>
      <c r="H151" s="318">
        <f>IF('Year 2'!$E207="","",'Year 2'!$E207)</f>
        <v>15</v>
      </c>
      <c r="I151" s="318" t="str">
        <f>IF('Year 2'!$F207="","",'Year 2'!$F207)</f>
        <v/>
      </c>
      <c r="J151" s="319" t="str">
        <f>IF('Year 2'!$G207="","",'Year 2'!$G207)</f>
        <v/>
      </c>
      <c r="K151" s="318">
        <f>IF('Year 3'!$E207="","",'Year 3'!$E207)</f>
        <v>15</v>
      </c>
      <c r="L151" s="318" t="str">
        <f>IF('Year 3'!$F207="","",'Year 3'!$F207)</f>
        <v/>
      </c>
      <c r="M151" s="319" t="str">
        <f>IF('Year 3'!$G207="","",'Year 3'!$G207)</f>
        <v/>
      </c>
      <c r="N151" s="318">
        <f>IF('Year 4'!$E207="","",'Year 4'!$E207)</f>
        <v>15</v>
      </c>
      <c r="O151" s="318" t="str">
        <f>IF('Year 4'!$F207="","",'Year 4'!$F207)</f>
        <v/>
      </c>
      <c r="P151" s="319" t="str">
        <f>IF('Year 4'!$G207="","",'Year 4'!$G207)</f>
        <v/>
      </c>
      <c r="Q151" s="320">
        <f>IF('Year 5'!$E207="","",'Year 5'!$E207)</f>
        <v>15</v>
      </c>
      <c r="R151" s="318" t="str">
        <f>IF('Year 5'!$F207="","",'Year 5'!$F207)</f>
        <v/>
      </c>
      <c r="S151" s="319" t="str">
        <f>IF('Year 5'!$G207="","",'Year 5'!$G207)</f>
        <v/>
      </c>
    </row>
    <row r="152" spans="2:19" x14ac:dyDescent="0.2">
      <c r="B152" s="307"/>
      <c r="C152" t="s">
        <v>333</v>
      </c>
      <c r="E152">
        <f>IF('Year 1'!$E208="","",'Year 1'!$E208)</f>
        <v>30</v>
      </c>
      <c r="F152" t="str">
        <f>IF('Year 1'!$F208="","",'Year 1'!$F208)</f>
        <v/>
      </c>
      <c r="G152" s="312" t="str">
        <f>IF('Year 1'!$G208="","",'Year 1'!$G208)</f>
        <v/>
      </c>
      <c r="H152">
        <f>IF('Year 2'!$E208="","",'Year 2'!$E208)</f>
        <v>30</v>
      </c>
      <c r="I152" t="str">
        <f>IF('Year 2'!$F208="","",'Year 2'!$F208)</f>
        <v/>
      </c>
      <c r="J152" s="312" t="str">
        <f>IF('Year 2'!$G208="","",'Year 2'!$G208)</f>
        <v/>
      </c>
      <c r="K152">
        <f>IF('Year 3'!$E208="","",'Year 3'!$E208)</f>
        <v>30</v>
      </c>
      <c r="L152" t="str">
        <f>IF('Year 3'!$F208="","",'Year 3'!$F208)</f>
        <v/>
      </c>
      <c r="M152" s="312" t="str">
        <f>IF('Year 3'!$G208="","",'Year 3'!$G208)</f>
        <v/>
      </c>
      <c r="N152">
        <f>IF('Year 4'!$E208="","",'Year 4'!$E208)</f>
        <v>30</v>
      </c>
      <c r="O152" t="str">
        <f>IF('Year 4'!$F208="","",'Year 4'!$F208)</f>
        <v/>
      </c>
      <c r="P152" s="312" t="str">
        <f>IF('Year 4'!$G208="","",'Year 4'!$G208)</f>
        <v/>
      </c>
      <c r="Q152" s="313">
        <f>IF('Year 5'!$E208="","",'Year 5'!$E208)</f>
        <v>30</v>
      </c>
      <c r="R152" t="str">
        <f>IF('Year 5'!$F208="","",'Year 5'!$F208)</f>
        <v/>
      </c>
      <c r="S152" s="312" t="str">
        <f>IF('Year 5'!$G208="","",'Year 5'!$G208)</f>
        <v/>
      </c>
    </row>
    <row r="153" spans="2:19" x14ac:dyDescent="0.2">
      <c r="B153" s="307" t="s">
        <v>151</v>
      </c>
      <c r="E153" t="str">
        <f>IF('Year 1'!$E209="","",'Year 1'!$E209)</f>
        <v/>
      </c>
      <c r="F153" t="str">
        <f>IF('Year 1'!$F209="","",'Year 1'!$F209)</f>
        <v/>
      </c>
      <c r="G153" s="312" t="str">
        <f>IF('Year 1'!$G209="","",'Year 1'!$G209)</f>
        <v/>
      </c>
      <c r="H153" t="str">
        <f>IF('Year 2'!$E209="","",'Year 2'!$E209)</f>
        <v/>
      </c>
      <c r="I153" t="str">
        <f>IF('Year 2'!$F209="","",'Year 2'!$F209)</f>
        <v/>
      </c>
      <c r="J153" s="312" t="str">
        <f>IF('Year 2'!$G209="","",'Year 2'!$G209)</f>
        <v/>
      </c>
      <c r="K153" t="str">
        <f>IF('Year 3'!$E209="","",'Year 3'!$E209)</f>
        <v/>
      </c>
      <c r="L153" t="str">
        <f>IF('Year 3'!$F209="","",'Year 3'!$F209)</f>
        <v/>
      </c>
      <c r="M153" s="312" t="str">
        <f>IF('Year 3'!$G209="","",'Year 3'!$G209)</f>
        <v/>
      </c>
      <c r="N153" t="str">
        <f>IF('Year 4'!$E209="","",'Year 4'!$E209)</f>
        <v/>
      </c>
      <c r="O153" t="str">
        <f>IF('Year 4'!$F209="","",'Year 4'!$F209)</f>
        <v/>
      </c>
      <c r="P153" s="312" t="str">
        <f>IF('Year 4'!$G209="","",'Year 4'!$G209)</f>
        <v/>
      </c>
      <c r="Q153" s="313" t="str">
        <f>IF('Year 5'!$E209="","",'Year 5'!$E209)</f>
        <v/>
      </c>
      <c r="R153" t="str">
        <f>IF('Year 5'!$F209="","",'Year 5'!$F209)</f>
        <v/>
      </c>
      <c r="S153" s="312" t="str">
        <f>IF('Year 5'!$G209="","",'Year 5'!$G209)</f>
        <v/>
      </c>
    </row>
    <row r="154" spans="2:19" x14ac:dyDescent="0.2">
      <c r="B154" s="307"/>
      <c r="E154" t="str">
        <f>IF('Year 1'!$E210="","",'Year 1'!$E210)</f>
        <v/>
      </c>
      <c r="F154" t="str">
        <f>IF('Year 1'!$F210="","",'Year 1'!$F210)</f>
        <v/>
      </c>
      <c r="G154" s="312" t="str">
        <f>IF('Year 1'!$G210="","",'Year 1'!$G210)</f>
        <v/>
      </c>
      <c r="H154" t="str">
        <f>IF('Year 2'!$E210="","",'Year 2'!$E210)</f>
        <v/>
      </c>
      <c r="I154" t="str">
        <f>IF('Year 2'!$F210="","",'Year 2'!$F210)</f>
        <v/>
      </c>
      <c r="J154" s="312" t="str">
        <f>IF('Year 2'!$G210="","",'Year 2'!$G210)</f>
        <v/>
      </c>
      <c r="K154" t="str">
        <f>IF('Year 3'!$E210="","",'Year 3'!$E210)</f>
        <v/>
      </c>
      <c r="L154" t="str">
        <f>IF('Year 3'!$F210="","",'Year 3'!$F210)</f>
        <v/>
      </c>
      <c r="M154" s="312" t="str">
        <f>IF('Year 3'!$G210="","",'Year 3'!$G210)</f>
        <v/>
      </c>
      <c r="N154" t="str">
        <f>IF('Year 4'!$E210="","",'Year 4'!$E210)</f>
        <v/>
      </c>
      <c r="O154" t="str">
        <f>IF('Year 4'!$F210="","",'Year 4'!$F210)</f>
        <v/>
      </c>
      <c r="P154" s="312" t="str">
        <f>IF('Year 4'!$G210="","",'Year 4'!$G210)</f>
        <v/>
      </c>
      <c r="Q154" s="313" t="str">
        <f>IF('Year 5'!$E210="","",'Year 5'!$E210)</f>
        <v/>
      </c>
      <c r="R154" t="str">
        <f>IF('Year 5'!$F210="","",'Year 5'!$F210)</f>
        <v/>
      </c>
      <c r="S154" s="312" t="str">
        <f>IF('Year 5'!$G210="","",'Year 5'!$G210)</f>
        <v/>
      </c>
    </row>
    <row r="155" spans="2:19" x14ac:dyDescent="0.2">
      <c r="B155" s="307" t="s">
        <v>150</v>
      </c>
      <c r="E155" t="str">
        <f>IF('Year 1'!$E215="","",'Year 1'!$E215)</f>
        <v xml:space="preserve">Payment period in days </v>
      </c>
      <c r="F155" t="str">
        <f>IF('Year 1'!$F215="","",'Year 1'!$F215)</f>
        <v/>
      </c>
      <c r="G155" s="312" t="str">
        <f>IF('Year 1'!$G215="","",'Year 1'!$G215)</f>
        <v/>
      </c>
      <c r="H155" t="str">
        <f>IF('Year 2'!$E215="","",'Year 2'!$E215)</f>
        <v xml:space="preserve">Payment period in days </v>
      </c>
      <c r="I155" t="str">
        <f>IF('Year 2'!$F215="","",'Year 2'!$F215)</f>
        <v/>
      </c>
      <c r="J155" s="312" t="str">
        <f>IF('Year 2'!$G215="","",'Year 2'!$G215)</f>
        <v/>
      </c>
      <c r="K155" t="str">
        <f>IF('Year 3'!$E215="","",'Year 3'!$E215)</f>
        <v xml:space="preserve">Payment period in days </v>
      </c>
      <c r="L155" t="str">
        <f>IF('Year 3'!$F215="","",'Year 3'!$F215)</f>
        <v/>
      </c>
      <c r="M155" s="312" t="str">
        <f>IF('Year 3'!$G215="","",'Year 3'!$G215)</f>
        <v/>
      </c>
      <c r="N155" t="str">
        <f>IF('Year 4'!$E215="","",'Year 4'!$E215)</f>
        <v xml:space="preserve">Payment period in days </v>
      </c>
      <c r="O155" t="str">
        <f>IF('Year 4'!$F215="","",'Year 4'!$F215)</f>
        <v/>
      </c>
      <c r="P155" s="312" t="str">
        <f>IF('Year 4'!$G215="","",'Year 4'!$G215)</f>
        <v/>
      </c>
      <c r="Q155" s="313" t="str">
        <f>IF('Year 5'!$E215="","",'Year 5'!$E215)</f>
        <v xml:space="preserve">Payment period in days </v>
      </c>
      <c r="R155" t="str">
        <f>IF('Year 5'!$F215="","",'Year 5'!$F215)</f>
        <v/>
      </c>
      <c r="S155" s="312" t="str">
        <f>IF('Year 5'!$G215="","",'Year 5'!$G215)</f>
        <v/>
      </c>
    </row>
    <row r="156" spans="2:19" x14ac:dyDescent="0.2">
      <c r="B156" s="307"/>
      <c r="C156" t="s">
        <v>334</v>
      </c>
      <c r="E156">
        <f>IF('Year 1'!$E216="","",'Year 1'!$E216)</f>
        <v>14</v>
      </c>
      <c r="F156" t="str">
        <f>IF('Year 1'!$F216="","",'Year 1'!$F216)</f>
        <v/>
      </c>
      <c r="G156" s="312" t="str">
        <f>IF('Year 1'!$G216="","",'Year 1'!$G216)</f>
        <v/>
      </c>
      <c r="H156">
        <f>IF('Year 2'!$E216="","",'Year 2'!$E216)</f>
        <v>14</v>
      </c>
      <c r="I156" t="str">
        <f>IF('Year 2'!$F216="","",'Year 2'!$F216)</f>
        <v/>
      </c>
      <c r="J156" s="312" t="str">
        <f>IF('Year 2'!$G216="","",'Year 2'!$G216)</f>
        <v/>
      </c>
      <c r="K156">
        <f>IF('Year 3'!$E216="","",'Year 3'!$E216)</f>
        <v>14</v>
      </c>
      <c r="L156" t="str">
        <f>IF('Year 3'!$F216="","",'Year 3'!$F216)</f>
        <v/>
      </c>
      <c r="M156" s="312" t="str">
        <f>IF('Year 3'!$G216="","",'Year 3'!$G216)</f>
        <v/>
      </c>
      <c r="N156">
        <f>IF('Year 4'!$E216="","",'Year 4'!$E216)</f>
        <v>14</v>
      </c>
      <c r="O156" t="str">
        <f>IF('Year 4'!$F216="","",'Year 4'!$F216)</f>
        <v/>
      </c>
      <c r="P156" s="312" t="str">
        <f>IF('Year 4'!$G216="","",'Year 4'!$G216)</f>
        <v/>
      </c>
      <c r="Q156" s="313">
        <f>IF('Year 5'!$E216="","",'Year 5'!$E216)</f>
        <v>14</v>
      </c>
      <c r="R156" t="str">
        <f>IF('Year 5'!$F216="","",'Year 5'!$F216)</f>
        <v/>
      </c>
      <c r="S156" s="312" t="str">
        <f>IF('Year 5'!$G216="","",'Year 5'!$G216)</f>
        <v/>
      </c>
    </row>
    <row r="157" spans="2:19" x14ac:dyDescent="0.2">
      <c r="B157" s="307"/>
      <c r="C157" s="318" t="s">
        <v>335</v>
      </c>
      <c r="D157" s="318"/>
      <c r="E157" s="318">
        <f>IF('Year 1'!$E217="","",'Year 1'!$E217)</f>
        <v>14</v>
      </c>
      <c r="F157" s="318" t="str">
        <f>IF('Year 1'!$F217="","",'Year 1'!$F217)</f>
        <v/>
      </c>
      <c r="G157" s="319" t="str">
        <f>IF('Year 1'!$G217="","",'Year 1'!$G217)</f>
        <v/>
      </c>
      <c r="H157" s="318">
        <f>IF('Year 2'!$E217="","",'Year 2'!$E217)</f>
        <v>14</v>
      </c>
      <c r="I157" s="318" t="str">
        <f>IF('Year 2'!$F217="","",'Year 2'!$F217)</f>
        <v/>
      </c>
      <c r="J157" s="319" t="str">
        <f>IF('Year 2'!$G217="","",'Year 2'!$G217)</f>
        <v/>
      </c>
      <c r="K157" s="318">
        <f>IF('Year 3'!$E217="","",'Year 3'!$E217)</f>
        <v>14</v>
      </c>
      <c r="L157" s="318" t="str">
        <f>IF('Year 3'!$F217="","",'Year 3'!$F217)</f>
        <v/>
      </c>
      <c r="M157" s="319" t="str">
        <f>IF('Year 3'!$G217="","",'Year 3'!$G217)</f>
        <v/>
      </c>
      <c r="N157" s="318">
        <f>IF('Year 4'!$E217="","",'Year 4'!$E217)</f>
        <v>14</v>
      </c>
      <c r="O157" s="318" t="str">
        <f>IF('Year 4'!$F217="","",'Year 4'!$F217)</f>
        <v/>
      </c>
      <c r="P157" s="319" t="str">
        <f>IF('Year 4'!$G217="","",'Year 4'!$G217)</f>
        <v/>
      </c>
      <c r="Q157" s="320">
        <f>IF('Year 5'!$E217="","",'Year 5'!$E217)</f>
        <v>14</v>
      </c>
      <c r="R157" s="318" t="str">
        <f>IF('Year 5'!$F217="","",'Year 5'!$F217)</f>
        <v/>
      </c>
      <c r="S157" s="319" t="str">
        <f>IF('Year 5'!$G217="","",'Year 5'!$G217)</f>
        <v/>
      </c>
    </row>
    <row r="158" spans="2:19" x14ac:dyDescent="0.2">
      <c r="B158" s="307"/>
      <c r="C158" s="318" t="s">
        <v>336</v>
      </c>
      <c r="D158" s="318"/>
      <c r="E158" s="318">
        <f>IF('Year 1'!$E218="","",'Year 1'!$E218)</f>
        <v>14</v>
      </c>
      <c r="F158" s="318" t="str">
        <f>IF('Year 1'!$F218="","",'Year 1'!$F218)</f>
        <v/>
      </c>
      <c r="G158" s="319" t="str">
        <f>IF('Year 1'!$G218="","",'Year 1'!$G218)</f>
        <v/>
      </c>
      <c r="H158" s="318">
        <f>IF('Year 2'!$E218="","",'Year 2'!$E218)</f>
        <v>14</v>
      </c>
      <c r="I158" s="318" t="str">
        <f>IF('Year 2'!$F218="","",'Year 2'!$F218)</f>
        <v/>
      </c>
      <c r="J158" s="319" t="str">
        <f>IF('Year 2'!$G218="","",'Year 2'!$G218)</f>
        <v/>
      </c>
      <c r="K158" s="318">
        <f>IF('Year 3'!$E218="","",'Year 3'!$E218)</f>
        <v>14</v>
      </c>
      <c r="L158" s="318" t="str">
        <f>IF('Year 3'!$F218="","",'Year 3'!$F218)</f>
        <v/>
      </c>
      <c r="M158" s="319" t="str">
        <f>IF('Year 3'!$G218="","",'Year 3'!$G218)</f>
        <v/>
      </c>
      <c r="N158" s="318">
        <f>IF('Year 4'!$E218="","",'Year 4'!$E218)</f>
        <v>14</v>
      </c>
      <c r="O158" s="318" t="str">
        <f>IF('Year 4'!$F218="","",'Year 4'!$F218)</f>
        <v/>
      </c>
      <c r="P158" s="319" t="str">
        <f>IF('Year 4'!$G218="","",'Year 4'!$G218)</f>
        <v/>
      </c>
      <c r="Q158" s="320">
        <f>IF('Year 5'!$E218="","",'Year 5'!$E218)</f>
        <v>14</v>
      </c>
      <c r="R158" s="318" t="str">
        <f>IF('Year 5'!$F218="","",'Year 5'!$F218)</f>
        <v/>
      </c>
      <c r="S158" s="319" t="str">
        <f>IF('Year 5'!$G218="","",'Year 5'!$G218)</f>
        <v/>
      </c>
    </row>
    <row r="159" spans="2:19" x14ac:dyDescent="0.2">
      <c r="B159" s="307"/>
      <c r="C159" s="318" t="s">
        <v>337</v>
      </c>
      <c r="D159" s="318"/>
      <c r="E159" s="318">
        <f>IF('Year 1'!$E219="","",'Year 1'!$E219)</f>
        <v>14</v>
      </c>
      <c r="F159" s="318" t="str">
        <f>IF('Year 1'!$F219="","",'Year 1'!$F219)</f>
        <v/>
      </c>
      <c r="G159" s="319" t="str">
        <f>IF('Year 1'!$G219="","",'Year 1'!$G219)</f>
        <v/>
      </c>
      <c r="H159" s="318">
        <f>IF('Year 2'!$E219="","",'Year 2'!$E219)</f>
        <v>14</v>
      </c>
      <c r="I159" s="318" t="str">
        <f>IF('Year 2'!$F219="","",'Year 2'!$F219)</f>
        <v/>
      </c>
      <c r="J159" s="319" t="str">
        <f>IF('Year 2'!$G219="","",'Year 2'!$G219)</f>
        <v/>
      </c>
      <c r="K159" s="318">
        <f>IF('Year 3'!$E219="","",'Year 3'!$E219)</f>
        <v>14</v>
      </c>
      <c r="L159" s="318" t="str">
        <f>IF('Year 3'!$F219="","",'Year 3'!$F219)</f>
        <v/>
      </c>
      <c r="M159" s="319" t="str">
        <f>IF('Year 3'!$G219="","",'Year 3'!$G219)</f>
        <v/>
      </c>
      <c r="N159" s="318">
        <f>IF('Year 4'!$E219="","",'Year 4'!$E219)</f>
        <v>14</v>
      </c>
      <c r="O159" s="318" t="str">
        <f>IF('Year 4'!$F219="","",'Year 4'!$F219)</f>
        <v/>
      </c>
      <c r="P159" s="319" t="str">
        <f>IF('Year 4'!$G219="","",'Year 4'!$G219)</f>
        <v/>
      </c>
      <c r="Q159" s="320">
        <f>IF('Year 5'!$E219="","",'Year 5'!$E219)</f>
        <v>14</v>
      </c>
      <c r="R159" s="318" t="str">
        <f>IF('Year 5'!$F219="","",'Year 5'!$F219)</f>
        <v/>
      </c>
      <c r="S159" s="319" t="str">
        <f>IF('Year 5'!$G219="","",'Year 5'!$G219)</f>
        <v/>
      </c>
    </row>
    <row r="160" spans="2:19" x14ac:dyDescent="0.2">
      <c r="B160" s="307"/>
      <c r="C160" s="318" t="s">
        <v>338</v>
      </c>
      <c r="D160" s="318"/>
      <c r="E160" s="318">
        <f>IF('Year 1'!$E220="","",'Year 1'!$E220)</f>
        <v>30</v>
      </c>
      <c r="F160" s="318" t="str">
        <f>IF('Year 1'!$F220="","",'Year 1'!$F220)</f>
        <v/>
      </c>
      <c r="G160" s="319" t="str">
        <f>IF('Year 1'!$G220="","",'Year 1'!$G220)</f>
        <v/>
      </c>
      <c r="H160" s="318">
        <f>IF('Year 2'!$E220="","",'Year 2'!$E220)</f>
        <v>30</v>
      </c>
      <c r="I160" s="318" t="str">
        <f>IF('Year 2'!$F220="","",'Year 2'!$F220)</f>
        <v/>
      </c>
      <c r="J160" s="319" t="str">
        <f>IF('Year 2'!$G220="","",'Year 2'!$G220)</f>
        <v/>
      </c>
      <c r="K160" s="318">
        <f>IF('Year 3'!$E220="","",'Year 3'!$E220)</f>
        <v>30</v>
      </c>
      <c r="L160" s="318" t="str">
        <f>IF('Year 3'!$F220="","",'Year 3'!$F220)</f>
        <v/>
      </c>
      <c r="M160" s="319" t="str">
        <f>IF('Year 3'!$G220="","",'Year 3'!$G220)</f>
        <v/>
      </c>
      <c r="N160" s="318">
        <f>IF('Year 4'!$E220="","",'Year 4'!$E220)</f>
        <v>30</v>
      </c>
      <c r="O160" s="318" t="str">
        <f>IF('Year 4'!$F220="","",'Year 4'!$F220)</f>
        <v/>
      </c>
      <c r="P160" s="319" t="str">
        <f>IF('Year 4'!$G220="","",'Year 4'!$G220)</f>
        <v/>
      </c>
      <c r="Q160" s="320">
        <f>IF('Year 5'!$E220="","",'Year 5'!$E220)</f>
        <v>30</v>
      </c>
      <c r="R160" s="318" t="str">
        <f>IF('Year 5'!$F220="","",'Year 5'!$F220)</f>
        <v/>
      </c>
      <c r="S160" s="319" t="str">
        <f>IF('Year 5'!$G220="","",'Year 5'!$G220)</f>
        <v/>
      </c>
    </row>
    <row r="161" spans="2:19" x14ac:dyDescent="0.2">
      <c r="B161" s="307"/>
      <c r="C161" s="318" t="s">
        <v>339</v>
      </c>
      <c r="D161" s="318"/>
      <c r="E161" s="318">
        <f>IF('Year 1'!$E221="","",'Year 1'!$E221)</f>
        <v>30</v>
      </c>
      <c r="F161" s="318" t="str">
        <f>IF('Year 1'!$F221="","",'Year 1'!$F221)</f>
        <v/>
      </c>
      <c r="G161" s="319" t="str">
        <f>IF('Year 1'!$G221="","",'Year 1'!$G221)</f>
        <v/>
      </c>
      <c r="H161" s="318">
        <f>IF('Year 2'!$E221="","",'Year 2'!$E221)</f>
        <v>30</v>
      </c>
      <c r="I161" s="318" t="str">
        <f>IF('Year 2'!$F221="","",'Year 2'!$F221)</f>
        <v/>
      </c>
      <c r="J161" s="319" t="str">
        <f>IF('Year 2'!$G221="","",'Year 2'!$G221)</f>
        <v/>
      </c>
      <c r="K161" s="318">
        <f>IF('Year 3'!$E221="","",'Year 3'!$E221)</f>
        <v>30</v>
      </c>
      <c r="L161" s="318" t="str">
        <f>IF('Year 3'!$F221="","",'Year 3'!$F221)</f>
        <v/>
      </c>
      <c r="M161" s="319" t="str">
        <f>IF('Year 3'!$G221="","",'Year 3'!$G221)</f>
        <v/>
      </c>
      <c r="N161" s="318">
        <f>IF('Year 4'!$E221="","",'Year 4'!$E221)</f>
        <v>30</v>
      </c>
      <c r="O161" s="318" t="str">
        <f>IF('Year 4'!$F221="","",'Year 4'!$F221)</f>
        <v/>
      </c>
      <c r="P161" s="319" t="str">
        <f>IF('Year 4'!$G221="","",'Year 4'!$G221)</f>
        <v/>
      </c>
      <c r="Q161" s="320">
        <f>IF('Year 5'!$E221="","",'Year 5'!$E221)</f>
        <v>30</v>
      </c>
      <c r="R161" s="318" t="str">
        <f>IF('Year 5'!$F221="","",'Year 5'!$F221)</f>
        <v/>
      </c>
      <c r="S161" s="319" t="str">
        <f>IF('Year 5'!$G221="","",'Year 5'!$G221)</f>
        <v/>
      </c>
    </row>
    <row r="162" spans="2:19" x14ac:dyDescent="0.2">
      <c r="B162" s="307"/>
      <c r="C162" s="318" t="s">
        <v>340</v>
      </c>
      <c r="D162" s="318"/>
      <c r="E162" s="318">
        <f>IF('Year 1'!$E222="","",'Year 1'!$E222)</f>
        <v>0</v>
      </c>
      <c r="F162" s="318" t="str">
        <f>IF('Year 1'!$F222="","",'Year 1'!$F222)</f>
        <v/>
      </c>
      <c r="G162" s="319" t="str">
        <f>IF('Year 1'!$G222="","",'Year 1'!$G222)</f>
        <v/>
      </c>
      <c r="H162" s="318">
        <f>IF('Year 2'!$E222="","",'Year 2'!$E222)</f>
        <v>0</v>
      </c>
      <c r="I162" s="318" t="str">
        <f>IF('Year 2'!$F222="","",'Year 2'!$F222)</f>
        <v/>
      </c>
      <c r="J162" s="319" t="str">
        <f>IF('Year 2'!$G222="","",'Year 2'!$G222)</f>
        <v/>
      </c>
      <c r="K162" s="318">
        <f>IF('Year 3'!$E222="","",'Year 3'!$E222)</f>
        <v>0</v>
      </c>
      <c r="L162" s="318" t="str">
        <f>IF('Year 3'!$F222="","",'Year 3'!$F222)</f>
        <v/>
      </c>
      <c r="M162" s="319" t="str">
        <f>IF('Year 3'!$G222="","",'Year 3'!$G222)</f>
        <v/>
      </c>
      <c r="N162" s="318">
        <f>IF('Year 4'!$E222="","",'Year 4'!$E222)</f>
        <v>0</v>
      </c>
      <c r="O162" s="318" t="str">
        <f>IF('Year 4'!$F222="","",'Year 4'!$F222)</f>
        <v/>
      </c>
      <c r="P162" s="319" t="str">
        <f>IF('Year 4'!$G222="","",'Year 4'!$G222)</f>
        <v/>
      </c>
      <c r="Q162" s="320">
        <f>IF('Year 5'!$E222="","",'Year 5'!$E222)</f>
        <v>0</v>
      </c>
      <c r="R162" s="318" t="str">
        <f>IF('Year 5'!$F222="","",'Year 5'!$F222)</f>
        <v/>
      </c>
      <c r="S162" s="319" t="str">
        <f>IF('Year 5'!$G222="","",'Year 5'!$G222)</f>
        <v/>
      </c>
    </row>
    <row r="163" spans="2:19" x14ac:dyDescent="0.2">
      <c r="B163" s="307"/>
      <c r="C163" s="318" t="s">
        <v>341</v>
      </c>
      <c r="D163" s="318"/>
      <c r="E163" s="318">
        <f>IF('Year 1'!$E223="","",'Year 1'!$E223)</f>
        <v>14</v>
      </c>
      <c r="F163" s="318" t="str">
        <f>IF('Year 1'!$F223="","",'Year 1'!$F223)</f>
        <v/>
      </c>
      <c r="G163" s="319" t="str">
        <f>IF('Year 1'!$G223="","",'Year 1'!$G223)</f>
        <v/>
      </c>
      <c r="H163" s="318">
        <f>IF('Year 2'!$E223="","",'Year 2'!$E223)</f>
        <v>14</v>
      </c>
      <c r="I163" s="318" t="str">
        <f>IF('Year 2'!$F223="","",'Year 2'!$F223)</f>
        <v/>
      </c>
      <c r="J163" s="319" t="str">
        <f>IF('Year 2'!$G223="","",'Year 2'!$G223)</f>
        <v/>
      </c>
      <c r="K163" s="318">
        <f>IF('Year 3'!$E223="","",'Year 3'!$E223)</f>
        <v>14</v>
      </c>
      <c r="L163" s="318" t="str">
        <f>IF('Year 3'!$F223="","",'Year 3'!$F223)</f>
        <v/>
      </c>
      <c r="M163" s="319" t="str">
        <f>IF('Year 3'!$G223="","",'Year 3'!$G223)</f>
        <v/>
      </c>
      <c r="N163" s="318">
        <f>IF('Year 4'!$E223="","",'Year 4'!$E223)</f>
        <v>14</v>
      </c>
      <c r="O163" s="318" t="str">
        <f>IF('Year 4'!$F223="","",'Year 4'!$F223)</f>
        <v/>
      </c>
      <c r="P163" s="319" t="str">
        <f>IF('Year 4'!$G223="","",'Year 4'!$G223)</f>
        <v/>
      </c>
      <c r="Q163" s="320">
        <f>IF('Year 5'!$E223="","",'Year 5'!$E223)</f>
        <v>14</v>
      </c>
      <c r="R163" s="318" t="str">
        <f>IF('Year 5'!$F223="","",'Year 5'!$F223)</f>
        <v/>
      </c>
      <c r="S163" s="319" t="str">
        <f>IF('Year 5'!$G223="","",'Year 5'!$G223)</f>
        <v/>
      </c>
    </row>
    <row r="164" spans="2:19" x14ac:dyDescent="0.2">
      <c r="B164" s="307"/>
      <c r="C164" s="318" t="s">
        <v>342</v>
      </c>
      <c r="D164" s="318"/>
      <c r="E164" s="318">
        <f>IF('Year 1'!$E224="","",'Year 1'!$E224)</f>
        <v>12</v>
      </c>
      <c r="F164" s="318" t="str">
        <f>IF('Year 1'!$F224="","",'Year 1'!$F224)</f>
        <v/>
      </c>
      <c r="G164" s="319" t="str">
        <f>IF('Year 1'!$G224="","",'Year 1'!$G224)</f>
        <v/>
      </c>
      <c r="H164" s="318">
        <f>IF('Year 2'!$E224="","",'Year 2'!$E224)</f>
        <v>12</v>
      </c>
      <c r="I164" s="318" t="str">
        <f>IF('Year 2'!$F224="","",'Year 2'!$F224)</f>
        <v/>
      </c>
      <c r="J164" s="319" t="str">
        <f>IF('Year 2'!$G224="","",'Year 2'!$G224)</f>
        <v/>
      </c>
      <c r="K164" s="318">
        <f>IF('Year 3'!$E224="","",'Year 3'!$E224)</f>
        <v>12</v>
      </c>
      <c r="L164" s="318" t="str">
        <f>IF('Year 3'!$F224="","",'Year 3'!$F224)</f>
        <v/>
      </c>
      <c r="M164" s="319" t="str">
        <f>IF('Year 3'!$G224="","",'Year 3'!$G224)</f>
        <v/>
      </c>
      <c r="N164" s="318">
        <f>IF('Year 4'!$E224="","",'Year 4'!$E224)</f>
        <v>12</v>
      </c>
      <c r="O164" s="318" t="str">
        <f>IF('Year 4'!$F224="","",'Year 4'!$F224)</f>
        <v/>
      </c>
      <c r="P164" s="319" t="str">
        <f>IF('Year 4'!$G224="","",'Year 4'!$G224)</f>
        <v/>
      </c>
      <c r="Q164" s="320">
        <f>IF('Year 5'!$E224="","",'Year 5'!$E224)</f>
        <v>12</v>
      </c>
      <c r="R164" s="318" t="str">
        <f>IF('Year 5'!$F224="","",'Year 5'!$F224)</f>
        <v/>
      </c>
      <c r="S164" s="319" t="str">
        <f>IF('Year 5'!$G224="","",'Year 5'!$G224)</f>
        <v/>
      </c>
    </row>
    <row r="165" spans="2:19" x14ac:dyDescent="0.2">
      <c r="B165" s="307"/>
      <c r="C165" s="318" t="s">
        <v>343</v>
      </c>
      <c r="D165" s="318"/>
      <c r="E165" s="318">
        <f>IF('Year 1'!$E225="","",'Year 1'!$E225)</f>
        <v>12</v>
      </c>
      <c r="F165" s="318" t="str">
        <f>IF('Year 1'!$F225="","",'Year 1'!$F225)</f>
        <v/>
      </c>
      <c r="G165" s="319" t="str">
        <f>IF('Year 1'!$G225="","",'Year 1'!$G225)</f>
        <v/>
      </c>
      <c r="H165" s="318">
        <f>IF('Year 2'!$E225="","",'Year 2'!$E225)</f>
        <v>12</v>
      </c>
      <c r="I165" s="318" t="str">
        <f>IF('Year 2'!$F225="","",'Year 2'!$F225)</f>
        <v/>
      </c>
      <c r="J165" s="319" t="str">
        <f>IF('Year 2'!$G225="","",'Year 2'!$G225)</f>
        <v/>
      </c>
      <c r="K165" s="318">
        <f>IF('Year 3'!$E225="","",'Year 3'!$E225)</f>
        <v>12</v>
      </c>
      <c r="L165" s="318" t="str">
        <f>IF('Year 3'!$F225="","",'Year 3'!$F225)</f>
        <v/>
      </c>
      <c r="M165" s="319" t="str">
        <f>IF('Year 3'!$G225="","",'Year 3'!$G225)</f>
        <v/>
      </c>
      <c r="N165" s="318">
        <f>IF('Year 4'!$E225="","",'Year 4'!$E225)</f>
        <v>12</v>
      </c>
      <c r="O165" s="318" t="str">
        <f>IF('Year 4'!$F225="","",'Year 4'!$F225)</f>
        <v/>
      </c>
      <c r="P165" s="319" t="str">
        <f>IF('Year 4'!$G225="","",'Year 4'!$G225)</f>
        <v/>
      </c>
      <c r="Q165" s="320">
        <f>IF('Year 5'!$E225="","",'Year 5'!$E225)</f>
        <v>12</v>
      </c>
      <c r="R165" s="318" t="str">
        <f>IF('Year 5'!$F225="","",'Year 5'!$F225)</f>
        <v/>
      </c>
      <c r="S165" s="319" t="str">
        <f>IF('Year 5'!$G225="","",'Year 5'!$G225)</f>
        <v/>
      </c>
    </row>
    <row r="166" spans="2:19" x14ac:dyDescent="0.2">
      <c r="B166" s="307"/>
      <c r="C166" s="318" t="s">
        <v>344</v>
      </c>
      <c r="D166" s="318"/>
      <c r="E166" s="318">
        <f>IF('Year 1'!$E226="","",'Year 1'!$E226)</f>
        <v>12</v>
      </c>
      <c r="F166" s="318" t="str">
        <f>IF('Year 1'!$F226="","",'Year 1'!$F226)</f>
        <v/>
      </c>
      <c r="G166" s="319" t="str">
        <f>IF('Year 1'!$G226="","",'Year 1'!$G226)</f>
        <v/>
      </c>
      <c r="H166" s="318">
        <f>IF('Year 2'!$E226="","",'Year 2'!$E226)</f>
        <v>12</v>
      </c>
      <c r="I166" s="318" t="str">
        <f>IF('Year 2'!$F226="","",'Year 2'!$F226)</f>
        <v/>
      </c>
      <c r="J166" s="319" t="str">
        <f>IF('Year 2'!$G226="","",'Year 2'!$G226)</f>
        <v/>
      </c>
      <c r="K166" s="318">
        <f>IF('Year 3'!$E226="","",'Year 3'!$E226)</f>
        <v>12</v>
      </c>
      <c r="L166" s="318" t="str">
        <f>IF('Year 3'!$F226="","",'Year 3'!$F226)</f>
        <v/>
      </c>
      <c r="M166" s="319" t="str">
        <f>IF('Year 3'!$G226="","",'Year 3'!$G226)</f>
        <v/>
      </c>
      <c r="N166" s="318">
        <f>IF('Year 4'!$E226="","",'Year 4'!$E226)</f>
        <v>12</v>
      </c>
      <c r="O166" s="318" t="str">
        <f>IF('Year 4'!$F226="","",'Year 4'!$F226)</f>
        <v/>
      </c>
      <c r="P166" s="319" t="str">
        <f>IF('Year 4'!$G226="","",'Year 4'!$G226)</f>
        <v/>
      </c>
      <c r="Q166" s="320">
        <f>IF('Year 5'!$E226="","",'Year 5'!$E226)</f>
        <v>12</v>
      </c>
      <c r="R166" s="318" t="str">
        <f>IF('Year 5'!$F226="","",'Year 5'!$F226)</f>
        <v/>
      </c>
      <c r="S166" s="319" t="str">
        <f>IF('Year 5'!$G226="","",'Year 5'!$G226)</f>
        <v/>
      </c>
    </row>
    <row r="167" spans="2:19" x14ac:dyDescent="0.2">
      <c r="B167" s="307"/>
      <c r="C167" s="318" t="s">
        <v>345</v>
      </c>
      <c r="D167" s="318"/>
      <c r="E167" s="318">
        <f>IF('Year 1'!$E227="","",'Year 1'!$E227)</f>
        <v>12</v>
      </c>
      <c r="F167" s="318" t="str">
        <f>IF('Year 1'!$F227="","",'Year 1'!$F227)</f>
        <v/>
      </c>
      <c r="G167" s="319" t="str">
        <f>IF('Year 1'!$G227="","",'Year 1'!$G227)</f>
        <v/>
      </c>
      <c r="H167" s="318">
        <f>IF('Year 2'!$E227="","",'Year 2'!$E227)</f>
        <v>12</v>
      </c>
      <c r="I167" s="318" t="str">
        <f>IF('Year 2'!$F227="","",'Year 2'!$F227)</f>
        <v/>
      </c>
      <c r="J167" s="319" t="str">
        <f>IF('Year 2'!$G227="","",'Year 2'!$G227)</f>
        <v/>
      </c>
      <c r="K167" s="318">
        <f>IF('Year 3'!$E227="","",'Year 3'!$E227)</f>
        <v>12</v>
      </c>
      <c r="L167" s="318" t="str">
        <f>IF('Year 3'!$F227="","",'Year 3'!$F227)</f>
        <v/>
      </c>
      <c r="M167" s="319" t="str">
        <f>IF('Year 3'!$G227="","",'Year 3'!$G227)</f>
        <v/>
      </c>
      <c r="N167" s="318">
        <f>IF('Year 4'!$E227="","",'Year 4'!$E227)</f>
        <v>12</v>
      </c>
      <c r="O167" s="318" t="str">
        <f>IF('Year 4'!$F227="","",'Year 4'!$F227)</f>
        <v/>
      </c>
      <c r="P167" s="319" t="str">
        <f>IF('Year 4'!$G227="","",'Year 4'!$G227)</f>
        <v/>
      </c>
      <c r="Q167" s="320">
        <f>IF('Year 5'!$E227="","",'Year 5'!$E227)</f>
        <v>12</v>
      </c>
      <c r="R167" s="318" t="str">
        <f>IF('Year 5'!$F227="","",'Year 5'!$F227)</f>
        <v/>
      </c>
      <c r="S167" s="319" t="str">
        <f>IF('Year 5'!$G227="","",'Year 5'!$G227)</f>
        <v/>
      </c>
    </row>
    <row r="168" spans="2:19" x14ac:dyDescent="0.2">
      <c r="B168" s="307"/>
      <c r="C168" s="318" t="s">
        <v>346</v>
      </c>
      <c r="D168" s="318"/>
      <c r="E168" s="318">
        <f>IF('Year 1'!$E228="","",'Year 1'!$E228)</f>
        <v>12</v>
      </c>
      <c r="F168" s="318" t="str">
        <f>IF('Year 1'!$F228="","",'Year 1'!$F228)</f>
        <v/>
      </c>
      <c r="G168" s="319" t="str">
        <f>IF('Year 1'!$G228="","",'Year 1'!$G228)</f>
        <v/>
      </c>
      <c r="H168" s="318">
        <f>IF('Year 2'!$E228="","",'Year 2'!$E228)</f>
        <v>12</v>
      </c>
      <c r="I168" s="318" t="str">
        <f>IF('Year 2'!$F228="","",'Year 2'!$F228)</f>
        <v/>
      </c>
      <c r="J168" s="319" t="str">
        <f>IF('Year 2'!$G228="","",'Year 2'!$G228)</f>
        <v/>
      </c>
      <c r="K168" s="318">
        <f>IF('Year 3'!$E228="","",'Year 3'!$E228)</f>
        <v>12</v>
      </c>
      <c r="L168" s="318" t="str">
        <f>IF('Year 3'!$F228="","",'Year 3'!$F228)</f>
        <v/>
      </c>
      <c r="M168" s="319" t="str">
        <f>IF('Year 3'!$G228="","",'Year 3'!$G228)</f>
        <v/>
      </c>
      <c r="N168" s="318">
        <f>IF('Year 4'!$E228="","",'Year 4'!$E228)</f>
        <v>12</v>
      </c>
      <c r="O168" s="318" t="str">
        <f>IF('Year 4'!$F228="","",'Year 4'!$F228)</f>
        <v/>
      </c>
      <c r="P168" s="319" t="str">
        <f>IF('Year 4'!$G228="","",'Year 4'!$G228)</f>
        <v/>
      </c>
      <c r="Q168" s="320">
        <f>IF('Year 5'!$E228="","",'Year 5'!$E228)</f>
        <v>12</v>
      </c>
      <c r="R168" s="318" t="str">
        <f>IF('Year 5'!$F228="","",'Year 5'!$F228)</f>
        <v/>
      </c>
      <c r="S168" s="319" t="str">
        <f>IF('Year 5'!$G228="","",'Year 5'!$G228)</f>
        <v/>
      </c>
    </row>
    <row r="169" spans="2:19" x14ac:dyDescent="0.2">
      <c r="B169" s="307"/>
      <c r="C169" s="318" t="s">
        <v>347</v>
      </c>
      <c r="D169" s="318"/>
      <c r="E169" s="318">
        <f>IF('Year 1'!$E229="","",'Year 1'!$E229)</f>
        <v>12</v>
      </c>
      <c r="F169" s="318" t="str">
        <f>IF('Year 1'!$F229="","",'Year 1'!$F229)</f>
        <v/>
      </c>
      <c r="G169" s="319" t="str">
        <f>IF('Year 1'!$G229="","",'Year 1'!$G229)</f>
        <v/>
      </c>
      <c r="H169" s="318">
        <f>IF('Year 2'!$E229="","",'Year 2'!$E229)</f>
        <v>12</v>
      </c>
      <c r="I169" s="318" t="str">
        <f>IF('Year 2'!$F229="","",'Year 2'!$F229)</f>
        <v/>
      </c>
      <c r="J169" s="319" t="str">
        <f>IF('Year 2'!$G229="","",'Year 2'!$G229)</f>
        <v/>
      </c>
      <c r="K169" s="318">
        <f>IF('Year 3'!$E229="","",'Year 3'!$E229)</f>
        <v>12</v>
      </c>
      <c r="L169" s="318" t="str">
        <f>IF('Year 3'!$F229="","",'Year 3'!$F229)</f>
        <v/>
      </c>
      <c r="M169" s="319" t="str">
        <f>IF('Year 3'!$G229="","",'Year 3'!$G229)</f>
        <v/>
      </c>
      <c r="N169" s="318">
        <f>IF('Year 4'!$E229="","",'Year 4'!$E229)</f>
        <v>12</v>
      </c>
      <c r="O169" s="318" t="str">
        <f>IF('Year 4'!$F229="","",'Year 4'!$F229)</f>
        <v/>
      </c>
      <c r="P169" s="319" t="str">
        <f>IF('Year 4'!$G229="","",'Year 4'!$G229)</f>
        <v/>
      </c>
      <c r="Q169" s="320">
        <f>IF('Year 5'!$E229="","",'Year 5'!$E229)</f>
        <v>12</v>
      </c>
      <c r="R169" s="318" t="str">
        <f>IF('Year 5'!$F229="","",'Year 5'!$F229)</f>
        <v/>
      </c>
      <c r="S169" s="319" t="str">
        <f>IF('Year 5'!$G229="","",'Year 5'!$G229)</f>
        <v/>
      </c>
    </row>
    <row r="170" spans="2:19" x14ac:dyDescent="0.2">
      <c r="B170" s="307"/>
      <c r="C170" s="318" t="s">
        <v>348</v>
      </c>
      <c r="D170" s="318"/>
      <c r="E170" s="318">
        <f>IF('Year 1'!$E230="","",'Year 1'!$E230)</f>
        <v>12</v>
      </c>
      <c r="F170" s="318" t="str">
        <f>IF('Year 1'!$F230="","",'Year 1'!$F230)</f>
        <v/>
      </c>
      <c r="G170" s="319" t="str">
        <f>IF('Year 1'!$G230="","",'Year 1'!$G230)</f>
        <v/>
      </c>
      <c r="H170" s="318">
        <f>IF('Year 2'!$E230="","",'Year 2'!$E230)</f>
        <v>12</v>
      </c>
      <c r="I170" s="318" t="str">
        <f>IF('Year 2'!$F230="","",'Year 2'!$F230)</f>
        <v/>
      </c>
      <c r="J170" s="319" t="str">
        <f>IF('Year 2'!$G230="","",'Year 2'!$G230)</f>
        <v/>
      </c>
      <c r="K170" s="318">
        <f>IF('Year 3'!$E230="","",'Year 3'!$E230)</f>
        <v>12</v>
      </c>
      <c r="L170" s="318" t="str">
        <f>IF('Year 3'!$F230="","",'Year 3'!$F230)</f>
        <v/>
      </c>
      <c r="M170" s="319" t="str">
        <f>IF('Year 3'!$G230="","",'Year 3'!$G230)</f>
        <v/>
      </c>
      <c r="N170" s="318">
        <f>IF('Year 4'!$E230="","",'Year 4'!$E230)</f>
        <v>12</v>
      </c>
      <c r="O170" s="318" t="str">
        <f>IF('Year 4'!$F230="","",'Year 4'!$F230)</f>
        <v/>
      </c>
      <c r="P170" s="319" t="str">
        <f>IF('Year 4'!$G230="","",'Year 4'!$G230)</f>
        <v/>
      </c>
      <c r="Q170" s="320">
        <f>IF('Year 5'!$E230="","",'Year 5'!$E230)</f>
        <v>12</v>
      </c>
      <c r="R170" s="318" t="str">
        <f>IF('Year 5'!$F230="","",'Year 5'!$F230)</f>
        <v/>
      </c>
      <c r="S170" s="319" t="str">
        <f>IF('Year 5'!$G230="","",'Year 5'!$G230)</f>
        <v/>
      </c>
    </row>
    <row r="171" spans="2:19" x14ac:dyDescent="0.2">
      <c r="B171" s="307"/>
      <c r="C171" s="318" t="s">
        <v>349</v>
      </c>
      <c r="D171" s="318"/>
      <c r="E171" s="318">
        <f>IF('Year 1'!$E231="","",'Year 1'!$E231)</f>
        <v>12</v>
      </c>
      <c r="F171" s="318" t="str">
        <f>IF('Year 1'!$F231="","",'Year 1'!$F231)</f>
        <v/>
      </c>
      <c r="G171" s="319" t="str">
        <f>IF('Year 1'!$G231="","",'Year 1'!$G231)</f>
        <v/>
      </c>
      <c r="H171" s="318">
        <f>IF('Year 2'!$E231="","",'Year 2'!$E231)</f>
        <v>12</v>
      </c>
      <c r="I171" s="318" t="str">
        <f>IF('Year 2'!$F231="","",'Year 2'!$F231)</f>
        <v/>
      </c>
      <c r="J171" s="319" t="str">
        <f>IF('Year 2'!$G231="","",'Year 2'!$G231)</f>
        <v/>
      </c>
      <c r="K171" s="318">
        <f>IF('Year 3'!$E231="","",'Year 3'!$E231)</f>
        <v>12</v>
      </c>
      <c r="L171" s="318" t="str">
        <f>IF('Year 3'!$F231="","",'Year 3'!$F231)</f>
        <v/>
      </c>
      <c r="M171" s="319" t="str">
        <f>IF('Year 3'!$G231="","",'Year 3'!$G231)</f>
        <v/>
      </c>
      <c r="N171" s="318">
        <f>IF('Year 4'!$E231="","",'Year 4'!$E231)</f>
        <v>12</v>
      </c>
      <c r="O171" s="318" t="str">
        <f>IF('Year 4'!$F231="","",'Year 4'!$F231)</f>
        <v/>
      </c>
      <c r="P171" s="319" t="str">
        <f>IF('Year 4'!$G231="","",'Year 4'!$G231)</f>
        <v/>
      </c>
      <c r="Q171" s="320">
        <f>IF('Year 5'!$E231="","",'Year 5'!$E231)</f>
        <v>12</v>
      </c>
      <c r="R171" s="318" t="str">
        <f>IF('Year 5'!$F231="","",'Year 5'!$F231)</f>
        <v/>
      </c>
      <c r="S171" s="319" t="str">
        <f>IF('Year 5'!$G231="","",'Year 5'!$G231)</f>
        <v/>
      </c>
    </row>
    <row r="172" spans="2:19" x14ac:dyDescent="0.2">
      <c r="B172" s="307"/>
      <c r="C172" s="318" t="s">
        <v>350</v>
      </c>
      <c r="D172" s="318"/>
      <c r="E172" s="318">
        <f>IF('Year 1'!$E232="","",'Year 1'!$E232)</f>
        <v>12</v>
      </c>
      <c r="F172" s="318" t="str">
        <f>IF('Year 1'!$F232="","",'Year 1'!$F232)</f>
        <v/>
      </c>
      <c r="G172" s="319" t="str">
        <f>IF('Year 1'!$G232="","",'Year 1'!$G232)</f>
        <v/>
      </c>
      <c r="H172" s="318">
        <f>IF('Year 2'!$E232="","",'Year 2'!$E232)</f>
        <v>12</v>
      </c>
      <c r="I172" s="318" t="str">
        <f>IF('Year 2'!$F232="","",'Year 2'!$F232)</f>
        <v/>
      </c>
      <c r="J172" s="319" t="str">
        <f>IF('Year 2'!$G232="","",'Year 2'!$G232)</f>
        <v/>
      </c>
      <c r="K172" s="318">
        <f>IF('Year 3'!$E232="","",'Year 3'!$E232)</f>
        <v>12</v>
      </c>
      <c r="L172" s="318" t="str">
        <f>IF('Year 3'!$F232="","",'Year 3'!$F232)</f>
        <v/>
      </c>
      <c r="M172" s="319" t="str">
        <f>IF('Year 3'!$G232="","",'Year 3'!$G232)</f>
        <v/>
      </c>
      <c r="N172" s="318">
        <f>IF('Year 4'!$E232="","",'Year 4'!$E232)</f>
        <v>12</v>
      </c>
      <c r="O172" s="318" t="str">
        <f>IF('Year 4'!$F232="","",'Year 4'!$F232)</f>
        <v/>
      </c>
      <c r="P172" s="319" t="str">
        <f>IF('Year 4'!$G232="","",'Year 4'!$G232)</f>
        <v/>
      </c>
      <c r="Q172" s="320">
        <f>IF('Year 5'!$E232="","",'Year 5'!$E232)</f>
        <v>12</v>
      </c>
      <c r="R172" s="318" t="str">
        <f>IF('Year 5'!$F232="","",'Year 5'!$F232)</f>
        <v/>
      </c>
      <c r="S172" s="319" t="str">
        <f>IF('Year 5'!$G232="","",'Year 5'!$G232)</f>
        <v/>
      </c>
    </row>
    <row r="173" spans="2:19" x14ac:dyDescent="0.2">
      <c r="B173" s="307"/>
      <c r="C173" s="318" t="s">
        <v>351</v>
      </c>
      <c r="D173" s="318"/>
      <c r="E173" s="318">
        <f>IF('Year 1'!$E233="","",'Year 1'!$E233)</f>
        <v>12</v>
      </c>
      <c r="F173" s="318" t="str">
        <f>IF('Year 1'!$F233="","",'Year 1'!$F233)</f>
        <v/>
      </c>
      <c r="G173" s="319" t="str">
        <f>IF('Year 1'!$G233="","",'Year 1'!$G233)</f>
        <v/>
      </c>
      <c r="H173" s="318">
        <f>IF('Year 2'!$E233="","",'Year 2'!$E233)</f>
        <v>12</v>
      </c>
      <c r="I173" s="318" t="str">
        <f>IF('Year 2'!$F233="","",'Year 2'!$F233)</f>
        <v/>
      </c>
      <c r="J173" s="319" t="str">
        <f>IF('Year 2'!$G233="","",'Year 2'!$G233)</f>
        <v/>
      </c>
      <c r="K173" s="318">
        <f>IF('Year 3'!$E233="","",'Year 3'!$E233)</f>
        <v>12</v>
      </c>
      <c r="L173" s="318" t="str">
        <f>IF('Year 3'!$F233="","",'Year 3'!$F233)</f>
        <v/>
      </c>
      <c r="M173" s="319" t="str">
        <f>IF('Year 3'!$G233="","",'Year 3'!$G233)</f>
        <v/>
      </c>
      <c r="N173" s="318">
        <f>IF('Year 4'!$E233="","",'Year 4'!$E233)</f>
        <v>12</v>
      </c>
      <c r="O173" s="318" t="str">
        <f>IF('Year 4'!$F233="","",'Year 4'!$F233)</f>
        <v/>
      </c>
      <c r="P173" s="319" t="str">
        <f>IF('Year 4'!$G233="","",'Year 4'!$G233)</f>
        <v/>
      </c>
      <c r="Q173" s="320">
        <f>IF('Year 5'!$E233="","",'Year 5'!$E233)</f>
        <v>12</v>
      </c>
      <c r="R173" s="318" t="str">
        <f>IF('Year 5'!$F233="","",'Year 5'!$F233)</f>
        <v/>
      </c>
      <c r="S173" s="319" t="str">
        <f>IF('Year 5'!$G233="","",'Year 5'!$G233)</f>
        <v/>
      </c>
    </row>
    <row r="174" spans="2:19" x14ac:dyDescent="0.2">
      <c r="B174" s="307"/>
      <c r="C174" s="318" t="s">
        <v>352</v>
      </c>
      <c r="D174" s="318"/>
      <c r="E174" s="318">
        <f>IF('Year 1'!$E234="","",'Year 1'!$E234)</f>
        <v>12</v>
      </c>
      <c r="F174" s="318" t="str">
        <f>IF('Year 1'!$F234="","",'Year 1'!$F234)</f>
        <v/>
      </c>
      <c r="G174" s="319" t="str">
        <f>IF('Year 1'!$G234="","",'Year 1'!$G234)</f>
        <v/>
      </c>
      <c r="H174" s="318">
        <f>IF('Year 2'!$E234="","",'Year 2'!$E234)</f>
        <v>12</v>
      </c>
      <c r="I174" s="318" t="str">
        <f>IF('Year 2'!$F234="","",'Year 2'!$F234)</f>
        <v/>
      </c>
      <c r="J174" s="319" t="str">
        <f>IF('Year 2'!$G234="","",'Year 2'!$G234)</f>
        <v/>
      </c>
      <c r="K174" s="318">
        <f>IF('Year 3'!$E234="","",'Year 3'!$E234)</f>
        <v>12</v>
      </c>
      <c r="L174" s="318" t="str">
        <f>IF('Year 3'!$F234="","",'Year 3'!$F234)</f>
        <v/>
      </c>
      <c r="M174" s="319" t="str">
        <f>IF('Year 3'!$G234="","",'Year 3'!$G234)</f>
        <v/>
      </c>
      <c r="N174" s="318">
        <f>IF('Year 4'!$E234="","",'Year 4'!$E234)</f>
        <v>12</v>
      </c>
      <c r="O174" s="318" t="str">
        <f>IF('Year 4'!$F234="","",'Year 4'!$F234)</f>
        <v/>
      </c>
      <c r="P174" s="319" t="str">
        <f>IF('Year 4'!$G234="","",'Year 4'!$G234)</f>
        <v/>
      </c>
      <c r="Q174" s="320">
        <f>IF('Year 5'!$E234="","",'Year 5'!$E234)</f>
        <v>12</v>
      </c>
      <c r="R174" s="318" t="str">
        <f>IF('Year 5'!$F234="","",'Year 5'!$F234)</f>
        <v/>
      </c>
      <c r="S174" s="319" t="str">
        <f>IF('Year 5'!$G234="","",'Year 5'!$G234)</f>
        <v/>
      </c>
    </row>
    <row r="175" spans="2:19" x14ac:dyDescent="0.2">
      <c r="B175" s="307"/>
      <c r="C175" s="318" t="s">
        <v>353</v>
      </c>
      <c r="D175" s="318"/>
      <c r="E175" s="318">
        <f>IF('Year 1'!$E235="","",'Year 1'!$E235)</f>
        <v>12</v>
      </c>
      <c r="F175" s="318" t="str">
        <f>IF('Year 1'!$F235="","",'Year 1'!$F235)</f>
        <v/>
      </c>
      <c r="G175" s="319" t="str">
        <f>IF('Year 1'!$G235="","",'Year 1'!$G235)</f>
        <v/>
      </c>
      <c r="H175" s="318">
        <f>IF('Year 2'!$E235="","",'Year 2'!$E235)</f>
        <v>12</v>
      </c>
      <c r="I175" s="318" t="str">
        <f>IF('Year 2'!$F235="","",'Year 2'!$F235)</f>
        <v/>
      </c>
      <c r="J175" s="319" t="str">
        <f>IF('Year 2'!$G235="","",'Year 2'!$G235)</f>
        <v/>
      </c>
      <c r="K175" s="318">
        <f>IF('Year 3'!$E235="","",'Year 3'!$E235)</f>
        <v>12</v>
      </c>
      <c r="L175" s="318" t="str">
        <f>IF('Year 3'!$F235="","",'Year 3'!$F235)</f>
        <v/>
      </c>
      <c r="M175" s="319" t="str">
        <f>IF('Year 3'!$G235="","",'Year 3'!$G235)</f>
        <v/>
      </c>
      <c r="N175" s="318">
        <f>IF('Year 4'!$E235="","",'Year 4'!$E235)</f>
        <v>12</v>
      </c>
      <c r="O175" s="318" t="str">
        <f>IF('Year 4'!$F235="","",'Year 4'!$F235)</f>
        <v/>
      </c>
      <c r="P175" s="319" t="str">
        <f>IF('Year 4'!$G235="","",'Year 4'!$G235)</f>
        <v/>
      </c>
      <c r="Q175" s="320">
        <f>IF('Year 5'!$E235="","",'Year 5'!$E235)</f>
        <v>12</v>
      </c>
      <c r="R175" s="318" t="str">
        <f>IF('Year 5'!$F235="","",'Year 5'!$F235)</f>
        <v/>
      </c>
      <c r="S175" s="319" t="str">
        <f>IF('Year 5'!$G235="","",'Year 5'!$G235)</f>
        <v/>
      </c>
    </row>
    <row r="176" spans="2:19" x14ac:dyDescent="0.2">
      <c r="B176" s="307"/>
      <c r="C176" s="318" t="s">
        <v>354</v>
      </c>
      <c r="D176" s="318"/>
      <c r="E176" s="318">
        <f>IF('Year 1'!$E236="","",'Year 1'!$E236)</f>
        <v>12</v>
      </c>
      <c r="F176" s="318" t="str">
        <f>IF('Year 1'!$F236="","",'Year 1'!$F236)</f>
        <v/>
      </c>
      <c r="G176" s="319" t="str">
        <f>IF('Year 1'!$G236="","",'Year 1'!$G236)</f>
        <v/>
      </c>
      <c r="H176" s="318">
        <f>IF('Year 2'!$E236="","",'Year 2'!$E236)</f>
        <v>12</v>
      </c>
      <c r="I176" s="318" t="str">
        <f>IF('Year 2'!$F236="","",'Year 2'!$F236)</f>
        <v/>
      </c>
      <c r="J176" s="319" t="str">
        <f>IF('Year 2'!$G236="","",'Year 2'!$G236)</f>
        <v/>
      </c>
      <c r="K176" s="318">
        <f>IF('Year 3'!$E236="","",'Year 3'!$E236)</f>
        <v>12</v>
      </c>
      <c r="L176" s="318" t="str">
        <f>IF('Year 3'!$F236="","",'Year 3'!$F236)</f>
        <v/>
      </c>
      <c r="M176" s="319" t="str">
        <f>IF('Year 3'!$G236="","",'Year 3'!$G236)</f>
        <v/>
      </c>
      <c r="N176" s="318">
        <f>IF('Year 4'!$E236="","",'Year 4'!$E236)</f>
        <v>12</v>
      </c>
      <c r="O176" s="318" t="str">
        <f>IF('Year 4'!$F236="","",'Year 4'!$F236)</f>
        <v/>
      </c>
      <c r="P176" s="319" t="str">
        <f>IF('Year 4'!$G236="","",'Year 4'!$G236)</f>
        <v/>
      </c>
      <c r="Q176" s="320">
        <f>IF('Year 5'!$E236="","",'Year 5'!$E236)</f>
        <v>12</v>
      </c>
      <c r="R176" s="318" t="str">
        <f>IF('Year 5'!$F236="","",'Year 5'!$F236)</f>
        <v/>
      </c>
      <c r="S176" s="319" t="str">
        <f>IF('Year 5'!$G236="","",'Year 5'!$G236)</f>
        <v/>
      </c>
    </row>
    <row r="177" spans="2:19" x14ac:dyDescent="0.2">
      <c r="B177" s="307"/>
      <c r="C177" s="318" t="s">
        <v>355</v>
      </c>
      <c r="D177" s="318"/>
      <c r="E177" s="318">
        <f>IF('Year 1'!$E237="","",'Year 1'!$E237)</f>
        <v>12</v>
      </c>
      <c r="F177" s="318" t="str">
        <f>IF('Year 1'!$F237="","",'Year 1'!$F237)</f>
        <v/>
      </c>
      <c r="G177" s="319" t="str">
        <f>IF('Year 1'!$G237="","",'Year 1'!$G237)</f>
        <v/>
      </c>
      <c r="H177" s="318">
        <f>IF('Year 2'!$E237="","",'Year 2'!$E237)</f>
        <v>12</v>
      </c>
      <c r="I177" s="318" t="str">
        <f>IF('Year 2'!$F237="","",'Year 2'!$F237)</f>
        <v/>
      </c>
      <c r="J177" s="319" t="str">
        <f>IF('Year 2'!$G237="","",'Year 2'!$G237)</f>
        <v/>
      </c>
      <c r="K177" s="318">
        <f>IF('Year 3'!$E237="","",'Year 3'!$E237)</f>
        <v>12</v>
      </c>
      <c r="L177" s="318" t="str">
        <f>IF('Year 3'!$F237="","",'Year 3'!$F237)</f>
        <v/>
      </c>
      <c r="M177" s="319" t="str">
        <f>IF('Year 3'!$G237="","",'Year 3'!$G237)</f>
        <v/>
      </c>
      <c r="N177" s="318">
        <f>IF('Year 4'!$E237="","",'Year 4'!$E237)</f>
        <v>12</v>
      </c>
      <c r="O177" s="318" t="str">
        <f>IF('Year 4'!$F237="","",'Year 4'!$F237)</f>
        <v/>
      </c>
      <c r="P177" s="319" t="str">
        <f>IF('Year 4'!$G237="","",'Year 4'!$G237)</f>
        <v/>
      </c>
      <c r="Q177" s="320">
        <f>IF('Year 5'!$E237="","",'Year 5'!$E237)</f>
        <v>12</v>
      </c>
      <c r="R177" s="318" t="str">
        <f>IF('Year 5'!$F237="","",'Year 5'!$F237)</f>
        <v/>
      </c>
      <c r="S177" s="319" t="str">
        <f>IF('Year 5'!$G237="","",'Year 5'!$G237)</f>
        <v/>
      </c>
    </row>
    <row r="178" spans="2:19" x14ac:dyDescent="0.2">
      <c r="B178" s="307"/>
      <c r="C178" s="318" t="s">
        <v>356</v>
      </c>
      <c r="D178" s="318"/>
      <c r="E178" s="318">
        <f>IF('Year 1'!$E238="","",'Year 1'!$E238)</f>
        <v>12</v>
      </c>
      <c r="F178" s="318" t="str">
        <f>IF('Year 1'!$F238="","",'Year 1'!$F238)</f>
        <v/>
      </c>
      <c r="G178" s="319" t="str">
        <f>IF('Year 1'!$G238="","",'Year 1'!$G238)</f>
        <v/>
      </c>
      <c r="H178" s="318">
        <f>IF('Year 2'!$E238="","",'Year 2'!$E238)</f>
        <v>12</v>
      </c>
      <c r="I178" s="318" t="str">
        <f>IF('Year 2'!$F238="","",'Year 2'!$F238)</f>
        <v/>
      </c>
      <c r="J178" s="319" t="str">
        <f>IF('Year 2'!$G238="","",'Year 2'!$G238)</f>
        <v/>
      </c>
      <c r="K178" s="318">
        <f>IF('Year 3'!$E238="","",'Year 3'!$E238)</f>
        <v>12</v>
      </c>
      <c r="L178" s="318" t="str">
        <f>IF('Year 3'!$F238="","",'Year 3'!$F238)</f>
        <v/>
      </c>
      <c r="M178" s="319" t="str">
        <f>IF('Year 3'!$G238="","",'Year 3'!$G238)</f>
        <v/>
      </c>
      <c r="N178" s="318">
        <f>IF('Year 4'!$E238="","",'Year 4'!$E238)</f>
        <v>12</v>
      </c>
      <c r="O178" s="318" t="str">
        <f>IF('Year 4'!$F238="","",'Year 4'!$F238)</f>
        <v/>
      </c>
      <c r="P178" s="319" t="str">
        <f>IF('Year 4'!$G238="","",'Year 4'!$G238)</f>
        <v/>
      </c>
      <c r="Q178" s="320">
        <f>IF('Year 5'!$E238="","",'Year 5'!$E238)</f>
        <v>12</v>
      </c>
      <c r="R178" s="318" t="str">
        <f>IF('Year 5'!$F238="","",'Year 5'!$F238)</f>
        <v/>
      </c>
      <c r="S178" s="319" t="str">
        <f>IF('Year 5'!$G238="","",'Year 5'!$G238)</f>
        <v/>
      </c>
    </row>
    <row r="179" spans="2:19" x14ac:dyDescent="0.2">
      <c r="B179" s="307"/>
      <c r="C179" s="318" t="s">
        <v>357</v>
      </c>
      <c r="D179" s="318"/>
      <c r="E179" s="318">
        <f>IF('Year 1'!$E239="","",'Year 1'!$E239)</f>
        <v>12</v>
      </c>
      <c r="F179" s="318" t="str">
        <f>IF('Year 1'!$F239="","",'Year 1'!$F239)</f>
        <v/>
      </c>
      <c r="G179" s="319" t="str">
        <f>IF('Year 1'!$G239="","",'Year 1'!$G239)</f>
        <v/>
      </c>
      <c r="H179" s="318">
        <f>IF('Year 2'!$E239="","",'Year 2'!$E239)</f>
        <v>12</v>
      </c>
      <c r="I179" s="318" t="str">
        <f>IF('Year 2'!$F239="","",'Year 2'!$F239)</f>
        <v/>
      </c>
      <c r="J179" s="319" t="str">
        <f>IF('Year 2'!$G239="","",'Year 2'!$G239)</f>
        <v/>
      </c>
      <c r="K179" s="318">
        <f>IF('Year 3'!$E239="","",'Year 3'!$E239)</f>
        <v>12</v>
      </c>
      <c r="L179" s="318" t="str">
        <f>IF('Year 3'!$F239="","",'Year 3'!$F239)</f>
        <v/>
      </c>
      <c r="M179" s="319" t="str">
        <f>IF('Year 3'!$G239="","",'Year 3'!$G239)</f>
        <v/>
      </c>
      <c r="N179" s="318">
        <f>IF('Year 4'!$E239="","",'Year 4'!$E239)</f>
        <v>12</v>
      </c>
      <c r="O179" s="318" t="str">
        <f>IF('Year 4'!$F239="","",'Year 4'!$F239)</f>
        <v/>
      </c>
      <c r="P179" s="319" t="str">
        <f>IF('Year 4'!$G239="","",'Year 4'!$G239)</f>
        <v/>
      </c>
      <c r="Q179" s="320">
        <f>IF('Year 5'!$E239="","",'Year 5'!$E239)</f>
        <v>12</v>
      </c>
      <c r="R179" s="318" t="str">
        <f>IF('Year 5'!$F239="","",'Year 5'!$F239)</f>
        <v/>
      </c>
      <c r="S179" s="319" t="str">
        <f>IF('Year 5'!$G239="","",'Year 5'!$G239)</f>
        <v/>
      </c>
    </row>
    <row r="180" spans="2:19" x14ac:dyDescent="0.2">
      <c r="B180" s="307"/>
      <c r="C180" s="318" t="s">
        <v>358</v>
      </c>
      <c r="D180" s="318"/>
      <c r="E180" s="318">
        <f>IF('Year 1'!$E240="","",'Year 1'!$E240)</f>
        <v>12</v>
      </c>
      <c r="F180" s="318" t="str">
        <f>IF('Year 1'!$F240="","",'Year 1'!$F240)</f>
        <v/>
      </c>
      <c r="G180" s="319" t="str">
        <f>IF('Year 1'!$G240="","",'Year 1'!$G240)</f>
        <v/>
      </c>
      <c r="H180" s="318">
        <f>IF('Year 2'!$E240="","",'Year 2'!$E240)</f>
        <v>12</v>
      </c>
      <c r="I180" s="318" t="str">
        <f>IF('Year 2'!$F240="","",'Year 2'!$F240)</f>
        <v/>
      </c>
      <c r="J180" s="319" t="str">
        <f>IF('Year 2'!$G240="","",'Year 2'!$G240)</f>
        <v/>
      </c>
      <c r="K180" s="318">
        <f>IF('Year 3'!$E240="","",'Year 3'!$E240)</f>
        <v>12</v>
      </c>
      <c r="L180" s="318" t="str">
        <f>IF('Year 3'!$F240="","",'Year 3'!$F240)</f>
        <v/>
      </c>
      <c r="M180" s="319" t="str">
        <f>IF('Year 3'!$G240="","",'Year 3'!$G240)</f>
        <v/>
      </c>
      <c r="N180" s="318">
        <f>IF('Year 4'!$E240="","",'Year 4'!$E240)</f>
        <v>12</v>
      </c>
      <c r="O180" s="318" t="str">
        <f>IF('Year 4'!$F240="","",'Year 4'!$F240)</f>
        <v/>
      </c>
      <c r="P180" s="319" t="str">
        <f>IF('Year 4'!$G240="","",'Year 4'!$G240)</f>
        <v/>
      </c>
      <c r="Q180" s="320">
        <f>IF('Year 5'!$E240="","",'Year 5'!$E240)</f>
        <v>12</v>
      </c>
      <c r="R180" s="318" t="str">
        <f>IF('Year 5'!$F240="","",'Year 5'!$F240)</f>
        <v/>
      </c>
      <c r="S180" s="319" t="str">
        <f>IF('Year 5'!$G240="","",'Year 5'!$G240)</f>
        <v/>
      </c>
    </row>
    <row r="181" spans="2:19" x14ac:dyDescent="0.2">
      <c r="B181" s="307"/>
      <c r="C181" s="318" t="s">
        <v>359</v>
      </c>
      <c r="D181" s="318"/>
      <c r="E181" s="318">
        <f>IF('Year 1'!$E241="","",'Year 1'!$E241)</f>
        <v>12</v>
      </c>
      <c r="F181" s="318" t="str">
        <f>IF('Year 1'!$F241="","",'Year 1'!$F241)</f>
        <v/>
      </c>
      <c r="G181" s="319" t="str">
        <f>IF('Year 1'!$G241="","",'Year 1'!$G241)</f>
        <v/>
      </c>
      <c r="H181" s="318">
        <f>IF('Year 2'!$E241="","",'Year 2'!$E241)</f>
        <v>12</v>
      </c>
      <c r="I181" s="318" t="str">
        <f>IF('Year 2'!$F241="","",'Year 2'!$F241)</f>
        <v/>
      </c>
      <c r="J181" s="319" t="str">
        <f>IF('Year 2'!$G241="","",'Year 2'!$G241)</f>
        <v/>
      </c>
      <c r="K181" s="318">
        <f>IF('Year 3'!$E241="","",'Year 3'!$E241)</f>
        <v>12</v>
      </c>
      <c r="L181" s="318" t="str">
        <f>IF('Year 3'!$F241="","",'Year 3'!$F241)</f>
        <v/>
      </c>
      <c r="M181" s="319" t="str">
        <f>IF('Year 3'!$G241="","",'Year 3'!$G241)</f>
        <v/>
      </c>
      <c r="N181" s="318">
        <f>IF('Year 4'!$E241="","",'Year 4'!$E241)</f>
        <v>12</v>
      </c>
      <c r="O181" s="318" t="str">
        <f>IF('Year 4'!$F241="","",'Year 4'!$F241)</f>
        <v/>
      </c>
      <c r="P181" s="319" t="str">
        <f>IF('Year 4'!$G241="","",'Year 4'!$G241)</f>
        <v/>
      </c>
      <c r="Q181" s="320">
        <f>IF('Year 5'!$E241="","",'Year 5'!$E241)</f>
        <v>12</v>
      </c>
      <c r="R181" s="318" t="str">
        <f>IF('Year 5'!$F241="","",'Year 5'!$F241)</f>
        <v/>
      </c>
      <c r="S181" s="319" t="str">
        <f>IF('Year 5'!$G241="","",'Year 5'!$G241)</f>
        <v/>
      </c>
    </row>
    <row r="182" spans="2:19" x14ac:dyDescent="0.2">
      <c r="B182" s="307"/>
      <c r="C182" s="318" t="s">
        <v>360</v>
      </c>
      <c r="D182" s="318"/>
      <c r="E182" s="318">
        <f>IF('Year 1'!$E242="","",'Year 1'!$E242)</f>
        <v>12</v>
      </c>
      <c r="F182" s="318" t="str">
        <f>IF('Year 1'!$F242="","",'Year 1'!$F242)</f>
        <v/>
      </c>
      <c r="G182" s="319" t="str">
        <f>IF('Year 1'!$G242="","",'Year 1'!$G242)</f>
        <v/>
      </c>
      <c r="H182" s="318">
        <f>IF('Year 2'!$E242="","",'Year 2'!$E242)</f>
        <v>12</v>
      </c>
      <c r="I182" s="318" t="str">
        <f>IF('Year 2'!$F242="","",'Year 2'!$F242)</f>
        <v/>
      </c>
      <c r="J182" s="319" t="str">
        <f>IF('Year 2'!$G242="","",'Year 2'!$G242)</f>
        <v/>
      </c>
      <c r="K182" s="318">
        <f>IF('Year 3'!$E242="","",'Year 3'!$E242)</f>
        <v>12</v>
      </c>
      <c r="L182" s="318" t="str">
        <f>IF('Year 3'!$F242="","",'Year 3'!$F242)</f>
        <v/>
      </c>
      <c r="M182" s="319" t="str">
        <f>IF('Year 3'!$G242="","",'Year 3'!$G242)</f>
        <v/>
      </c>
      <c r="N182" s="318">
        <f>IF('Year 4'!$E242="","",'Year 4'!$E242)</f>
        <v>12</v>
      </c>
      <c r="O182" s="318" t="str">
        <f>IF('Year 4'!$F242="","",'Year 4'!$F242)</f>
        <v/>
      </c>
      <c r="P182" s="319" t="str">
        <f>IF('Year 4'!$G242="","",'Year 4'!$G242)</f>
        <v/>
      </c>
      <c r="Q182" s="320">
        <f>IF('Year 5'!$E242="","",'Year 5'!$E242)</f>
        <v>12</v>
      </c>
      <c r="R182" s="318" t="str">
        <f>IF('Year 5'!$F242="","",'Year 5'!$F242)</f>
        <v/>
      </c>
      <c r="S182" s="319" t="str">
        <f>IF('Year 5'!$G242="","",'Year 5'!$G242)</f>
        <v/>
      </c>
    </row>
    <row r="183" spans="2:19" x14ac:dyDescent="0.2">
      <c r="B183" s="307"/>
      <c r="C183" s="318" t="s">
        <v>361</v>
      </c>
      <c r="D183" s="318"/>
      <c r="E183" s="318">
        <f>IF('Year 1'!$E243="","",'Year 1'!$E243)</f>
        <v>30</v>
      </c>
      <c r="F183" s="318" t="str">
        <f>IF('Year 1'!$F243="","",'Year 1'!$F243)</f>
        <v/>
      </c>
      <c r="G183" s="319" t="str">
        <f>IF('Year 1'!$G243="","",'Year 1'!$G243)</f>
        <v/>
      </c>
      <c r="H183" s="318">
        <f>IF('Year 2'!$E243="","",'Year 2'!$E243)</f>
        <v>30</v>
      </c>
      <c r="I183" s="318" t="str">
        <f>IF('Year 2'!$F243="","",'Year 2'!$F243)</f>
        <v/>
      </c>
      <c r="J183" s="319" t="str">
        <f>IF('Year 2'!$G243="","",'Year 2'!$G243)</f>
        <v/>
      </c>
      <c r="K183" s="318">
        <f>IF('Year 3'!$E243="","",'Year 3'!$E243)</f>
        <v>30</v>
      </c>
      <c r="L183" s="318" t="str">
        <f>IF('Year 3'!$F243="","",'Year 3'!$F243)</f>
        <v/>
      </c>
      <c r="M183" s="319" t="str">
        <f>IF('Year 3'!$G243="","",'Year 3'!$G243)</f>
        <v/>
      </c>
      <c r="N183" s="318">
        <f>IF('Year 4'!$E243="","",'Year 4'!$E243)</f>
        <v>30</v>
      </c>
      <c r="O183" s="318" t="str">
        <f>IF('Year 4'!$F243="","",'Year 4'!$F243)</f>
        <v/>
      </c>
      <c r="P183" s="319" t="str">
        <f>IF('Year 4'!$G243="","",'Year 4'!$G243)</f>
        <v/>
      </c>
      <c r="Q183" s="320">
        <f>IF('Year 5'!$E243="","",'Year 5'!$E243)</f>
        <v>30</v>
      </c>
      <c r="R183" s="318" t="str">
        <f>IF('Year 5'!$F243="","",'Year 5'!$F243)</f>
        <v/>
      </c>
      <c r="S183" s="319" t="str">
        <f>IF('Year 5'!$G243="","",'Year 5'!$G243)</f>
        <v/>
      </c>
    </row>
    <row r="184" spans="2:19" x14ac:dyDescent="0.2">
      <c r="B184" s="307"/>
      <c r="C184" s="318" t="s">
        <v>362</v>
      </c>
      <c r="D184" s="318"/>
      <c r="E184" s="318">
        <f>IF('Year 1'!$E244="","",'Year 1'!$E244)</f>
        <v>60</v>
      </c>
      <c r="F184" s="318" t="str">
        <f>IF('Year 1'!$F244="","",'Year 1'!$F244)</f>
        <v/>
      </c>
      <c r="G184" s="319" t="str">
        <f>IF('Year 1'!$G244="","",'Year 1'!$G244)</f>
        <v/>
      </c>
      <c r="H184" s="318">
        <f>IF('Year 2'!$E244="","",'Year 2'!$E244)</f>
        <v>60</v>
      </c>
      <c r="I184" s="318" t="str">
        <f>IF('Year 2'!$F244="","",'Year 2'!$F244)</f>
        <v/>
      </c>
      <c r="J184" s="319" t="str">
        <f>IF('Year 2'!$G244="","",'Year 2'!$G244)</f>
        <v/>
      </c>
      <c r="K184" s="318">
        <f>IF('Year 3'!$E244="","",'Year 3'!$E244)</f>
        <v>60</v>
      </c>
      <c r="L184" s="318" t="str">
        <f>IF('Year 3'!$F244="","",'Year 3'!$F244)</f>
        <v/>
      </c>
      <c r="M184" s="319" t="str">
        <f>IF('Year 3'!$G244="","",'Year 3'!$G244)</f>
        <v/>
      </c>
      <c r="N184" s="318">
        <f>IF('Year 4'!$E244="","",'Year 4'!$E244)</f>
        <v>60</v>
      </c>
      <c r="O184" s="318" t="str">
        <f>IF('Year 4'!$F244="","",'Year 4'!$F244)</f>
        <v/>
      </c>
      <c r="P184" s="319" t="str">
        <f>IF('Year 4'!$G244="","",'Year 4'!$G244)</f>
        <v/>
      </c>
      <c r="Q184" s="320">
        <f>IF('Year 5'!$E244="","",'Year 5'!$E244)</f>
        <v>60</v>
      </c>
      <c r="R184" s="318" t="str">
        <f>IF('Year 5'!$F244="","",'Year 5'!$F244)</f>
        <v/>
      </c>
      <c r="S184" s="319" t="str">
        <f>IF('Year 5'!$G244="","",'Year 5'!$G244)</f>
        <v/>
      </c>
    </row>
    <row r="185" spans="2:19" x14ac:dyDescent="0.2">
      <c r="B185" s="321"/>
      <c r="C185" s="322" t="s">
        <v>363</v>
      </c>
      <c r="D185" s="322"/>
      <c r="E185" s="322">
        <f>IF('Year 1'!$E245="","",'Year 1'!$E245)</f>
        <v>90</v>
      </c>
      <c r="F185" s="322" t="str">
        <f>IF('Year 1'!$F245="","",'Year 1'!$F245)</f>
        <v/>
      </c>
      <c r="G185" s="323" t="str">
        <f>IF('Year 1'!$G245="","",'Year 1'!$G245)</f>
        <v/>
      </c>
      <c r="H185" s="322">
        <f>IF('Year 2'!$E245="","",'Year 2'!$E245)</f>
        <v>90</v>
      </c>
      <c r="I185" s="322" t="str">
        <f>IF('Year 2'!$F245="","",'Year 2'!$F245)</f>
        <v/>
      </c>
      <c r="J185" s="323" t="str">
        <f>IF('Year 2'!$G245="","",'Year 2'!$G245)</f>
        <v/>
      </c>
      <c r="K185" s="322">
        <f>IF('Year 3'!$E245="","",'Year 3'!$E245)</f>
        <v>90</v>
      </c>
      <c r="L185" s="322" t="str">
        <f>IF('Year 3'!$F245="","",'Year 3'!$F245)</f>
        <v/>
      </c>
      <c r="M185" s="323" t="str">
        <f>IF('Year 3'!$G245="","",'Year 3'!$G245)</f>
        <v/>
      </c>
      <c r="N185" s="322">
        <f>IF('Year 4'!$E245="","",'Year 4'!$E245)</f>
        <v>90</v>
      </c>
      <c r="O185" s="322" t="str">
        <f>IF('Year 4'!$F245="","",'Year 4'!$F245)</f>
        <v/>
      </c>
      <c r="P185" s="323" t="str">
        <f>IF('Year 4'!$G245="","",'Year 4'!$G245)</f>
        <v/>
      </c>
      <c r="Q185" s="324">
        <f>IF('Year 5'!$E245="","",'Year 5'!$E245)</f>
        <v>90</v>
      </c>
      <c r="R185" s="322" t="str">
        <f>IF('Year 5'!$F245="","",'Year 5'!$F245)</f>
        <v/>
      </c>
      <c r="S185" s="323" t="str">
        <f>IF('Year 5'!$G245="","",'Year 5'!$G245)</f>
        <v/>
      </c>
    </row>
  </sheetData>
  <mergeCells count="5">
    <mergeCell ref="N2:P2"/>
    <mergeCell ref="Q2:S2"/>
    <mergeCell ref="E2:G2"/>
    <mergeCell ref="H2:J2"/>
    <mergeCell ref="K2:M2"/>
  </mergeCells>
  <hyperlinks>
    <hyperlink ref="B1" location="Introduction!A1" display="Return to Introduction Page" xr:uid="{00000000-0004-0000-0900-000000000000}"/>
  </hyperlinks>
  <pageMargins left="0.7" right="0.7" top="0.75" bottom="0.75" header="0.3" footer="0.3"/>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49</vt:i4>
      </vt:variant>
    </vt:vector>
  </HeadingPairs>
  <TitlesOfParts>
    <vt:vector size="59" baseType="lpstr">
      <vt:lpstr>Introduction</vt:lpstr>
      <vt:lpstr>Summary Financials</vt:lpstr>
      <vt:lpstr>Year 1</vt:lpstr>
      <vt:lpstr>Year 2</vt:lpstr>
      <vt:lpstr>Year 3</vt:lpstr>
      <vt:lpstr>Year 4</vt:lpstr>
      <vt:lpstr>Year 5</vt:lpstr>
      <vt:lpstr>Financing Schedule</vt:lpstr>
      <vt:lpstr>Equidam Financials Input</vt:lpstr>
      <vt:lpstr>Overview of Inputs</vt:lpstr>
      <vt:lpstr>accrued_employee_and_crew_salary</vt:lpstr>
      <vt:lpstr>accrued_IT_expenses</vt:lpstr>
      <vt:lpstr>accrued_manag_salary</vt:lpstr>
      <vt:lpstr>accrued_postholder_salary</vt:lpstr>
      <vt:lpstr>aircraft_lease</vt:lpstr>
      <vt:lpstr>aircraft_lease_deposit</vt:lpstr>
      <vt:lpstr>aircraft_subscriptions</vt:lpstr>
      <vt:lpstr>cash_and_cash_equiv</vt:lpstr>
      <vt:lpstr>change_in_NWC</vt:lpstr>
      <vt:lpstr>contingency</vt:lpstr>
      <vt:lpstr>Cost_of_Goods_Sold</vt:lpstr>
      <vt:lpstr>crew_salary</vt:lpstr>
      <vt:lpstr>current_assets</vt:lpstr>
      <vt:lpstr>current_liabilities</vt:lpstr>
      <vt:lpstr>debt</vt:lpstr>
      <vt:lpstr>EBIT</vt:lpstr>
      <vt:lpstr>EBITDA</vt:lpstr>
      <vt:lpstr>employee_salary</vt:lpstr>
      <vt:lpstr>furn_soft_equip</vt:lpstr>
      <vt:lpstr>furn_soft_equip_depreciation</vt:lpstr>
      <vt:lpstr>initial_training</vt:lpstr>
      <vt:lpstr>insurance</vt:lpstr>
      <vt:lpstr>interest_on_debt</vt:lpstr>
      <vt:lpstr>interest_on_debts</vt:lpstr>
      <vt:lpstr>IT</vt:lpstr>
      <vt:lpstr>maintenance</vt:lpstr>
      <vt:lpstr>management_salary</vt:lpstr>
      <vt:lpstr>misc</vt:lpstr>
      <vt:lpstr>net_income</vt:lpstr>
      <vt:lpstr>net_working_capital</vt:lpstr>
      <vt:lpstr>net_working_capital_t_minus_1</vt:lpstr>
      <vt:lpstr>offices</vt:lpstr>
      <vt:lpstr>other_operating_cost</vt:lpstr>
      <vt:lpstr>Postholder_salary</vt:lpstr>
      <vt:lpstr>recurrent_training</vt:lpstr>
      <vt:lpstr>required_capital</vt:lpstr>
      <vt:lpstr>revenues</vt:lpstr>
      <vt:lpstr>Salary</vt:lpstr>
      <vt:lpstr>start_up_cost_amortization</vt:lpstr>
      <vt:lpstr>subscriptions</vt:lpstr>
      <vt:lpstr>tax</vt:lpstr>
      <vt:lpstr>total_dep_and_amort</vt:lpstr>
      <vt:lpstr>total_operating_expenses</vt:lpstr>
      <vt:lpstr>total_revised_startup_costs</vt:lpstr>
      <vt:lpstr>total_shareholders_equity</vt:lpstr>
      <vt:lpstr>total_startup_asset_funds</vt:lpstr>
      <vt:lpstr>travel</vt:lpstr>
      <vt:lpstr>uniform_writeoff_expense</vt:lpstr>
      <vt:lpstr>uniforms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Equidam</dc:creator>
  <cp:lastModifiedBy>Daniel Faloppa</cp:lastModifiedBy>
  <dcterms:created xsi:type="dcterms:W3CDTF">2017-08-30T16:19:13Z</dcterms:created>
  <dcterms:modified xsi:type="dcterms:W3CDTF">2024-01-31T09:32:27Z</dcterms:modified>
</cp:coreProperties>
</file>