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 2024" sheetId="1" r:id="rId4"/>
    <sheet state="visible" name="Equipos" sheetId="2" r:id="rId5"/>
    <sheet state="visible" name="Suministros" sheetId="3" r:id="rId6"/>
    <sheet state="visible" name="Depreciacion" sheetId="4" r:id="rId7"/>
    <sheet state="visible" name="Personal Imp" sheetId="5" r:id="rId8"/>
  </sheets>
  <definedNames>
    <definedName hidden="1" localSheetId="0" name="_xlnm._FilterDatabase">'Inventario 2024'!$A$1:$Z$1051</definedName>
    <definedName hidden="1" localSheetId="1" name="_xlnm._FilterDatabase">Equipos!$A$1:$S$1266</definedName>
    <definedName hidden="1" localSheetId="2" name="_xlnm._FilterDatabase">Suministros!$A$1:$O$1004</definedName>
    <definedName hidden="1" localSheetId="4" name="_xlnm._FilterDatabase">'Personal Imp'!$A$1:$I$1163</definedName>
  </definedNames>
  <calcPr/>
</workbook>
</file>

<file path=xl/sharedStrings.xml><?xml version="1.0" encoding="utf-8"?>
<sst xmlns="http://schemas.openxmlformats.org/spreadsheetml/2006/main" count="21597" uniqueCount="2671">
  <si>
    <t>CODIGO</t>
  </si>
  <si>
    <t>NOMBRE PRODUCTO</t>
  </si>
  <si>
    <t>MARCA</t>
  </si>
  <si>
    <t>MODELO</t>
  </si>
  <si>
    <t>NRO. SERIE</t>
  </si>
  <si>
    <t>DESCRIPCION</t>
  </si>
  <si>
    <t>ASIGNACION</t>
  </si>
  <si>
    <t>SEDE</t>
  </si>
  <si>
    <t>GER / JEF</t>
  </si>
  <si>
    <t>AREA</t>
  </si>
  <si>
    <t>ESTADO</t>
  </si>
  <si>
    <t>EMPRESA</t>
  </si>
  <si>
    <t>FECHA COMPRA</t>
  </si>
  <si>
    <t>PRECIO COMPRA</t>
  </si>
  <si>
    <t>PRECIO DESCUENTO</t>
  </si>
  <si>
    <t>OBSERVACIONES</t>
  </si>
  <si>
    <t>FECHA RENOVACION</t>
  </si>
  <si>
    <t>Tiempo Uso (Años)</t>
  </si>
  <si>
    <t>Fecha Asignacion</t>
  </si>
  <si>
    <t>GRLAM-000228</t>
  </si>
  <si>
    <t>TICKETERA</t>
  </si>
  <si>
    <t>EPSON</t>
  </si>
  <si>
    <t>TM-T88V</t>
  </si>
  <si>
    <t>WJPF834789</t>
  </si>
  <si>
    <t>IMPRESORA DE CAJA</t>
  </si>
  <si>
    <t>MILAGROS VALENCIA</t>
  </si>
  <si>
    <t>CAM</t>
  </si>
  <si>
    <t>COMERCIAL</t>
  </si>
  <si>
    <t>ATC</t>
  </si>
  <si>
    <t>BUENO</t>
  </si>
  <si>
    <t>GRLAM-000252</t>
  </si>
  <si>
    <t>WJPF834779</t>
  </si>
  <si>
    <t>ROSA ISABEL ORTIZ</t>
  </si>
  <si>
    <t>N/A</t>
  </si>
  <si>
    <t>MOUSE</t>
  </si>
  <si>
    <t>MICROSOFT</t>
  </si>
  <si>
    <t>MSK-1113(B)</t>
  </si>
  <si>
    <t>P/N X821908014</t>
  </si>
  <si>
    <t>MOUSE DE OFICINA</t>
  </si>
  <si>
    <t>GRLAM-000227</t>
  </si>
  <si>
    <t>GRLAM-000226</t>
  </si>
  <si>
    <t>TECLADO</t>
  </si>
  <si>
    <t>WIRED 600</t>
  </si>
  <si>
    <t>65803753625</t>
  </si>
  <si>
    <t>TECLADO DE OFICINA</t>
  </si>
  <si>
    <t>GRLAM-000251</t>
  </si>
  <si>
    <t>GRLAM-000225</t>
  </si>
  <si>
    <t>PANTALLA</t>
  </si>
  <si>
    <t>SAMSUNG</t>
  </si>
  <si>
    <t>S19A300N</t>
  </si>
  <si>
    <t>V8C9H9LBB05572Y</t>
  </si>
  <si>
    <t>MONITOR DE ESCRITORIO</t>
  </si>
  <si>
    <t>BUENO / CAMBIO</t>
  </si>
  <si>
    <t>933HDPLUS</t>
  </si>
  <si>
    <t>B5DBHCKB100241N</t>
  </si>
  <si>
    <t>MALO</t>
  </si>
  <si>
    <t>CPU</t>
  </si>
  <si>
    <t>GENERAL</t>
  </si>
  <si>
    <t>INTEL CORE I3 / 4GB RAM / 512GB</t>
  </si>
  <si>
    <t>ESTABILIZADOR</t>
  </si>
  <si>
    <t>FORZA</t>
  </si>
  <si>
    <t>FVR-1202USB</t>
  </si>
  <si>
    <t>194713283904</t>
  </si>
  <si>
    <t>ESTABILIZADOR DE ESCRITORIO</t>
  </si>
  <si>
    <t>FVR-902</t>
  </si>
  <si>
    <t>BUENO / NUEVO</t>
  </si>
  <si>
    <t>GRLAM-000030</t>
  </si>
  <si>
    <t>LAPTOP</t>
  </si>
  <si>
    <t>LENOVO</t>
  </si>
  <si>
    <t>IDEAPAD 520S-14IKB</t>
  </si>
  <si>
    <t>MP1BHPE3</t>
  </si>
  <si>
    <t>INTEL CORE I5 / 4GB RAM / 512GB SSD</t>
  </si>
  <si>
    <t>SUPERVISOR ATC</t>
  </si>
  <si>
    <t>GRLAM-000292</t>
  </si>
  <si>
    <t>ADAPTADOR DE RED</t>
  </si>
  <si>
    <t>WESTOR</t>
  </si>
  <si>
    <t>USB3.0-GIGABIT-LAN</t>
  </si>
  <si>
    <t>ADAPTADOR USB-LAN PARA LAPTOP</t>
  </si>
  <si>
    <t>GRLAM-000254</t>
  </si>
  <si>
    <t>IMPRESORA</t>
  </si>
  <si>
    <t>CANON</t>
  </si>
  <si>
    <t>G3100</t>
  </si>
  <si>
    <t>KKSG52321</t>
  </si>
  <si>
    <t>IMPRESORA DE TIENDA</t>
  </si>
  <si>
    <t>NO ASIGNACION</t>
  </si>
  <si>
    <t>CAMARA</t>
  </si>
  <si>
    <t>HIKVISION</t>
  </si>
  <si>
    <t>CAMARA COLOR</t>
  </si>
  <si>
    <t>DS-2CE16D1T-IT3</t>
  </si>
  <si>
    <t>558579758</t>
  </si>
  <si>
    <t>CAMARA COLOR 1080P</t>
  </si>
  <si>
    <t>OPERACIONES</t>
  </si>
  <si>
    <t>CABECERA</t>
  </si>
  <si>
    <t>NVR</t>
  </si>
  <si>
    <t>DS-7208HGHI-SH</t>
  </si>
  <si>
    <t>564510908</t>
  </si>
  <si>
    <t>NETWORK VIDEO RECORDER</t>
  </si>
  <si>
    <t>GRLAM-000265</t>
  </si>
  <si>
    <t>MONITOR</t>
  </si>
  <si>
    <t>LG</t>
  </si>
  <si>
    <t>24MK430H</t>
  </si>
  <si>
    <t>810NTPCOL792</t>
  </si>
  <si>
    <t>MONITOR MULTIMEDIA 24 PULGADAS</t>
  </si>
  <si>
    <t>MOLL</t>
  </si>
  <si>
    <t>CARGADOR DE PANTALLA</t>
  </si>
  <si>
    <t>ADS-40FSG-19</t>
  </si>
  <si>
    <t>HJ9L9627686155379</t>
  </si>
  <si>
    <t>CARGADOR DE MONITOR</t>
  </si>
  <si>
    <t xml:space="preserve">CANON </t>
  </si>
  <si>
    <t>G3110</t>
  </si>
  <si>
    <t>KMCP59392</t>
  </si>
  <si>
    <t>GRLAM-000269</t>
  </si>
  <si>
    <t>20MP48A</t>
  </si>
  <si>
    <t>709NTWG53321</t>
  </si>
  <si>
    <t>GISELA PINTO</t>
  </si>
  <si>
    <t>LCAP42</t>
  </si>
  <si>
    <t>EH8BF630732024556</t>
  </si>
  <si>
    <t>INTERMEDIO</t>
  </si>
  <si>
    <t>PC</t>
  </si>
  <si>
    <t>INTEL</t>
  </si>
  <si>
    <t>I3-2120</t>
  </si>
  <si>
    <t>4GB DDR3 / GIGABYTE TEC / H61M-HD2 / SSD 250GB</t>
  </si>
  <si>
    <t>GRLAM-000272</t>
  </si>
  <si>
    <t>WJPF837147</t>
  </si>
  <si>
    <t>GRLAM-000340</t>
  </si>
  <si>
    <t>ASUS</t>
  </si>
  <si>
    <t>X509DA-BR736</t>
  </si>
  <si>
    <t>L6N0CV19P23226D</t>
  </si>
  <si>
    <t>I5 / SSD 250GB / 8GB RAM</t>
  </si>
  <si>
    <t>YASMANI APAZA</t>
  </si>
  <si>
    <t>TECNICO</t>
  </si>
  <si>
    <t>GRLAM-000410</t>
  </si>
  <si>
    <t>CARGADOR</t>
  </si>
  <si>
    <t>W19-045N3A</t>
  </si>
  <si>
    <t>CARGADOR PARA LAPTOP</t>
  </si>
  <si>
    <t>GRLAN-000449</t>
  </si>
  <si>
    <t>GIGABIT LAN</t>
  </si>
  <si>
    <t>ADAPTADOR DE RJ45 A USB-A</t>
  </si>
  <si>
    <t>GRLAM-000471</t>
  </si>
  <si>
    <t>GENIUS</t>
  </si>
  <si>
    <t>X0L95796601520</t>
  </si>
  <si>
    <t>GRLAM-000442</t>
  </si>
  <si>
    <t>KMYH57733</t>
  </si>
  <si>
    <t>MOQ</t>
  </si>
  <si>
    <t>GRLAM-000230</t>
  </si>
  <si>
    <t>ADVANCE</t>
  </si>
  <si>
    <t>ADV195BL2017061281</t>
  </si>
  <si>
    <t>VGA</t>
  </si>
  <si>
    <t>ADELA VELEZ</t>
  </si>
  <si>
    <t>I3-7100</t>
  </si>
  <si>
    <t>4GB RAM / MSI /B250M PRO-VDH</t>
  </si>
  <si>
    <t>WJPF834480</t>
  </si>
  <si>
    <t>GRLAM-000298</t>
  </si>
  <si>
    <t>LOGITECH</t>
  </si>
  <si>
    <t>M90</t>
  </si>
  <si>
    <t>P/N:810-002182</t>
  </si>
  <si>
    <t>HALION</t>
  </si>
  <si>
    <t>HA-K429C</t>
  </si>
  <si>
    <t>CO-2703-2704</t>
  </si>
  <si>
    <t>GRLAM-000276</t>
  </si>
  <si>
    <t>LS19PUYKF/PE</t>
  </si>
  <si>
    <t>YC5GH9LZ403466Z</t>
  </si>
  <si>
    <t>ARALY MAMANI</t>
  </si>
  <si>
    <t>4GB RAM / ASUSTEK / PRIME H110M-P</t>
  </si>
  <si>
    <t>GRLAM-000248</t>
  </si>
  <si>
    <t>WJPF834485</t>
  </si>
  <si>
    <t>1810HS04QSH8</t>
  </si>
  <si>
    <t>CELULAR</t>
  </si>
  <si>
    <t>REDMI 12C</t>
  </si>
  <si>
    <t>2212ARNC4L</t>
  </si>
  <si>
    <t>45780/S3UN04514</t>
  </si>
  <si>
    <t>IMEI 860932068513749 / 128GB</t>
  </si>
  <si>
    <t>CARGADOR DE CELULAR</t>
  </si>
  <si>
    <t>MI</t>
  </si>
  <si>
    <t>MDY-09-EW</t>
  </si>
  <si>
    <t>2G62304M398408C</t>
  </si>
  <si>
    <t>MICRO B</t>
  </si>
  <si>
    <t>NVR-OFICINA</t>
  </si>
  <si>
    <t>564510654</t>
  </si>
  <si>
    <t>HDMI/VGA</t>
  </si>
  <si>
    <t>BIOMETRICO-OFICINA</t>
  </si>
  <si>
    <t>BIOMETRICO-ALMACEN</t>
  </si>
  <si>
    <t>IN04</t>
  </si>
  <si>
    <t>GRLAM-000409</t>
  </si>
  <si>
    <t>X512DA-BQ1686T</t>
  </si>
  <si>
    <t>M1N0CV|92470047</t>
  </si>
  <si>
    <t>SILVERIO VELASQUEZ</t>
  </si>
  <si>
    <t>CARGADOR DE LAPTOP</t>
  </si>
  <si>
    <t>9952101200HCO</t>
  </si>
  <si>
    <t>GRLAM-000451</t>
  </si>
  <si>
    <t>ADAPTADOR ETHERNET</t>
  </si>
  <si>
    <t>MOUSE - NVR</t>
  </si>
  <si>
    <t>NVR-ALMACEN</t>
  </si>
  <si>
    <t>DS-7608NI-Q1/8P</t>
  </si>
  <si>
    <t>AD8560382</t>
  </si>
  <si>
    <t>DOMO</t>
  </si>
  <si>
    <t>TELEFONO FIJO</t>
  </si>
  <si>
    <t>HUAWEI</t>
  </si>
  <si>
    <t>F317</t>
  </si>
  <si>
    <t>Z9W8W16829008716</t>
  </si>
  <si>
    <t>IMEI 869595029403903</t>
  </si>
  <si>
    <t>CARGADOR DE TELEFONO</t>
  </si>
  <si>
    <t>HW-050055U1W</t>
  </si>
  <si>
    <t>HKAG42765045</t>
  </si>
  <si>
    <t>GRLAM-000294</t>
  </si>
  <si>
    <t xml:space="preserve">IMPRESORA </t>
  </si>
  <si>
    <t>KLMX92496</t>
  </si>
  <si>
    <t>TAC</t>
  </si>
  <si>
    <t>AMD</t>
  </si>
  <si>
    <t>A8-9600</t>
  </si>
  <si>
    <t>4 RAM / 320 PRO-HV / 1TB HDD AMD A8</t>
  </si>
  <si>
    <t>GINA CCALLO</t>
  </si>
  <si>
    <t>CAMBIO</t>
  </si>
  <si>
    <t>GRLAM-000198</t>
  </si>
  <si>
    <t>AOC</t>
  </si>
  <si>
    <t>HQZE51A006647</t>
  </si>
  <si>
    <t>WJPF836816</t>
  </si>
  <si>
    <t>GRLAM-000306</t>
  </si>
  <si>
    <t>DVR</t>
  </si>
  <si>
    <t>DS-7215HGHI-K1</t>
  </si>
  <si>
    <t>D08622419</t>
  </si>
  <si>
    <t>ANALOGICA</t>
  </si>
  <si>
    <t>GRLAM-000123</t>
  </si>
  <si>
    <t>HP</t>
  </si>
  <si>
    <t>TPN-C129</t>
  </si>
  <si>
    <t>CND8312M27</t>
  </si>
  <si>
    <t>JORGE ZAVALA</t>
  </si>
  <si>
    <t>GRLAM-000124</t>
  </si>
  <si>
    <t>CARGADOR LAPTOP</t>
  </si>
  <si>
    <t>HSTNN-36HC</t>
  </si>
  <si>
    <t>WFTLC0A5RAZ2MX</t>
  </si>
  <si>
    <t>GRLAM-000206</t>
  </si>
  <si>
    <t>MSU1053</t>
  </si>
  <si>
    <t>PENTIUM</t>
  </si>
  <si>
    <t>4 RAM / GIGABYTE / H810-H / 500GB HDD</t>
  </si>
  <si>
    <t>PATRICIA GAUNA</t>
  </si>
  <si>
    <t>GRLAM 000325</t>
  </si>
  <si>
    <t>VIEWSONIC</t>
  </si>
  <si>
    <t>VS12018</t>
  </si>
  <si>
    <t>QVM080526324</t>
  </si>
  <si>
    <t>GRLAM 000070</t>
  </si>
  <si>
    <t>BENQ</t>
  </si>
  <si>
    <t>L00U</t>
  </si>
  <si>
    <t>FJP1Y81US75M0239OA0000</t>
  </si>
  <si>
    <t>GRLAM-000134</t>
  </si>
  <si>
    <t>NX-7015</t>
  </si>
  <si>
    <t>X8G94819100247</t>
  </si>
  <si>
    <t>GRALM 000329</t>
  </si>
  <si>
    <t>WJPF836813</t>
  </si>
  <si>
    <t>GRLAM-000328</t>
  </si>
  <si>
    <t>INT TANK 315</t>
  </si>
  <si>
    <t>B04-80074</t>
  </si>
  <si>
    <t>DS-2CD2183G2-IS</t>
  </si>
  <si>
    <t>COOLER</t>
  </si>
  <si>
    <t>AIRBOOM</t>
  </si>
  <si>
    <t>AB-008</t>
  </si>
  <si>
    <t>4155AB0081825</t>
  </si>
  <si>
    <t>COOLER DE LAPTOP</t>
  </si>
  <si>
    <t>MILTON HACHA</t>
  </si>
  <si>
    <t>ILO</t>
  </si>
  <si>
    <t>ADMIN &amp; FIN</t>
  </si>
  <si>
    <t>TI</t>
  </si>
  <si>
    <t>GRLAM-000579</t>
  </si>
  <si>
    <t>4160AB0080403</t>
  </si>
  <si>
    <t>SIN ASIGNACION</t>
  </si>
  <si>
    <t>dejo de usar adrian</t>
  </si>
  <si>
    <t>P/N 810-002182</t>
  </si>
  <si>
    <t>MOUSE DE ESCRITORIO</t>
  </si>
  <si>
    <t>2124HS00CWQ8</t>
  </si>
  <si>
    <t>GRLAM-000344</t>
  </si>
  <si>
    <t>ACER</t>
  </si>
  <si>
    <t>AN515-54</t>
  </si>
  <si>
    <t xml:space="preserve">NHQ59AL00N027081D33400 </t>
  </si>
  <si>
    <t>I7 / 12GB RAM / 500GB SSD</t>
  </si>
  <si>
    <t>ANA CONDORI</t>
  </si>
  <si>
    <t>NOC</t>
  </si>
  <si>
    <t>GRLAM-000346</t>
  </si>
  <si>
    <t>PA-1131-16</t>
  </si>
  <si>
    <t>KP1350300701902F43PE05</t>
  </si>
  <si>
    <t>GRLAM-000586</t>
  </si>
  <si>
    <t>4160AB0080189</t>
  </si>
  <si>
    <t>COOLER PARA LAPTOP</t>
  </si>
  <si>
    <t>GRLAM-000429</t>
  </si>
  <si>
    <t>M260</t>
  </si>
  <si>
    <t>B1M260EL0902623</t>
  </si>
  <si>
    <t>MOUSE GAMER</t>
  </si>
  <si>
    <t>MOUSEPAD</t>
  </si>
  <si>
    <t>SIGMA</t>
  </si>
  <si>
    <t>GENERICO</t>
  </si>
  <si>
    <t>MOUSEPAD DE ESCRITORIO</t>
  </si>
  <si>
    <t>AUDIFONO</t>
  </si>
  <si>
    <t>PLANTRONICS</t>
  </si>
  <si>
    <t>C3210</t>
  </si>
  <si>
    <t>AUDIFONO MONOAURAL</t>
  </si>
  <si>
    <t>ALMACEN TI</t>
  </si>
  <si>
    <t>GRLAM – 000109</t>
  </si>
  <si>
    <t>XIAOMI</t>
  </si>
  <si>
    <t>2201117TL</t>
  </si>
  <si>
    <t>37820/R2QY16306</t>
  </si>
  <si>
    <t>REDMI NOTE 11 / COLOR TWILIGHT BLUE</t>
  </si>
  <si>
    <t>GRLAM – 000110</t>
  </si>
  <si>
    <t>CARGADOR (CELULAR)</t>
  </si>
  <si>
    <t>MDY-12-EA</t>
  </si>
  <si>
    <t>SR622031905744G</t>
  </si>
  <si>
    <t>CARGADOR BLANCO / CABLE USB-C</t>
  </si>
  <si>
    <t>CARCASA</t>
  </si>
  <si>
    <t>REDMI NOTE 11 / COLOR NEGRO</t>
  </si>
  <si>
    <t>GRLAM-000498</t>
  </si>
  <si>
    <t>AN515-55-59M2</t>
  </si>
  <si>
    <t>NHQ7MAL01U1361C1013400</t>
  </si>
  <si>
    <t>I5 / 8GB RAM / 250GB SSD</t>
  </si>
  <si>
    <t>FERNANDO CASTILLO</t>
  </si>
  <si>
    <t>GRLAM-000491</t>
  </si>
  <si>
    <t>D12W14N08DB</t>
  </si>
  <si>
    <t>GRLAM–000587</t>
  </si>
  <si>
    <t>4160AB0080190</t>
  </si>
  <si>
    <t>1113</t>
  </si>
  <si>
    <t>X821908-014</t>
  </si>
  <si>
    <t>2BTAV1</t>
  </si>
  <si>
    <t>003NTHM0H249</t>
  </si>
  <si>
    <t>MONITOR ESCRITORIO 24"</t>
  </si>
  <si>
    <t>37821/R2R803102</t>
  </si>
  <si>
    <t>REDMI NOTE 11 / COLOR BLUE</t>
  </si>
  <si>
    <t>MDY-11-EZ</t>
  </si>
  <si>
    <t>SG62201T265153C</t>
  </si>
  <si>
    <t>MICA PROTECTORA</t>
  </si>
  <si>
    <t>REDMI NOTE 11</t>
  </si>
  <si>
    <t>GRLAM-000719</t>
  </si>
  <si>
    <t>NHQ7MAL01U144100FD3400</t>
  </si>
  <si>
    <t>ERIKA LARIJO</t>
  </si>
  <si>
    <t>GRLAM-000720</t>
  </si>
  <si>
    <t>DELTA</t>
  </si>
  <si>
    <t>ADP-135NB B</t>
  </si>
  <si>
    <t>D12W1512004U</t>
  </si>
  <si>
    <t>GRLAM-000770</t>
  </si>
  <si>
    <t>4155AB0081742</t>
  </si>
  <si>
    <t>GRLAM-000874</t>
  </si>
  <si>
    <t>2204HS00CK08</t>
  </si>
  <si>
    <t>GLAM-A0010</t>
  </si>
  <si>
    <t>37821/R2R800937</t>
  </si>
  <si>
    <t>SG62202N133283C</t>
  </si>
  <si>
    <t>GRLAM-000091</t>
  </si>
  <si>
    <t>I5 / 8GB RAM / 500 GB HDD</t>
  </si>
  <si>
    <t>DIEGO SONCCO</t>
  </si>
  <si>
    <t>GRLAM-000056</t>
  </si>
  <si>
    <t>A-195MS</t>
  </si>
  <si>
    <t>ADV2017V0904292</t>
  </si>
  <si>
    <t>GRLAM-000270</t>
  </si>
  <si>
    <t>K120</t>
  </si>
  <si>
    <t>1719SC50D848</t>
  </si>
  <si>
    <t>TECLADO DE ESCRITORIO</t>
  </si>
  <si>
    <t>MO-040</t>
  </si>
  <si>
    <t>P/N: USB-800</t>
  </si>
  <si>
    <t>XTREM</t>
  </si>
  <si>
    <t>37822/R2R302435</t>
  </si>
  <si>
    <t>REDMI NOTE 11 / COLOR STAR-BLUE</t>
  </si>
  <si>
    <t>MDY-0S-ZK</t>
  </si>
  <si>
    <t>GB17625-1-2012</t>
  </si>
  <si>
    <t>AN515-55-595Q</t>
  </si>
  <si>
    <t>NHQ7MAL01V150065D53400</t>
  </si>
  <si>
    <t>I5 / 16GB RAM / 500 GB SSD</t>
  </si>
  <si>
    <t>ENA ZAPATA</t>
  </si>
  <si>
    <t>CHICONY</t>
  </si>
  <si>
    <t>KP1350H0021190764APH02</t>
  </si>
  <si>
    <t>4155AB0081837</t>
  </si>
  <si>
    <t>GRLAM-000871</t>
  </si>
  <si>
    <t>2148HS05R9K8</t>
  </si>
  <si>
    <t>GLAM-000859</t>
  </si>
  <si>
    <t>37822/R2R302664</t>
  </si>
  <si>
    <t>SR62202S942040G</t>
  </si>
  <si>
    <t>GRLAM-000085</t>
  </si>
  <si>
    <t>GL553V</t>
  </si>
  <si>
    <t>J3N0CV09R54113A</t>
  </si>
  <si>
    <t>I5 / 8GB RAM / 1TB SSD</t>
  </si>
  <si>
    <t xml:space="preserve">MARCOS TALA </t>
  </si>
  <si>
    <t>GRLAM-000002</t>
  </si>
  <si>
    <t>4155AB0081840</t>
  </si>
  <si>
    <t>GRLAM-000360</t>
  </si>
  <si>
    <t>TEROS</t>
  </si>
  <si>
    <t>TE-4060N</t>
  </si>
  <si>
    <t>GRLAM-000453</t>
  </si>
  <si>
    <t>1NLP26</t>
  </si>
  <si>
    <t>NHQ7MAL01V1350150D3400</t>
  </si>
  <si>
    <t>I5 / 8GB RAM / 500 GB SSD</t>
  </si>
  <si>
    <t>D12W14N06UC</t>
  </si>
  <si>
    <t>GRLAM-000766</t>
  </si>
  <si>
    <t>4155AB0081748</t>
  </si>
  <si>
    <t>2124HS00CWY8</t>
  </si>
  <si>
    <t>AMPARO NUÑEZ</t>
  </si>
  <si>
    <t>GRLAM-000744</t>
  </si>
  <si>
    <t>1TJE77</t>
  </si>
  <si>
    <t>2201117TG</t>
  </si>
  <si>
    <t>37821/R2PT24491</t>
  </si>
  <si>
    <t>DANNY LOPEZ</t>
  </si>
  <si>
    <t>SG622028215317C</t>
  </si>
  <si>
    <t>CARGADOR BLANCO / CALBE USB-C</t>
  </si>
  <si>
    <t>GRLAM-000898</t>
  </si>
  <si>
    <t>NHQ7MAL01V13501AAC3400</t>
  </si>
  <si>
    <t>I5 / 8GB RAM / 500GB SSD</t>
  </si>
  <si>
    <t>SHARON RUIZ</t>
  </si>
  <si>
    <t>ADT</t>
  </si>
  <si>
    <t>GRLAM-000899</t>
  </si>
  <si>
    <t>D12W14N04JV</t>
  </si>
  <si>
    <t>GRLAM-000581</t>
  </si>
  <si>
    <t>4160AB0080409</t>
  </si>
  <si>
    <t>GRLAM-000399</t>
  </si>
  <si>
    <t>GRLAM-000479</t>
  </si>
  <si>
    <t>224EPH</t>
  </si>
  <si>
    <t>37820/R2QY13854</t>
  </si>
  <si>
    <t>SR622031914699G</t>
  </si>
  <si>
    <t>GRLAM-000422</t>
  </si>
  <si>
    <t>VIVOBOOK X512DA</t>
  </si>
  <si>
    <t>M1N0CV192351042</t>
  </si>
  <si>
    <t>RYZEN 5 / 8GB RAM / 250GB SSD</t>
  </si>
  <si>
    <t>MISCHELL OJEDA</t>
  </si>
  <si>
    <t>9952101200HN3</t>
  </si>
  <si>
    <t>4155AB0081824</t>
  </si>
  <si>
    <t>2148HS05R8F8</t>
  </si>
  <si>
    <t>GRLAM-000979</t>
  </si>
  <si>
    <t>2B6AY6</t>
  </si>
  <si>
    <t>AUDIFONO DE ESCRITORIO</t>
  </si>
  <si>
    <t>GRLAM-000743</t>
  </si>
  <si>
    <t>ADAPTADOR DE RJ45 - USB</t>
  </si>
  <si>
    <t>37820/R2QY15091</t>
  </si>
  <si>
    <t>SG62202J354194C</t>
  </si>
  <si>
    <t>GRLAM-000400</t>
  </si>
  <si>
    <t xml:space="preserve">M1N0CV192365047 </t>
  </si>
  <si>
    <t>NICOLE RIVERA</t>
  </si>
  <si>
    <t>GRLAM-000413</t>
  </si>
  <si>
    <t>9952101200LMK</t>
  </si>
  <si>
    <t>GRLAM-000583</t>
  </si>
  <si>
    <t>4160AB0080410</t>
  </si>
  <si>
    <t>2129HS04XU08</t>
  </si>
  <si>
    <t>GRLAM-000710</t>
  </si>
  <si>
    <t>GRLAM-000373</t>
  </si>
  <si>
    <t>UGREEN</t>
  </si>
  <si>
    <t>37820/R2QY14442</t>
  </si>
  <si>
    <t>MDY-11-EA</t>
  </si>
  <si>
    <t>SR622031909487G</t>
  </si>
  <si>
    <t>NHQ7MAL01V135017713400</t>
  </si>
  <si>
    <t>GREACE PEREZ</t>
  </si>
  <si>
    <t>A18-135P1A</t>
  </si>
  <si>
    <t>KP1350H0021120C213PH02</t>
  </si>
  <si>
    <t>4155AB0081821</t>
  </si>
  <si>
    <t>GRLAM-000869</t>
  </si>
  <si>
    <t>2148HS05R8J8</t>
  </si>
  <si>
    <t>37821/R2R803016</t>
  </si>
  <si>
    <t>SG62201Q191394C</t>
  </si>
  <si>
    <t>GRLAM-000717</t>
  </si>
  <si>
    <t>NHQ7MAL01U1440F6443400</t>
  </si>
  <si>
    <t>JONATHAN SALINAS</t>
  </si>
  <si>
    <t>D12W15R00AF</t>
  </si>
  <si>
    <t>4155AB0081826</t>
  </si>
  <si>
    <t>2124HS00CWR8</t>
  </si>
  <si>
    <t>37820/R2QY15098</t>
  </si>
  <si>
    <t>SR6220319139376</t>
  </si>
  <si>
    <t>GLAM-000557</t>
  </si>
  <si>
    <t>L7NOCV22Z112313</t>
  </si>
  <si>
    <t>RYZEN 5 / 12GB RAM / 1TB SSD</t>
  </si>
  <si>
    <t>ANDY GUERRA</t>
  </si>
  <si>
    <t>ADP-45BW</t>
  </si>
  <si>
    <t>0A001-00691200</t>
  </si>
  <si>
    <t>GLAM-000595</t>
  </si>
  <si>
    <t>4160AB0080191</t>
  </si>
  <si>
    <t>2B7B1B</t>
  </si>
  <si>
    <t>GLAM-000712</t>
  </si>
  <si>
    <t>TRIPP-LITE</t>
  </si>
  <si>
    <t>U336-000-GB-AL</t>
  </si>
  <si>
    <t>3049BTTCU87EA000982</t>
  </si>
  <si>
    <t>37820/R2QY16225</t>
  </si>
  <si>
    <t>SG62202J256678C</t>
  </si>
  <si>
    <t>NHQ7MAL01V135019DD3400</t>
  </si>
  <si>
    <t>MARICELA LOPEZ</t>
  </si>
  <si>
    <t>DELTA ELECTRONICS</t>
  </si>
  <si>
    <t>D12W15R004T</t>
  </si>
  <si>
    <t>GRLAM-000575</t>
  </si>
  <si>
    <t>4160AB0080418</t>
  </si>
  <si>
    <t>GRLAM-000417</t>
  </si>
  <si>
    <t>GRLAM-000476</t>
  </si>
  <si>
    <t>2227JD</t>
  </si>
  <si>
    <t>GRLAM-000096</t>
  </si>
  <si>
    <t>LT24A550</t>
  </si>
  <si>
    <t>Z3HBHCKB400231Z</t>
  </si>
  <si>
    <t>MONITOR LED TV 24"</t>
  </si>
  <si>
    <t>GRLAM-000372</t>
  </si>
  <si>
    <t>STK-LX3</t>
  </si>
  <si>
    <t>6JHNW20303000542</t>
  </si>
  <si>
    <t>HUAWEI Y9 PRIME / GREEN</t>
  </si>
  <si>
    <t>HONOR</t>
  </si>
  <si>
    <t>PATRICIA MAMANI</t>
  </si>
  <si>
    <t>LOGISTICA</t>
  </si>
  <si>
    <t>GRLAM-000424</t>
  </si>
  <si>
    <t>MM-5113</t>
  </si>
  <si>
    <t>GRLAM-000457</t>
  </si>
  <si>
    <t>GRLAM-000563</t>
  </si>
  <si>
    <t>NHQ7MAL01U1400D0F23400</t>
  </si>
  <si>
    <t>I5 / 16GB RAM / 250GB SSD</t>
  </si>
  <si>
    <t>GRLAM-000342</t>
  </si>
  <si>
    <t>300701902F36PE05</t>
  </si>
  <si>
    <t>2204HS00CK18</t>
  </si>
  <si>
    <t>JHONNY VALDERREY</t>
  </si>
  <si>
    <t>1TJE7M</t>
  </si>
  <si>
    <t>GRLAM-000448</t>
  </si>
  <si>
    <t>HSD-0065-W</t>
  </si>
  <si>
    <t>CN402605J0</t>
  </si>
  <si>
    <t>MONITOR HP P22V G4 FHD</t>
  </si>
  <si>
    <t>NHQ7MAL01U1400CF0A3400</t>
  </si>
  <si>
    <t>I5 / 16GB RAM / 1TB SSD</t>
  </si>
  <si>
    <t>FODER LLERENA</t>
  </si>
  <si>
    <t>ADP-135NB-B</t>
  </si>
  <si>
    <t>KP13501000811901FFEP103</t>
  </si>
  <si>
    <t>GRLAM-000590</t>
  </si>
  <si>
    <t>4160AB0080198</t>
  </si>
  <si>
    <t>GRLAM-000155</t>
  </si>
  <si>
    <t>1824MR07C468</t>
  </si>
  <si>
    <t>2124HS02GM68</t>
  </si>
  <si>
    <t>2ATW43</t>
  </si>
  <si>
    <t>GRLAM-000894</t>
  </si>
  <si>
    <t>NHQ7MAL01V13601B313400</t>
  </si>
  <si>
    <t>GRLAM-000895</t>
  </si>
  <si>
    <t>ADP-135-NB-B</t>
  </si>
  <si>
    <t>D12W14N03WK</t>
  </si>
  <si>
    <t>4155AB0081743</t>
  </si>
  <si>
    <t>GRLAM-000868</t>
  </si>
  <si>
    <t>2148HS05U1B8</t>
  </si>
  <si>
    <t>GRLAM-000870</t>
  </si>
  <si>
    <t>1TJE9G</t>
  </si>
  <si>
    <t>37799/R2N701407</t>
  </si>
  <si>
    <t>SG622029229595C</t>
  </si>
  <si>
    <t>GRLAM-000391</t>
  </si>
  <si>
    <t>AN517-52-52T3</t>
  </si>
  <si>
    <t>NHQ82AA0010330B5613400</t>
  </si>
  <si>
    <t>I5 / 16GB RAM / 500GB SSD</t>
  </si>
  <si>
    <t>MIRIAN MAMANI</t>
  </si>
  <si>
    <t>GRLAM-000392</t>
  </si>
  <si>
    <t>KP1350H002019014CBPH01</t>
  </si>
  <si>
    <t>ARIBOOM</t>
  </si>
  <si>
    <t/>
  </si>
  <si>
    <t>GRLAM-000402</t>
  </si>
  <si>
    <t>21021000769</t>
  </si>
  <si>
    <t>GRLAM-000438</t>
  </si>
  <si>
    <t>24MK430H - B</t>
  </si>
  <si>
    <t>101NTDV1U658</t>
  </si>
  <si>
    <t>MONITOR 24"</t>
  </si>
  <si>
    <t>ADAPTADOR DE RJ45 A USB</t>
  </si>
  <si>
    <t>HA-305</t>
  </si>
  <si>
    <t>NOTE 11S</t>
  </si>
  <si>
    <t>37938/R2PW06307</t>
  </si>
  <si>
    <t>REDMI NOTE 11S / COLOR NEGRO</t>
  </si>
  <si>
    <t>I5 / 12GB RAM / 500GB SSD</t>
  </si>
  <si>
    <t>JOSUE RAMOS</t>
  </si>
  <si>
    <t>AN515-55</t>
  </si>
  <si>
    <t>NHQ7MAL01V13501C573400</t>
  </si>
  <si>
    <t>500GB SSD / 16GB RAM / NVIDIA GTX2060</t>
  </si>
  <si>
    <t>EDITH</t>
  </si>
  <si>
    <t>CONTABILIDAD</t>
  </si>
  <si>
    <t>ADP 135NB B</t>
  </si>
  <si>
    <t>D12W081026Z</t>
  </si>
  <si>
    <t>LAPTOP ACER</t>
  </si>
  <si>
    <t>BASIC</t>
  </si>
  <si>
    <t>KB-200</t>
  </si>
  <si>
    <t>XOL95796601520</t>
  </si>
  <si>
    <t>LS24F350FHLXPE</t>
  </si>
  <si>
    <t>S24350FH</t>
  </si>
  <si>
    <t>4160AB0080197</t>
  </si>
  <si>
    <t>NHQ7MAL01U1440FE103400</t>
  </si>
  <si>
    <t>IANCA RAMOS</t>
  </si>
  <si>
    <t>DX-110</t>
  </si>
  <si>
    <t>X9K95301117956</t>
  </si>
  <si>
    <t>24MQ400</t>
  </si>
  <si>
    <t>303NTLE1Q432</t>
  </si>
  <si>
    <t>COOLER AIRBOOM</t>
  </si>
  <si>
    <t>BASE PARA MOUSE</t>
  </si>
  <si>
    <t>A315-23-R596</t>
  </si>
  <si>
    <t>NXHVUAA004024109497600</t>
  </si>
  <si>
    <t>500GB SSD / 8GB RAM /  AMD RADEON GRAPHICS</t>
  </si>
  <si>
    <t>ERIKA ARAGON</t>
  </si>
  <si>
    <t>214HHS02GM68</t>
  </si>
  <si>
    <t>1802SC50SD98</t>
  </si>
  <si>
    <t>M2280AM</t>
  </si>
  <si>
    <t>209KCBDAC589</t>
  </si>
  <si>
    <t>MONITOR 22"</t>
  </si>
  <si>
    <t>NHQ7MAL00K1290CB213400</t>
  </si>
  <si>
    <t>DANIKA ARAGON</t>
  </si>
  <si>
    <t>203NTCZDR411</t>
  </si>
  <si>
    <t>REDMI NOTE 11 / COLOR STAR BLUE</t>
  </si>
  <si>
    <t>NHQ7MAL01U1361B78F3400</t>
  </si>
  <si>
    <t>GABRIELA QUINTANA</t>
  </si>
  <si>
    <t>FINANZAS</t>
  </si>
  <si>
    <t>ADP-135HG</t>
  </si>
  <si>
    <t>D12W14N088F</t>
  </si>
  <si>
    <t>S24F350FHL</t>
  </si>
  <si>
    <t>ZZPWH4Z1800491L</t>
  </si>
  <si>
    <t>2148HS05R9H8</t>
  </si>
  <si>
    <t>NHQ7MAL01U1400CECE3400</t>
  </si>
  <si>
    <t>GABY CRUZ</t>
  </si>
  <si>
    <t>ADF-135NB</t>
  </si>
  <si>
    <t>D12W15707XW</t>
  </si>
  <si>
    <t>24MP58VQ</t>
  </si>
  <si>
    <t>701NTTQBT185</t>
  </si>
  <si>
    <t>2124500CW58</t>
  </si>
  <si>
    <t>NHQ7MAL01V13501B2C3400</t>
  </si>
  <si>
    <t>ANA COAILA</t>
  </si>
  <si>
    <t>ADF-135HG</t>
  </si>
  <si>
    <t>D12W56802MG</t>
  </si>
  <si>
    <t>101NTLE1J048</t>
  </si>
  <si>
    <t>2124HS054EV8</t>
  </si>
  <si>
    <t>37799/R2N701138</t>
  </si>
  <si>
    <t>SG621069108481J</t>
  </si>
  <si>
    <t>VIVOBOOK 15</t>
  </si>
  <si>
    <t>500GB SSD / 16GB RAM / AMD RADEON GRAPHICS</t>
  </si>
  <si>
    <t>ROSARIO CORTEZ</t>
  </si>
  <si>
    <t>EXA1206UH</t>
  </si>
  <si>
    <t>LAPTOP ASUS</t>
  </si>
  <si>
    <t>4160BA0030175</t>
  </si>
  <si>
    <t>GIGABIT</t>
  </si>
  <si>
    <t>ADAPTADOR DE RED INTERNET</t>
  </si>
  <si>
    <t>37821/R2R804010</t>
  </si>
  <si>
    <t>IMRESORA</t>
  </si>
  <si>
    <t>KYOCERA</t>
  </si>
  <si>
    <t>ECOSYS M4125idn</t>
  </si>
  <si>
    <t>IMPRESORA MULTIFUNCIONAL SEMI PROFESIONAL</t>
  </si>
  <si>
    <t>GRLAM-000492</t>
  </si>
  <si>
    <t>NHQ7MAL01U1361C2A03400</t>
  </si>
  <si>
    <t>GRLAM-000493</t>
  </si>
  <si>
    <t>D12W14N08D5</t>
  </si>
  <si>
    <t>GLAM-000659</t>
  </si>
  <si>
    <t>LOGTIECH</t>
  </si>
  <si>
    <t>2124HS009QK8</t>
  </si>
  <si>
    <t>ADRIAN HUANACUNI</t>
  </si>
  <si>
    <t>brayan valdez</t>
  </si>
  <si>
    <t>GLAM-000566</t>
  </si>
  <si>
    <t>4160AB0080412</t>
  </si>
  <si>
    <t>NHQ7MAL01V13501C823400</t>
  </si>
  <si>
    <t>ELIANA HUANCA</t>
  </si>
  <si>
    <t>CONTACT CENTER</t>
  </si>
  <si>
    <t>GRLAM-000485</t>
  </si>
  <si>
    <t>D12W14N088S</t>
  </si>
  <si>
    <t>2124HS009QT8</t>
  </si>
  <si>
    <t>GLAM-000656</t>
  </si>
  <si>
    <t>4160AB0080182</t>
  </si>
  <si>
    <t>LESLIE TUERO</t>
  </si>
  <si>
    <t>D12W14N0897</t>
  </si>
  <si>
    <t>2035HS046S88</t>
  </si>
  <si>
    <t>4155AB0081747</t>
  </si>
  <si>
    <t>NHQ7MAL01U1361C0EF3400</t>
  </si>
  <si>
    <t>JANET RAMOS</t>
  </si>
  <si>
    <t>D12W14N0AAY</t>
  </si>
  <si>
    <t>GLAM-000666</t>
  </si>
  <si>
    <t>2124HS00CWV8</t>
  </si>
  <si>
    <t>GLAM-000772</t>
  </si>
  <si>
    <t>4155AB0081746</t>
  </si>
  <si>
    <t>NHQ7MAL01U1361C47A3400</t>
  </si>
  <si>
    <t>EDITH LUJAN</t>
  </si>
  <si>
    <t>D12W14N08T2</t>
  </si>
  <si>
    <t>GLAM-000879</t>
  </si>
  <si>
    <t>2148HS05U158</t>
  </si>
  <si>
    <t>GRLAM-000574</t>
  </si>
  <si>
    <t>4160AB0080417</t>
  </si>
  <si>
    <t>37820/62YT00374</t>
  </si>
  <si>
    <t>SG62201V298267C</t>
  </si>
  <si>
    <t>1TJE72</t>
  </si>
  <si>
    <t>KARLA PACURI</t>
  </si>
  <si>
    <t>IMPRESORA DE OFICINA CN ALMACEN</t>
  </si>
  <si>
    <t>L6270</t>
  </si>
  <si>
    <t>IMPRESORA DE OFICINA</t>
  </si>
  <si>
    <t>LIM</t>
  </si>
  <si>
    <t>OFICINA</t>
  </si>
  <si>
    <t>L5290</t>
  </si>
  <si>
    <t>IMPRESORA DE OFICINA ASA</t>
  </si>
  <si>
    <t>ARE</t>
  </si>
  <si>
    <t>GRLAM-001001</t>
  </si>
  <si>
    <t>IDEAPAD GAMING 3 15IAH7</t>
  </si>
  <si>
    <t>MP2K39P3</t>
  </si>
  <si>
    <t>I5 12TH GEN / 16GB RAM / 500GB SSD</t>
  </si>
  <si>
    <t>NUEVO</t>
  </si>
  <si>
    <t>CABAPICE</t>
  </si>
  <si>
    <t>GRLAM-001002</t>
  </si>
  <si>
    <t>ADL135SDC3A</t>
  </si>
  <si>
    <t>8SSA10E75864D1SG34R0SH3</t>
  </si>
  <si>
    <t>GRLAM-001003</t>
  </si>
  <si>
    <t>MP2K37G7</t>
  </si>
  <si>
    <t>I5 12TH GEN / 8GB RAM / 500GB SSD</t>
  </si>
  <si>
    <t>MANUEL PUENTE</t>
  </si>
  <si>
    <t>TELEVENTAS</t>
  </si>
  <si>
    <t>GRLAM-001004</t>
  </si>
  <si>
    <t>8SSA10E75864D1SG34R0SHL</t>
  </si>
  <si>
    <t>GRLAM-001005</t>
  </si>
  <si>
    <t>MP2K282L</t>
  </si>
  <si>
    <t>I5 12TH GEN / 16GB RAM (+16GB) / 500GB SSD</t>
  </si>
  <si>
    <t>EDUARDO ZEGARRA</t>
  </si>
  <si>
    <t>MARKETING</t>
  </si>
  <si>
    <t>Se está incrementando el valor por S/. 160,00 al aumentar la RAM a 32GB</t>
  </si>
  <si>
    <t>GRLAM-001006</t>
  </si>
  <si>
    <t>8SSA10E75864D1SG34R0SHM</t>
  </si>
  <si>
    <t>GRLAM-001007</t>
  </si>
  <si>
    <t>MP2K39Q7</t>
  </si>
  <si>
    <t>GRLAM-001008</t>
  </si>
  <si>
    <t>8SSA10E75864D1SG34R0GRA</t>
  </si>
  <si>
    <t>GRLAM-001009</t>
  </si>
  <si>
    <t>MP2K39PC</t>
  </si>
  <si>
    <t>PATRICIA ALVAREZ</t>
  </si>
  <si>
    <t>ACCIONISTA</t>
  </si>
  <si>
    <t>Anterior usuario Jack Marquina</t>
  </si>
  <si>
    <t>GRLAM-001010</t>
  </si>
  <si>
    <t>8SSA10E75864D1SG34R0SER</t>
  </si>
  <si>
    <t>GRLAM-001011</t>
  </si>
  <si>
    <t>MP2K39PD</t>
  </si>
  <si>
    <t>MARINO PAUCARA</t>
  </si>
  <si>
    <t>DANIEL CALCINA</t>
  </si>
  <si>
    <t>GRLAM-001012</t>
  </si>
  <si>
    <t>8SSA10E75864D1SG34R0GRB</t>
  </si>
  <si>
    <t>GRLAM-001013</t>
  </si>
  <si>
    <t>E3M9XC7382408789</t>
  </si>
  <si>
    <t>TELEFONO CON CHIP</t>
  </si>
  <si>
    <t>GRLAM-001014</t>
  </si>
  <si>
    <t>DS-7608NI-Q1</t>
  </si>
  <si>
    <t>AY3476553</t>
  </si>
  <si>
    <t>COLOR PLOMO</t>
  </si>
  <si>
    <t>ALM</t>
  </si>
  <si>
    <t>GRLAM-001015</t>
  </si>
  <si>
    <t>CARGADOR (NVR)</t>
  </si>
  <si>
    <t>HUNTKEY</t>
  </si>
  <si>
    <t>HKA09048019-027</t>
  </si>
  <si>
    <t>H79739601031A1</t>
  </si>
  <si>
    <t>COLOR NEGRO</t>
  </si>
  <si>
    <t>GRLAM-001016</t>
  </si>
  <si>
    <t>AG4780049</t>
  </si>
  <si>
    <t>DOMO IP</t>
  </si>
  <si>
    <t>GRLAM-001017</t>
  </si>
  <si>
    <t>GRLAM-001018</t>
  </si>
  <si>
    <t>GRLAM-001019</t>
  </si>
  <si>
    <t>GRLAM-001020</t>
  </si>
  <si>
    <t>MP2KY69G</t>
  </si>
  <si>
    <t>I5 12TH GEN / 16GB RAM / 500GB SSD / RTX</t>
  </si>
  <si>
    <t>VANESA QUISPE</t>
  </si>
  <si>
    <t>GRLAM-001021</t>
  </si>
  <si>
    <t>GX21M522805A11K67846</t>
  </si>
  <si>
    <t>CARGADOR DE LAPTOP MP2KY69G</t>
  </si>
  <si>
    <t>GRLAM-001022</t>
  </si>
  <si>
    <t>MP2KY68X</t>
  </si>
  <si>
    <t>KARLA CONCHA</t>
  </si>
  <si>
    <t>GRLAM-001023</t>
  </si>
  <si>
    <t>8SGX21M52280D1SG39407N0</t>
  </si>
  <si>
    <t>GRLAM-001024</t>
  </si>
  <si>
    <t>Z9W8W16829005899</t>
  </si>
  <si>
    <t>GRLAM-001025</t>
  </si>
  <si>
    <t>GRLAM-001026</t>
  </si>
  <si>
    <t>2VA202</t>
  </si>
  <si>
    <t>ERNESTO BALZA</t>
  </si>
  <si>
    <t>GRLAM-001027</t>
  </si>
  <si>
    <t>2VA36C</t>
  </si>
  <si>
    <t>GRLAM-001028</t>
  </si>
  <si>
    <t>2VA204</t>
  </si>
  <si>
    <t>GRLAM-001029</t>
  </si>
  <si>
    <t>2VA1W3</t>
  </si>
  <si>
    <t>RODRIGO GALLEGOS</t>
  </si>
  <si>
    <t>GRLAM-001030</t>
  </si>
  <si>
    <t>2VA1W2</t>
  </si>
  <si>
    <t>LIZ COLQUE</t>
  </si>
  <si>
    <t>GRLAM-001031</t>
  </si>
  <si>
    <t>2VA1WD</t>
  </si>
  <si>
    <t>JHONATHAN GUTIERREZ</t>
  </si>
  <si>
    <t>GRLAM-001032</t>
  </si>
  <si>
    <t>2VA1WC</t>
  </si>
  <si>
    <t>ALLISON AROQUIPA</t>
  </si>
  <si>
    <t>GRLAM-001033</t>
  </si>
  <si>
    <t>2VA36B</t>
  </si>
  <si>
    <t>ANTERIOR USUARIO JEAN CARLOS TLV</t>
  </si>
  <si>
    <t>GRLAM-001034</t>
  </si>
  <si>
    <t>2VA369</t>
  </si>
  <si>
    <t>GABRIELA LANDAURO</t>
  </si>
  <si>
    <t>GRLAM-001035</t>
  </si>
  <si>
    <t>2VA201</t>
  </si>
  <si>
    <t>NYRZHA DONGO</t>
  </si>
  <si>
    <t>GRLAM-001036</t>
  </si>
  <si>
    <t>2VA36F</t>
  </si>
  <si>
    <t>GIANNELY PACSI</t>
  </si>
  <si>
    <t>GRLAM-001037</t>
  </si>
  <si>
    <t>2VA205</t>
  </si>
  <si>
    <t>ELIAN VELASQUEZ</t>
  </si>
  <si>
    <t>ADV</t>
  </si>
  <si>
    <t>GRLAM-001038</t>
  </si>
  <si>
    <t>2VA1YX</t>
  </si>
  <si>
    <t>DARLIN ROJAS</t>
  </si>
  <si>
    <t>GRLAM-001039</t>
  </si>
  <si>
    <t>2VA36D</t>
  </si>
  <si>
    <t>HEYDI CONDORI</t>
  </si>
  <si>
    <t>GRLAM-001040</t>
  </si>
  <si>
    <t>2VA1W5</t>
  </si>
  <si>
    <t>GRLAM-001041</t>
  </si>
  <si>
    <t>Z9W8W16404002828</t>
  </si>
  <si>
    <t>GRLAM-001042</t>
  </si>
  <si>
    <t>Z9W8W16330006704</t>
  </si>
  <si>
    <t>GRLAM-001043</t>
  </si>
  <si>
    <t>Z9W8W16C07004015</t>
  </si>
  <si>
    <t>TELEFONO CON CHIP (GA)</t>
  </si>
  <si>
    <t>GRLAM-001044</t>
  </si>
  <si>
    <t>Z9W8W17830001773</t>
  </si>
  <si>
    <t>TELEFONO CON CHIP (CN)</t>
  </si>
  <si>
    <t>GRLAM-001045</t>
  </si>
  <si>
    <t>ALL IN ONE</t>
  </si>
  <si>
    <t>IDEACENTRE AIO 3 24IAP7</t>
  </si>
  <si>
    <t>MP2AHZLN</t>
  </si>
  <si>
    <t>I5 12GEN / 8GB RAM / 500 SSD</t>
  </si>
  <si>
    <t>GRLAM-001046</t>
  </si>
  <si>
    <t>PA-1900-74</t>
  </si>
  <si>
    <t>8SSA11B48991L2CZ3CC07BX</t>
  </si>
  <si>
    <t>CARGADOR DE ALL IN ONE</t>
  </si>
  <si>
    <t>GRLAM-001047</t>
  </si>
  <si>
    <t>EMS-537A</t>
  </si>
  <si>
    <t>8SSM50U65178AVLC3C2AFDZ</t>
  </si>
  <si>
    <t>GRLAM-001048</t>
  </si>
  <si>
    <t>EKB-536A</t>
  </si>
  <si>
    <t>8SSD51B37337AVLC3CVD12Y</t>
  </si>
  <si>
    <t>GRLAM-001049</t>
  </si>
  <si>
    <t>MP2AHZME</t>
  </si>
  <si>
    <t>GRLAM-001050</t>
  </si>
  <si>
    <t>8SSA11B48991L2CZ3CC54Z9</t>
  </si>
  <si>
    <t>GRLAM-001051</t>
  </si>
  <si>
    <t>8SSM50U65178AVLC3C2APD3</t>
  </si>
  <si>
    <t>GRLAM-001052</t>
  </si>
  <si>
    <t>8SSD51B37337AVLC3CVD14G</t>
  </si>
  <si>
    <t>GRLAM-001053</t>
  </si>
  <si>
    <t>MP2AHZLR</t>
  </si>
  <si>
    <t>KATHERINE ROJAS</t>
  </si>
  <si>
    <t>GRLAM-001054</t>
  </si>
  <si>
    <t>8SSA11B48991L2CZ3CC0N9X</t>
  </si>
  <si>
    <t>GRLAM-001055</t>
  </si>
  <si>
    <t>8SSM50U65178AVLC3C2AP4Z</t>
  </si>
  <si>
    <t>GRLAM-001056</t>
  </si>
  <si>
    <t>8SSD51B37337AVLC3CVD12V</t>
  </si>
  <si>
    <t>GRLAM-001057</t>
  </si>
  <si>
    <t>MP2AHZM9</t>
  </si>
  <si>
    <t>LUISAMARIA PIZARRO</t>
  </si>
  <si>
    <t>GRLAM-001058</t>
  </si>
  <si>
    <t>8SSA11B48991L2CZ3CC550H</t>
  </si>
  <si>
    <t>GRLAM-001059</t>
  </si>
  <si>
    <t>8SSM50U65178AVLC3C2AP88</t>
  </si>
  <si>
    <t>GRLAM-001060</t>
  </si>
  <si>
    <t>8SSD51B37337AVLC3CVD18J</t>
  </si>
  <si>
    <t>GRLAM-001061</t>
  </si>
  <si>
    <t>MP2AHZLY</t>
  </si>
  <si>
    <t>GRLAM-001062</t>
  </si>
  <si>
    <t>8SSA11B48991L2CZ3CCMYX</t>
  </si>
  <si>
    <t>GRLAM-001063</t>
  </si>
  <si>
    <t>8SSM50U65178AVLC3C2ACRD</t>
  </si>
  <si>
    <t>GRLAM-001064</t>
  </si>
  <si>
    <t>8SSD51B37337AVLC3CVD12R</t>
  </si>
  <si>
    <t>GRLAM-001065</t>
  </si>
  <si>
    <t>MP2AHZLZ</t>
  </si>
  <si>
    <t>NIRZHA DONGO</t>
  </si>
  <si>
    <t>GRLAM-001066</t>
  </si>
  <si>
    <t>8SSA11B48991L2CZ3CC0NAK</t>
  </si>
  <si>
    <t>GRLAM-001067</t>
  </si>
  <si>
    <t>8SSM50U65178AVLC3C2AP37</t>
  </si>
  <si>
    <t>GRLAM-001068</t>
  </si>
  <si>
    <t>8SSD51B37337AVLC3CVD12W</t>
  </si>
  <si>
    <t>GRLAM-001069</t>
  </si>
  <si>
    <t>24BK550Y</t>
  </si>
  <si>
    <t>311NTNHC4319</t>
  </si>
  <si>
    <t>MONITOR DE 24"</t>
  </si>
  <si>
    <t>GRLAM-001070</t>
  </si>
  <si>
    <t>311NTRLC4254</t>
  </si>
  <si>
    <t>BRUNO PEÑARANDA</t>
  </si>
  <si>
    <t>ANALISTA</t>
  </si>
  <si>
    <t>GRLAM-001071</t>
  </si>
  <si>
    <t>311NTQDC4452</t>
  </si>
  <si>
    <t>VICTOR PONCE</t>
  </si>
  <si>
    <t>GRLAM-001072</t>
  </si>
  <si>
    <t>PHILIPS</t>
  </si>
  <si>
    <t>SPK6602B</t>
  </si>
  <si>
    <t>SPE21201000239</t>
  </si>
  <si>
    <t>KIT TECLADO Y MOUSE</t>
  </si>
  <si>
    <t>GRLAM-001073</t>
  </si>
  <si>
    <t>SPK7414</t>
  </si>
  <si>
    <t>GRLAM-001074</t>
  </si>
  <si>
    <t>SPE21201000234</t>
  </si>
  <si>
    <t>SIN ASIGNAR</t>
  </si>
  <si>
    <t>GRLAM-001075</t>
  </si>
  <si>
    <t>GRLAM-001076</t>
  </si>
  <si>
    <t>SPE21201000240</t>
  </si>
  <si>
    <t>FRANK SONCCO</t>
  </si>
  <si>
    <t>NEGOCIOS</t>
  </si>
  <si>
    <t>JEFATURA</t>
  </si>
  <si>
    <t>GRLAM-001077</t>
  </si>
  <si>
    <t>GRLAM-001078</t>
  </si>
  <si>
    <t>DS-7609NI</t>
  </si>
  <si>
    <t>FB4488897</t>
  </si>
  <si>
    <t>GRABADORA DE RED</t>
  </si>
  <si>
    <t>GRLAM-001079</t>
  </si>
  <si>
    <t>DS-2CD1043G2-I</t>
  </si>
  <si>
    <t>FB1408559</t>
  </si>
  <si>
    <t>BULLET IP / 4MP / LENTE 2,8MM</t>
  </si>
  <si>
    <t>GRLAM-001080</t>
  </si>
  <si>
    <t>FB1408491</t>
  </si>
  <si>
    <t>GRLAM-001081</t>
  </si>
  <si>
    <t>FB1408567</t>
  </si>
  <si>
    <t>GRLAM-001082</t>
  </si>
  <si>
    <t>2YABN2</t>
  </si>
  <si>
    <t>GRLAM-001083</t>
  </si>
  <si>
    <t>2YABN4</t>
  </si>
  <si>
    <t>GRLAM-001084</t>
  </si>
  <si>
    <t>2YABN7</t>
  </si>
  <si>
    <t>GRLAM-001085</t>
  </si>
  <si>
    <t>2YABN9</t>
  </si>
  <si>
    <t>GRLAM-001086</t>
  </si>
  <si>
    <t>2YABNG</t>
  </si>
  <si>
    <t>GRLAM-001087</t>
  </si>
  <si>
    <t>2YABNH</t>
  </si>
  <si>
    <t>AMAPARO NUÑEZ</t>
  </si>
  <si>
    <t>GRLAM-001088</t>
  </si>
  <si>
    <t>2YABNJ</t>
  </si>
  <si>
    <t>GRLAM-001089</t>
  </si>
  <si>
    <t>2YABNK</t>
  </si>
  <si>
    <t>GRLAM-001090</t>
  </si>
  <si>
    <t>2YABNL</t>
  </si>
  <si>
    <t>GRLAM-001091</t>
  </si>
  <si>
    <t>2YABNN</t>
  </si>
  <si>
    <t>NICOLE PRADO</t>
  </si>
  <si>
    <t>GRLAM-001092</t>
  </si>
  <si>
    <t>2YABNT</t>
  </si>
  <si>
    <t>GRLAM-001093</t>
  </si>
  <si>
    <t>2YABNX</t>
  </si>
  <si>
    <t>GRLAM-001094</t>
  </si>
  <si>
    <t>2YABM4</t>
  </si>
  <si>
    <t>GRLAM-001095</t>
  </si>
  <si>
    <t>2YABM7</t>
  </si>
  <si>
    <t>GRLAM-001096</t>
  </si>
  <si>
    <t>2YABM8</t>
  </si>
  <si>
    <t>GRLAM-001097</t>
  </si>
  <si>
    <t>V15 G4 IRU</t>
  </si>
  <si>
    <t>PF4W6XRN</t>
  </si>
  <si>
    <t>I5 13GEN/ 8GB RAM / 512GB SSD</t>
  </si>
  <si>
    <t>GRLAM-001098</t>
  </si>
  <si>
    <t>ADP-65ME B</t>
  </si>
  <si>
    <t>8SGX21J75537D1SG4412GBS</t>
  </si>
  <si>
    <t>LAPTOP PF4W6XRN</t>
  </si>
  <si>
    <t>GRLAM-001099</t>
  </si>
  <si>
    <t>PF4W7285</t>
  </si>
  <si>
    <t>GRLAM-001100</t>
  </si>
  <si>
    <t>8SGX21J75537D1SG4412GC7</t>
  </si>
  <si>
    <t>LAPTOP PF4W7285</t>
  </si>
  <si>
    <t>GRLAM-001101</t>
  </si>
  <si>
    <t>PF4WV724</t>
  </si>
  <si>
    <t>GRLAM-001102</t>
  </si>
  <si>
    <t>8SGX21J75537D1SG4412GBR</t>
  </si>
  <si>
    <t>LAPTOP PF4WV724</t>
  </si>
  <si>
    <t>GRLAM-001103</t>
  </si>
  <si>
    <t>PF4W6GZT</t>
  </si>
  <si>
    <t>YORMAN GOYO</t>
  </si>
  <si>
    <t>GRLAM-001104</t>
  </si>
  <si>
    <t>8SGX21J75537D1SG4480WRY</t>
  </si>
  <si>
    <t>LAPTOP PF4W6GZT</t>
  </si>
  <si>
    <t>GRLAM-001105</t>
  </si>
  <si>
    <t>PF4W6ERA</t>
  </si>
  <si>
    <t>ROBADO</t>
  </si>
  <si>
    <t>GRLAM-001106</t>
  </si>
  <si>
    <t>8SGX21J75537D1SG4480XBN</t>
  </si>
  <si>
    <t>LAPTOP PF4W6ERA</t>
  </si>
  <si>
    <t>GRLAM-001107</t>
  </si>
  <si>
    <t>PF4WVDTJ</t>
  </si>
  <si>
    <t>HUBER AMESQUITA</t>
  </si>
  <si>
    <t>GRLAM-001108</t>
  </si>
  <si>
    <t>8SGX21J75537D1SG4480XPS</t>
  </si>
  <si>
    <t>LAPTOP PF4WVDTJ</t>
  </si>
  <si>
    <t>GRLAM-001109</t>
  </si>
  <si>
    <t>PF4W3PZA</t>
  </si>
  <si>
    <t>GRLAM-001110</t>
  </si>
  <si>
    <t>8SGX21J75537D1SG4480X59</t>
  </si>
  <si>
    <t>LAPTOP PF4W3PZA</t>
  </si>
  <si>
    <t>GRLAM-001111</t>
  </si>
  <si>
    <t>PF4W72AC</t>
  </si>
  <si>
    <t>EMERSON AGUILAR</t>
  </si>
  <si>
    <t>GRLAM-001112</t>
  </si>
  <si>
    <t>8SGX21J75537D1SG4480XGW</t>
  </si>
  <si>
    <t>LAPTOP PF4W72AC</t>
  </si>
  <si>
    <t>GRLAM-001113</t>
  </si>
  <si>
    <t>PF4W6Q1G</t>
  </si>
  <si>
    <t>GRLAM-001114</t>
  </si>
  <si>
    <t>8SGX21J75537D1SG4480X4D</t>
  </si>
  <si>
    <t>LAPTOP PF4W6Q1G</t>
  </si>
  <si>
    <t>GRLAM-001115</t>
  </si>
  <si>
    <t>PF4W3ML5</t>
  </si>
  <si>
    <t>YASMANY APAZA</t>
  </si>
  <si>
    <t>GRLAM-001116</t>
  </si>
  <si>
    <t>8SGX21J75537D1SG4480XDK</t>
  </si>
  <si>
    <t>LAPTOP PF4W3ML5</t>
  </si>
  <si>
    <t>GRLAM-001117</t>
  </si>
  <si>
    <t>PF4W3S69</t>
  </si>
  <si>
    <t>GRLAM-001118</t>
  </si>
  <si>
    <t>8SGX21J75537D1SG4480XDJ</t>
  </si>
  <si>
    <t>LAPTOP PF4W3S69</t>
  </si>
  <si>
    <t>GRLAM-001119</t>
  </si>
  <si>
    <t>PF4W3S6S</t>
  </si>
  <si>
    <t>GRLAM-001120</t>
  </si>
  <si>
    <t>8SGX21J75537D1SG4480XDH</t>
  </si>
  <si>
    <t>LAPTOP PF4W3S6S</t>
  </si>
  <si>
    <t>GRLAM-001121</t>
  </si>
  <si>
    <t>PF4W3VE6</t>
  </si>
  <si>
    <t>GRLAM-001122</t>
  </si>
  <si>
    <t>8SGX21J75537D1SG4480X7M</t>
  </si>
  <si>
    <t>LAPTOP PF4W3VE6</t>
  </si>
  <si>
    <t>GRLAM-001123</t>
  </si>
  <si>
    <t>MOCHILA</t>
  </si>
  <si>
    <t>TE-IDS18560</t>
  </si>
  <si>
    <t>LSJT2403010869</t>
  </si>
  <si>
    <t>COLOR NEGRO + ROJO</t>
  </si>
  <si>
    <t>GRLAM-001124</t>
  </si>
  <si>
    <t>LSJT2403010873</t>
  </si>
  <si>
    <t>GRLAM-001125</t>
  </si>
  <si>
    <t>LSJT2403010865</t>
  </si>
  <si>
    <t>GRLAM-001126</t>
  </si>
  <si>
    <t>LSJT2403010868</t>
  </si>
  <si>
    <t>GRLAM-001127</t>
  </si>
  <si>
    <t>LSJT2403010870</t>
  </si>
  <si>
    <t>GRLAM-001128</t>
  </si>
  <si>
    <t>LSJT2403010871</t>
  </si>
  <si>
    <t>GRLAM-001129</t>
  </si>
  <si>
    <t>LSJT2403010872</t>
  </si>
  <si>
    <t>GRLAM-001130</t>
  </si>
  <si>
    <t>LSJT2403010874</t>
  </si>
  <si>
    <t>GRLAM-001131</t>
  </si>
  <si>
    <t>LSJT2403011128</t>
  </si>
  <si>
    <t>GRLAM-001132</t>
  </si>
  <si>
    <t>LSJT2403010867</t>
  </si>
  <si>
    <t>GRLAM-001133</t>
  </si>
  <si>
    <t>LSJT2403010878</t>
  </si>
  <si>
    <t>GRLAM-001134</t>
  </si>
  <si>
    <t>LSJT2403011121</t>
  </si>
  <si>
    <t>GRLAM-001135</t>
  </si>
  <si>
    <t>LSJT2403011127</t>
  </si>
  <si>
    <t>GRLAM-001136</t>
  </si>
  <si>
    <t>23117RA68G</t>
  </si>
  <si>
    <t>52852/W4RF11401</t>
  </si>
  <si>
    <t>IMEI 860834079348422</t>
  </si>
  <si>
    <t>GRLAM-001137</t>
  </si>
  <si>
    <t>MDY-15-EV</t>
  </si>
  <si>
    <t>FJ624039289320C</t>
  </si>
  <si>
    <t>CELULAR 52852/W4RF11401</t>
  </si>
  <si>
    <t>GRLAM-001138</t>
  </si>
  <si>
    <t>52852/W4RF09382</t>
  </si>
  <si>
    <t>IMEI  860834079374881</t>
  </si>
  <si>
    <t>GRLAM-001139</t>
  </si>
  <si>
    <t>FJ624038295566C</t>
  </si>
  <si>
    <t>CELULAR 52852/W4RF09382</t>
  </si>
  <si>
    <t>GRLAM-001140</t>
  </si>
  <si>
    <t>52852/W4RF00478</t>
  </si>
  <si>
    <t>IMEI 860834079417342</t>
  </si>
  <si>
    <t>JHONNY ABANTO</t>
  </si>
  <si>
    <t>CELULAR BLOQUEADO POR ROBO</t>
  </si>
  <si>
    <t>GRLAM-001141</t>
  </si>
  <si>
    <t>FJ624037270008C</t>
  </si>
  <si>
    <t>CELULAR 52852/W4RF00478</t>
  </si>
  <si>
    <t>GRLAM-001142</t>
  </si>
  <si>
    <t>52852/W4RF09221</t>
  </si>
  <si>
    <t>IMEI 860834079461563</t>
  </si>
  <si>
    <t>GRLAM-001143</t>
  </si>
  <si>
    <t>FJ624038295768C</t>
  </si>
  <si>
    <t>CELULAR 52852/W4RF09221</t>
  </si>
  <si>
    <t>GRLAM-001144</t>
  </si>
  <si>
    <t>23129RA5FL</t>
  </si>
  <si>
    <t>52922/64RU14199</t>
  </si>
  <si>
    <t>IMEI 862058076777841</t>
  </si>
  <si>
    <t>GRLAM-001145</t>
  </si>
  <si>
    <t>MDY-14-EM</t>
  </si>
  <si>
    <t>5J624038110559G</t>
  </si>
  <si>
    <t>CELULAR 52922/64RU14199</t>
  </si>
  <si>
    <t>GRLAM-001146</t>
  </si>
  <si>
    <t>52922/64RT19924</t>
  </si>
  <si>
    <t>IMEI 868527079945120</t>
  </si>
  <si>
    <t>PEDRO CACERES</t>
  </si>
  <si>
    <t>GRLAM-001147</t>
  </si>
  <si>
    <t>5J624036102458G</t>
  </si>
  <si>
    <t>CELULAR 52922/64RT19924</t>
  </si>
  <si>
    <t>GRLAM-001148</t>
  </si>
  <si>
    <t>52922/64RT19780</t>
  </si>
  <si>
    <t>IMEI 862058076112148</t>
  </si>
  <si>
    <t>WILMAR HALLANOCA</t>
  </si>
  <si>
    <t>PROYECTOS</t>
  </si>
  <si>
    <t>GRLAM-001149</t>
  </si>
  <si>
    <t>5J624035141296G</t>
  </si>
  <si>
    <t>CELULAR 52922/64RT19780</t>
  </si>
  <si>
    <t>GRLAM-001150</t>
  </si>
  <si>
    <t>52922/64RT20040</t>
  </si>
  <si>
    <t>IMEI 862058076372460</t>
  </si>
  <si>
    <t>GRLAM-001151</t>
  </si>
  <si>
    <t>5J624036101559G</t>
  </si>
  <si>
    <t>CELULAR 52922/64RT20040</t>
  </si>
  <si>
    <t>GRLAM-001152</t>
  </si>
  <si>
    <t>52922/64RT21104</t>
  </si>
  <si>
    <t>IMEI 862058076075808</t>
  </si>
  <si>
    <t>JEANCARLOS URURI</t>
  </si>
  <si>
    <t>GRLAM-001153</t>
  </si>
  <si>
    <t>5J624035109138G</t>
  </si>
  <si>
    <t>CELULAR 52922/64RT21104</t>
  </si>
  <si>
    <t>GRLAM-001154</t>
  </si>
  <si>
    <t>52922/64RW11392</t>
  </si>
  <si>
    <t>IMEI 862058076664361</t>
  </si>
  <si>
    <t>SERGIO URRUTIA</t>
  </si>
  <si>
    <t>GRLAM-001155</t>
  </si>
  <si>
    <t>5J624037101227G</t>
  </si>
  <si>
    <t>CELULAR 52922/64RW11392</t>
  </si>
  <si>
    <t>GRLAM-001156</t>
  </si>
  <si>
    <t>52922/64RT19898</t>
  </si>
  <si>
    <t>IMEI 862058076357644</t>
  </si>
  <si>
    <t>ALEXIS FAJARDO</t>
  </si>
  <si>
    <t>GRLAM-001157</t>
  </si>
  <si>
    <t>5J624035107363G</t>
  </si>
  <si>
    <t>CELULAR 52922/64RT19898</t>
  </si>
  <si>
    <t>GRLAM-001158</t>
  </si>
  <si>
    <t>52922/64RT13926</t>
  </si>
  <si>
    <t>IMEI 862058076169866</t>
  </si>
  <si>
    <t>GRLAM-001159</t>
  </si>
  <si>
    <t>5J624035101606G</t>
  </si>
  <si>
    <t>CELULAR 52922/64RT13926</t>
  </si>
  <si>
    <t>GRLAM-001160</t>
  </si>
  <si>
    <t>52922/64RT20215</t>
  </si>
  <si>
    <t>IMEI 862058075969944</t>
  </si>
  <si>
    <t>JOHNNY FLORES</t>
  </si>
  <si>
    <t>GRLAM-001161</t>
  </si>
  <si>
    <t>5J624035109738G</t>
  </si>
  <si>
    <t>CELULAR 52922/64RT20215</t>
  </si>
  <si>
    <t>GRLAM-001162</t>
  </si>
  <si>
    <t>52922/64RU15642</t>
  </si>
  <si>
    <t>IMEI 862058077017122</t>
  </si>
  <si>
    <t>CRISTHIAN HUAYTA</t>
  </si>
  <si>
    <t>GRLAM-001163</t>
  </si>
  <si>
    <t>5J624037107363G</t>
  </si>
  <si>
    <t>CELULAR 52922/64RU15642</t>
  </si>
  <si>
    <t>GRLAM-001164</t>
  </si>
  <si>
    <t>52922/64RU17395</t>
  </si>
  <si>
    <t>IMEI 862058076745764</t>
  </si>
  <si>
    <t>HENRY QUISPE</t>
  </si>
  <si>
    <t>VENDIDO</t>
  </si>
  <si>
    <t>GRLAM-001165</t>
  </si>
  <si>
    <t>5J624038109655G</t>
  </si>
  <si>
    <t>CELULAR 52922/64RU17395</t>
  </si>
  <si>
    <t>GRLAM-001166</t>
  </si>
  <si>
    <t>52922/64RW10782</t>
  </si>
  <si>
    <t>IMEI 862058077088586</t>
  </si>
  <si>
    <t>GRLAM-001167</t>
  </si>
  <si>
    <t>5J624038108020G</t>
  </si>
  <si>
    <t>CELULAR 52922/64RW10782</t>
  </si>
  <si>
    <t>GRLAM-001168</t>
  </si>
  <si>
    <t>52922/64RU12042</t>
  </si>
  <si>
    <t>IMEI 862058076897128</t>
  </si>
  <si>
    <t>JOSE MAMANI</t>
  </si>
  <si>
    <t>GRLAM-001169</t>
  </si>
  <si>
    <t>5J624038108747G</t>
  </si>
  <si>
    <t>CELULAR 52922/64RU12042</t>
  </si>
  <si>
    <t>GRLAM-001170</t>
  </si>
  <si>
    <t>52922/64RT22200</t>
  </si>
  <si>
    <t>IMEI 868527079902006</t>
  </si>
  <si>
    <t>SMITH GUTIERREZ</t>
  </si>
  <si>
    <t>GRLAM-001171</t>
  </si>
  <si>
    <t>5J624035110136G</t>
  </si>
  <si>
    <t>CELULAR 52922/64RT22200</t>
  </si>
  <si>
    <t>GRLAM-001172</t>
  </si>
  <si>
    <t>52922/64QD04280</t>
  </si>
  <si>
    <t>IMEI 860319071345303</t>
  </si>
  <si>
    <t>SCOTT TEJADA</t>
  </si>
  <si>
    <t>GRLAM-001173</t>
  </si>
  <si>
    <t>6J62401S903905J</t>
  </si>
  <si>
    <t>CELULAR 52922/64QD04280</t>
  </si>
  <si>
    <t>GRLAM-001174</t>
  </si>
  <si>
    <t>52922/64QC07255</t>
  </si>
  <si>
    <t>IMEI 860319070946325</t>
  </si>
  <si>
    <t>GRLAM-001175</t>
  </si>
  <si>
    <t>6J62401S902806J</t>
  </si>
  <si>
    <t>CELULAR 52922/64QC07255</t>
  </si>
  <si>
    <t>GRLAM-001176</t>
  </si>
  <si>
    <t>52922/64QD03944</t>
  </si>
  <si>
    <t>IMEI 860319071207024</t>
  </si>
  <si>
    <t>BERNANDINO SALAS</t>
  </si>
  <si>
    <t>GRLAM-001177</t>
  </si>
  <si>
    <t>6J62401Q910247J</t>
  </si>
  <si>
    <t>CELULAR 52922/64QD03944</t>
  </si>
  <si>
    <t>GRLAM-001178</t>
  </si>
  <si>
    <t>52922/64RT21125</t>
  </si>
  <si>
    <t>IMEI 862058076091920</t>
  </si>
  <si>
    <t>JORGE TICONA</t>
  </si>
  <si>
    <t>GRLAM-001179</t>
  </si>
  <si>
    <t>5J624035110134G</t>
  </si>
  <si>
    <t>CELULAR 52922/64RT21125</t>
  </si>
  <si>
    <t>GRLAM-001180</t>
  </si>
  <si>
    <t>52922/64QC07253</t>
  </si>
  <si>
    <t>IMEI 860319071083383</t>
  </si>
  <si>
    <t>JOSUE MENDEZ</t>
  </si>
  <si>
    <t>GRLAM-001181</t>
  </si>
  <si>
    <t>6J62401S907222J</t>
  </si>
  <si>
    <t>CELULAR 52922/64QC07253</t>
  </si>
  <si>
    <t>GRLAM-001182</t>
  </si>
  <si>
    <t>52922/64RT20452</t>
  </si>
  <si>
    <t>IMEI 868527079780402</t>
  </si>
  <si>
    <t>GRLAM-001183</t>
  </si>
  <si>
    <t>5J624035106969G</t>
  </si>
  <si>
    <t>CELULAR 52922/64RT20452</t>
  </si>
  <si>
    <t>GRLAM-001184</t>
  </si>
  <si>
    <t>52922/64QD04870</t>
  </si>
  <si>
    <t>IMEI 860319071327681</t>
  </si>
  <si>
    <t>MIGUEL CUEVA</t>
  </si>
  <si>
    <t>GRLAM-001185</t>
  </si>
  <si>
    <t>6J62401R922717J</t>
  </si>
  <si>
    <t>CELULAR 52922/64QD04870</t>
  </si>
  <si>
    <t>GRLAM-001186</t>
  </si>
  <si>
    <t>52922/64RT19660</t>
  </si>
  <si>
    <t>IMEI 868527079910041</t>
  </si>
  <si>
    <t>RICHARD CRUZ</t>
  </si>
  <si>
    <t>GRLAM-001187</t>
  </si>
  <si>
    <t>5J624036101243G</t>
  </si>
  <si>
    <t>CELULAR 52922/64RT19660</t>
  </si>
  <si>
    <t>GRLAM-001188</t>
  </si>
  <si>
    <t>52922/64QD04880</t>
  </si>
  <si>
    <t>IMEI 860319071187382</t>
  </si>
  <si>
    <t>ELMER HUALLPA</t>
  </si>
  <si>
    <t>GRLAM-001189</t>
  </si>
  <si>
    <t>6J62401S907006J</t>
  </si>
  <si>
    <t>CELULAR 52922/64QD04880</t>
  </si>
  <si>
    <t>GRLAM-001190</t>
  </si>
  <si>
    <t>52922/64QD02488</t>
  </si>
  <si>
    <t>IMEI 860319071274420</t>
  </si>
  <si>
    <t>GRLAM-001191</t>
  </si>
  <si>
    <t>6J62401Q906765J</t>
  </si>
  <si>
    <t>CELULAR 52922/64QD02488</t>
  </si>
  <si>
    <t>GRLAM-001192</t>
  </si>
  <si>
    <t>52922/64RT22072</t>
  </si>
  <si>
    <t>IMEI 862058076356901</t>
  </si>
  <si>
    <t>ALEX APAZA</t>
  </si>
  <si>
    <t>GRLAM-001193</t>
  </si>
  <si>
    <t>5J624036101474G</t>
  </si>
  <si>
    <t>CELULAR 52922/64RT22072</t>
  </si>
  <si>
    <t>GRLAM-001194</t>
  </si>
  <si>
    <t>52922/64RT21039</t>
  </si>
  <si>
    <t>IMEI 868527079594480</t>
  </si>
  <si>
    <t>GRLAM-001195</t>
  </si>
  <si>
    <t>5J624035109731G</t>
  </si>
  <si>
    <t>CELULAR 52922/64RT21039</t>
  </si>
  <si>
    <t>GRLAM-001196</t>
  </si>
  <si>
    <t>52922/64QD03815</t>
  </si>
  <si>
    <t>IMEI 860319071226669</t>
  </si>
  <si>
    <t>GRLAM-001197</t>
  </si>
  <si>
    <t>6J62401S903889J</t>
  </si>
  <si>
    <t>CELULAR 52922/64QD03815</t>
  </si>
  <si>
    <t>GRLAM-001198</t>
  </si>
  <si>
    <t>52922/64RT20878</t>
  </si>
  <si>
    <t>IMEI 862058076172548</t>
  </si>
  <si>
    <t>BRIAN OJEDA</t>
  </si>
  <si>
    <t>GRLAM-001199</t>
  </si>
  <si>
    <t>5J624036101194G</t>
  </si>
  <si>
    <t>CELULAR 52922/64RT20878</t>
  </si>
  <si>
    <t>GRLAM-001200</t>
  </si>
  <si>
    <t>52922/64QD04798</t>
  </si>
  <si>
    <t>IMEI 860319071274800</t>
  </si>
  <si>
    <t>GRLAM-001201</t>
  </si>
  <si>
    <t>6J62401S903090J</t>
  </si>
  <si>
    <t>CELULAR 52922/64QD04798</t>
  </si>
  <si>
    <t>GRLAM-001202</t>
  </si>
  <si>
    <t>52922/64QD04277</t>
  </si>
  <si>
    <t>IMEI 860319071328549</t>
  </si>
  <si>
    <t>GRLAM-001203</t>
  </si>
  <si>
    <t>6J62401S905518J</t>
  </si>
  <si>
    <t>CELULAR 52922/64QD04277</t>
  </si>
  <si>
    <t>GRLAM-001204</t>
  </si>
  <si>
    <t>52922/64QD00527</t>
  </si>
  <si>
    <t>IMEI 860319071254927</t>
  </si>
  <si>
    <t>GRLAM-001205</t>
  </si>
  <si>
    <t>6J62401Q910186J</t>
  </si>
  <si>
    <t>CELULAR 52922/64QD00527</t>
  </si>
  <si>
    <t>GRLAM-001206</t>
  </si>
  <si>
    <t>52922/64RT20332</t>
  </si>
  <si>
    <t>IMEI 862058076138523</t>
  </si>
  <si>
    <t>GRLAM-001207</t>
  </si>
  <si>
    <t>5J624035110123G</t>
  </si>
  <si>
    <t>CELULAR 52922/64RT20332</t>
  </si>
  <si>
    <t>GRLAM-001208</t>
  </si>
  <si>
    <t>52922/64RT21239</t>
  </si>
  <si>
    <t>IMEI 862058076116222</t>
  </si>
  <si>
    <t>GRLAM-001209</t>
  </si>
  <si>
    <t>5J624036102585G</t>
  </si>
  <si>
    <t>CELULAR 52922/64RT21239</t>
  </si>
  <si>
    <t>GRLAM-001210</t>
  </si>
  <si>
    <t>23100RN82L</t>
  </si>
  <si>
    <t>51111/64SJ01269</t>
  </si>
  <si>
    <t>IMEI 862805073879065</t>
  </si>
  <si>
    <t>JOSEPH HUISACAYNA</t>
  </si>
  <si>
    <t>GRLAM-001211</t>
  </si>
  <si>
    <t>MDY-15-EA</t>
  </si>
  <si>
    <t>DJ624048A16061J</t>
  </si>
  <si>
    <t>CELULAR 51111/64SJ01269</t>
  </si>
  <si>
    <t>GRLAM-001212</t>
  </si>
  <si>
    <t>51111/64SJ02813</t>
  </si>
  <si>
    <t>IMEI 862805074153163</t>
  </si>
  <si>
    <t>LEYDI TORRES</t>
  </si>
  <si>
    <t>RECLUTADOR</t>
  </si>
  <si>
    <t>GRLAM-001213</t>
  </si>
  <si>
    <t>DJ624048A24499J</t>
  </si>
  <si>
    <t>CELULAR 51111/64SJ02813</t>
  </si>
  <si>
    <t>GRLAM-001214</t>
  </si>
  <si>
    <t>51111/64SJ01841</t>
  </si>
  <si>
    <t>IMEI 862805073898982</t>
  </si>
  <si>
    <t>MARIAFERNANDA GONZALES</t>
  </si>
  <si>
    <t>RRHH</t>
  </si>
  <si>
    <t>GRLAM-001215</t>
  </si>
  <si>
    <t>DJ624048A24704J</t>
  </si>
  <si>
    <t>CELULAR 51111/64SJ01841</t>
  </si>
  <si>
    <t>GRLAM-001216</t>
  </si>
  <si>
    <t>51111/64SK02327</t>
  </si>
  <si>
    <t>IMEI 862805074095661</t>
  </si>
  <si>
    <t>ANTERIOR USUARIO PABLO TAPIA</t>
  </si>
  <si>
    <t>GRLAM-001217</t>
  </si>
  <si>
    <t>DJ62404CA18530J</t>
  </si>
  <si>
    <t>CELULAR 51111/64SK02327</t>
  </si>
  <si>
    <t>GRLAM-001218</t>
  </si>
  <si>
    <t>51111/64SK06525</t>
  </si>
  <si>
    <t>IMEI 862805073954082</t>
  </si>
  <si>
    <t>GRLAM-001219</t>
  </si>
  <si>
    <t>DJ62404CA18571J</t>
  </si>
  <si>
    <t>CELULAR 51111/64SK06525</t>
  </si>
  <si>
    <t>GRLAM-001220</t>
  </si>
  <si>
    <t>51605/64QP02058</t>
  </si>
  <si>
    <t>IMEI 864462076615167</t>
  </si>
  <si>
    <t>LEONARDO JAEN</t>
  </si>
  <si>
    <t>GRLAM-001221</t>
  </si>
  <si>
    <t>MDY-09-EQ</t>
  </si>
  <si>
    <t>2J62401Q166598C</t>
  </si>
  <si>
    <t>CELULAR 51111/64SK02902</t>
  </si>
  <si>
    <t>GRLAM-001222</t>
  </si>
  <si>
    <t>51111/64SK04084</t>
  </si>
  <si>
    <t>IMEI 862805073837162</t>
  </si>
  <si>
    <t>ANTERIOR USUARIO GABRIELA VALDEZ</t>
  </si>
  <si>
    <t>GRLAM-001223</t>
  </si>
  <si>
    <t>DJ62404CA18939J</t>
  </si>
  <si>
    <t>CELULAR 51111/64SK04084</t>
  </si>
  <si>
    <t>GRLAM-001224</t>
  </si>
  <si>
    <t>51111/64SJ01477</t>
  </si>
  <si>
    <t>IMEI 862805073954629</t>
  </si>
  <si>
    <t>GRLAM-001225</t>
  </si>
  <si>
    <t>DJ624049A00856J</t>
  </si>
  <si>
    <t>CELULAR 51111/64SJ01477</t>
  </si>
  <si>
    <t>GRLAM-001226</t>
  </si>
  <si>
    <t>51111/64SK06686</t>
  </si>
  <si>
    <t>IMEI 862805073961947</t>
  </si>
  <si>
    <t>EDUARDO HERRERA</t>
  </si>
  <si>
    <t>CAPACITADOR</t>
  </si>
  <si>
    <t>GRLAM-001227</t>
  </si>
  <si>
    <t>DJ62404CA22433J</t>
  </si>
  <si>
    <t>CELULAR 51111/64SK06686</t>
  </si>
  <si>
    <t>GRLAM-001228</t>
  </si>
  <si>
    <t>51111/64SK04302</t>
  </si>
  <si>
    <t>IMEI 866215079052681</t>
  </si>
  <si>
    <t>ELIZABETH GUINEA</t>
  </si>
  <si>
    <t>GRLAM-001229</t>
  </si>
  <si>
    <t>DJ62404CA15982J</t>
  </si>
  <si>
    <t>CELULAR 51111/64SK04302</t>
  </si>
  <si>
    <t>GRLAM-001230</t>
  </si>
  <si>
    <t>51111/64SK01711</t>
  </si>
  <si>
    <t>IMEI 866215079074362</t>
  </si>
  <si>
    <t>GRLAM-001231</t>
  </si>
  <si>
    <t>DJ62404CA23010J</t>
  </si>
  <si>
    <t>CELULAR 51111/64SK01711</t>
  </si>
  <si>
    <t>GRLAM-001232</t>
  </si>
  <si>
    <t>51111/64SK06526</t>
  </si>
  <si>
    <t>IMEI 862805074077669</t>
  </si>
  <si>
    <t>GRLAM-001233</t>
  </si>
  <si>
    <t>DJ62404CA18307J</t>
  </si>
  <si>
    <t>CELULAR 51111/64SK06526</t>
  </si>
  <si>
    <t>GRLAM-001234</t>
  </si>
  <si>
    <t>51111/64SK06042</t>
  </si>
  <si>
    <t>IMEI 862805073861881</t>
  </si>
  <si>
    <t>GRLAM-001235</t>
  </si>
  <si>
    <t>DJ62404CA23989J</t>
  </si>
  <si>
    <t>CELULAR 51111/64SK06042</t>
  </si>
  <si>
    <t>GRLAM-001236</t>
  </si>
  <si>
    <t>51111/64SK04068</t>
  </si>
  <si>
    <t>IMEI 862805073913146</t>
  </si>
  <si>
    <t>BRUÑO PEÑARANDA</t>
  </si>
  <si>
    <t>GRLAM-001237</t>
  </si>
  <si>
    <t>DJ62404CA17229J</t>
  </si>
  <si>
    <t>CELULAR 51111/64SK04068</t>
  </si>
  <si>
    <t>GRLAM-001238</t>
  </si>
  <si>
    <t>51111/64SK00957</t>
  </si>
  <si>
    <t>IMEI 862805073990029</t>
  </si>
  <si>
    <t>GRLAM-001239</t>
  </si>
  <si>
    <t>DJ62404CA18218J</t>
  </si>
  <si>
    <t>CELULAR 51111/64SK00957</t>
  </si>
  <si>
    <t>GRLAM-001240</t>
  </si>
  <si>
    <t>51111/64SK04733</t>
  </si>
  <si>
    <t>IMEI 862805074293100</t>
  </si>
  <si>
    <t>JEANCARLO HUILLCA</t>
  </si>
  <si>
    <t>GRLAM-001241</t>
  </si>
  <si>
    <t>DJ62404CA18480J</t>
  </si>
  <si>
    <t>CELULAR 51111/64SK04733</t>
  </si>
  <si>
    <t>GRLAM-001242</t>
  </si>
  <si>
    <t>51111/64SK06073</t>
  </si>
  <si>
    <t>IMEI 862805073967621</t>
  </si>
  <si>
    <t>AAROM ZEBALLOS</t>
  </si>
  <si>
    <t>USADO</t>
  </si>
  <si>
    <t>EFICIENT</t>
  </si>
  <si>
    <t>cticableclub109@gmail.com pass:CableClub2025</t>
  </si>
  <si>
    <t>GRLAM-001243</t>
  </si>
  <si>
    <t>51111/64SK06692</t>
  </si>
  <si>
    <t>IMEI 862805074006320</t>
  </si>
  <si>
    <t>JEAN JACINTO</t>
  </si>
  <si>
    <t>DJ62404CA24040J</t>
  </si>
  <si>
    <t>CELULAR 51111/64SK06692</t>
  </si>
  <si>
    <t>GRLAM-001244</t>
  </si>
  <si>
    <t>DIONICIO VIZCAINO</t>
  </si>
  <si>
    <t>GRLAM-001245</t>
  </si>
  <si>
    <t>DJ62404CA15796J</t>
  </si>
  <si>
    <t>CELULAR 51111/64SK06073</t>
  </si>
  <si>
    <t>GRLAM-001246</t>
  </si>
  <si>
    <t>51111/64SK03746</t>
  </si>
  <si>
    <t>IMEI 862805074112342</t>
  </si>
  <si>
    <t>GRLAM-001247</t>
  </si>
  <si>
    <t>DJ62404CA17215J</t>
  </si>
  <si>
    <t>CELULAR 51111/64SK03746</t>
  </si>
  <si>
    <t>GRLAM-001248</t>
  </si>
  <si>
    <t>51111/64SK06273</t>
  </si>
  <si>
    <t>IMEI 862805074295006</t>
  </si>
  <si>
    <t>GRLAM-001249</t>
  </si>
  <si>
    <t>DJ62404CA17431J</t>
  </si>
  <si>
    <t>CELULAR 51111/64SK06273</t>
  </si>
  <si>
    <t>GRLAM-001250</t>
  </si>
  <si>
    <t>51111/64SK02043</t>
  </si>
  <si>
    <t>IMEI 862805073916107</t>
  </si>
  <si>
    <t>GRLAM-001251</t>
  </si>
  <si>
    <t>DJ62404CA17193J</t>
  </si>
  <si>
    <t>CELULAR 51111/64SK02043</t>
  </si>
  <si>
    <t>GRLAM-001252</t>
  </si>
  <si>
    <t>51111/64SK04545</t>
  </si>
  <si>
    <t>IMEI 862805073885864</t>
  </si>
  <si>
    <t>GRLAM-001253</t>
  </si>
  <si>
    <t>DJ62404CA15757J</t>
  </si>
  <si>
    <t>CELULAR 51111/64SK04545</t>
  </si>
  <si>
    <t>GRLAM-001254</t>
  </si>
  <si>
    <t>51111/64SK03093</t>
  </si>
  <si>
    <t>IMEI 862805073910381</t>
  </si>
  <si>
    <t>GRLAM-001255</t>
  </si>
  <si>
    <t>DJ62404CA23014J</t>
  </si>
  <si>
    <t>CELULAR 51111/64SK03093</t>
  </si>
  <si>
    <t>GRLAM-001256</t>
  </si>
  <si>
    <t>51111/64SK02597</t>
  </si>
  <si>
    <t>IMEI 862805073912742</t>
  </si>
  <si>
    <t>DALIA GARCIA</t>
  </si>
  <si>
    <t>GRLAM-001257</t>
  </si>
  <si>
    <t>DJ62404CA07992J</t>
  </si>
  <si>
    <t>CELULAR 51111/64SK02597</t>
  </si>
  <si>
    <t>GRLAM-001258</t>
  </si>
  <si>
    <t>51111/64SK00090</t>
  </si>
  <si>
    <t>IMEI 866215079237225</t>
  </si>
  <si>
    <t>GRLAM-001259</t>
  </si>
  <si>
    <t>DJ62404CA16856J</t>
  </si>
  <si>
    <t>CELULAR 51111/64SK00090</t>
  </si>
  <si>
    <t>GRLAM-001260</t>
  </si>
  <si>
    <t>51111/64SK00094</t>
  </si>
  <si>
    <t>IMEI 862805074129221</t>
  </si>
  <si>
    <t>GRLAM-001261</t>
  </si>
  <si>
    <t>DJ62404CA24107J</t>
  </si>
  <si>
    <t>CELULAR 51111/64SK00094</t>
  </si>
  <si>
    <t>GRLAM-001262</t>
  </si>
  <si>
    <t>51111/64SK06049</t>
  </si>
  <si>
    <t>IMEI 862805074084582</t>
  </si>
  <si>
    <t>GRLAM-001263</t>
  </si>
  <si>
    <t>DJ62404CA24041J</t>
  </si>
  <si>
    <t>CELULAR 51111/64SK06049</t>
  </si>
  <si>
    <t>GRLAM-001264</t>
  </si>
  <si>
    <t>51111/64SK04106</t>
  </si>
  <si>
    <t>IMEI 862805074250282</t>
  </si>
  <si>
    <t>GRLAM-001265</t>
  </si>
  <si>
    <t>DJ62404CA20484J</t>
  </si>
  <si>
    <t>CELULAR 51111/64SK04106</t>
  </si>
  <si>
    <t>GRLAM-001266</t>
  </si>
  <si>
    <t>51111/64SK04927</t>
  </si>
  <si>
    <t>IMEI 862805074100164</t>
  </si>
  <si>
    <t>GRLAM-001267</t>
  </si>
  <si>
    <t>DJ62404CA20282J</t>
  </si>
  <si>
    <t>CELULAR 51111/64SK04927</t>
  </si>
  <si>
    <t>GRLAM-001268</t>
  </si>
  <si>
    <t>51111/64SK01022</t>
  </si>
  <si>
    <t>IMEI 862805074105304</t>
  </si>
  <si>
    <t>GRLAM-001269</t>
  </si>
  <si>
    <t>DJ62404CA17288J</t>
  </si>
  <si>
    <t>CELULAR 51111/64SK01022</t>
  </si>
  <si>
    <t>GRLAM-001270</t>
  </si>
  <si>
    <t>51111/64SK06292</t>
  </si>
  <si>
    <t>IMEI 866215079308349</t>
  </si>
  <si>
    <t>SHIRLEY HUAMAN</t>
  </si>
  <si>
    <t>GRLAM-001271</t>
  </si>
  <si>
    <t>DJ62404CA16138J</t>
  </si>
  <si>
    <t>CELULAR 51111/64SK06292</t>
  </si>
  <si>
    <t>GRLAM-001272</t>
  </si>
  <si>
    <t>51111/64SK05226</t>
  </si>
  <si>
    <t>IMEI 862805074303149</t>
  </si>
  <si>
    <t>SIMONE GUSEN</t>
  </si>
  <si>
    <t>GRLAM-001273</t>
  </si>
  <si>
    <t>DJ62404CA23685J</t>
  </si>
  <si>
    <t>CELULAR 51111/64SK05226</t>
  </si>
  <si>
    <t>GRLAM-001274</t>
  </si>
  <si>
    <t>51111/64SK00091</t>
  </si>
  <si>
    <t>IMEI 862805074104463</t>
  </si>
  <si>
    <t>GRLAM-001275</t>
  </si>
  <si>
    <t>DJ62404CA21995J</t>
  </si>
  <si>
    <t>CELULAR 51111/64SK00091</t>
  </si>
  <si>
    <t>GRLAM-001276</t>
  </si>
  <si>
    <t>51111/64SK06730</t>
  </si>
  <si>
    <t>IMEI 862805073854589</t>
  </si>
  <si>
    <t>GISELLA PINTO</t>
  </si>
  <si>
    <t>GRLAM-001277</t>
  </si>
  <si>
    <t>DJ62404CA14813J</t>
  </si>
  <si>
    <t>CELULAR 51111/64SK06730</t>
  </si>
  <si>
    <t>GRLAM-001278</t>
  </si>
  <si>
    <t>51111/64SJ01058</t>
  </si>
  <si>
    <t>IMEI 862805074158709</t>
  </si>
  <si>
    <t>GRLAM-001279</t>
  </si>
  <si>
    <t>DJ624049A00164J</t>
  </si>
  <si>
    <t>CELULAR 51111/64SJ01058</t>
  </si>
  <si>
    <t>GRLAM-001280</t>
  </si>
  <si>
    <t>51111/64SK04086</t>
  </si>
  <si>
    <t>IMEI 866215079315765</t>
  </si>
  <si>
    <t>GRLAM-001281</t>
  </si>
  <si>
    <t>DJ62404CA20264J</t>
  </si>
  <si>
    <t>CELULAR 51111/64SK04086</t>
  </si>
  <si>
    <t>GRLAM-001282</t>
  </si>
  <si>
    <t>51111/64SJ02910</t>
  </si>
  <si>
    <t>IMEI 862805074260406</t>
  </si>
  <si>
    <t>GRLAM-001283</t>
  </si>
  <si>
    <t>DJ624048A16977J</t>
  </si>
  <si>
    <t>CELULAR 51111/64SJ02910</t>
  </si>
  <si>
    <t>GRLAM-001284</t>
  </si>
  <si>
    <t>51111/64SK06284</t>
  </si>
  <si>
    <t>IMEI 862805074101048</t>
  </si>
  <si>
    <t>GRLAM-001285</t>
  </si>
  <si>
    <t>DJ62404CA15872J</t>
  </si>
  <si>
    <t>CELULAR 51111/64SK06284</t>
  </si>
  <si>
    <t>GRLAM-001286</t>
  </si>
  <si>
    <t>51111/64SK08211</t>
  </si>
  <si>
    <t>IMEI 862805074142687</t>
  </si>
  <si>
    <t>GRLAM-001287</t>
  </si>
  <si>
    <t>DJ62404DA15065J</t>
  </si>
  <si>
    <t>CELULAR 51111/64SK08211</t>
  </si>
  <si>
    <t>GRLAM-001288</t>
  </si>
  <si>
    <t>51111/64SK05411</t>
  </si>
  <si>
    <t>IMEI 862805074293423</t>
  </si>
  <si>
    <t>GRLAM-001289</t>
  </si>
  <si>
    <t>DJ62404CA15791J</t>
  </si>
  <si>
    <t>CELULAR 51111/64SK05411</t>
  </si>
  <si>
    <t>GRLAM-001290</t>
  </si>
  <si>
    <t>51111/64SK05639</t>
  </si>
  <si>
    <t>IMEI 862805073900366</t>
  </si>
  <si>
    <t>FERNANDO FARFAN</t>
  </si>
  <si>
    <t>VIGILANTE</t>
  </si>
  <si>
    <t>GRLAM-001291</t>
  </si>
  <si>
    <t>DJ62404CA17096J</t>
  </si>
  <si>
    <t>CELULAR 51111/64SK05639</t>
  </si>
  <si>
    <t>GRLAM-001292</t>
  </si>
  <si>
    <t>51111/64SK03607</t>
  </si>
  <si>
    <t>IMEI 862805074080960</t>
  </si>
  <si>
    <t>CELESTINO SOTO</t>
  </si>
  <si>
    <t>GRLAM-001293</t>
  </si>
  <si>
    <t>DJ62404CA16078J</t>
  </si>
  <si>
    <t>CELULAR 51111/64SK03607</t>
  </si>
  <si>
    <t>GRLAM-001294</t>
  </si>
  <si>
    <t>51111/64SK06296</t>
  </si>
  <si>
    <t>IMEI 862805074110684</t>
  </si>
  <si>
    <t>MADELEINE JUAREZ</t>
  </si>
  <si>
    <t>GRLAM-001295</t>
  </si>
  <si>
    <t>DJ62404CA22063J</t>
  </si>
  <si>
    <t>CELULAR 51111/64SK06296</t>
  </si>
  <si>
    <t>GRLAM-001296</t>
  </si>
  <si>
    <t>51111/64SK06732</t>
  </si>
  <si>
    <t>IMEI 862805073838947</t>
  </si>
  <si>
    <t>GRLAM-001297</t>
  </si>
  <si>
    <t>DJ62404CA22206J</t>
  </si>
  <si>
    <t>CELULAR 51111/64SK06732</t>
  </si>
  <si>
    <t>GRLAM-001298</t>
  </si>
  <si>
    <t>51111/64SK06552</t>
  </si>
  <si>
    <t>IMEI 862805073864042</t>
  </si>
  <si>
    <t>GRLAM-001299</t>
  </si>
  <si>
    <t>DJ62404CA20210J</t>
  </si>
  <si>
    <t>CELULAR 51111/64SK06552</t>
  </si>
  <si>
    <t>GRLAM-001300</t>
  </si>
  <si>
    <t>51111/64SK04559</t>
  </si>
  <si>
    <t>IMEI 862805073977000</t>
  </si>
  <si>
    <t>GRLAM-001301</t>
  </si>
  <si>
    <t>DJ62404DA09566J</t>
  </si>
  <si>
    <t>CELULAR 51111/64SK04559</t>
  </si>
  <si>
    <t>GRLAM-001302</t>
  </si>
  <si>
    <t>51111/64SK05378</t>
  </si>
  <si>
    <t>IMEI 862805073864760</t>
  </si>
  <si>
    <t>GRLAM-001303</t>
  </si>
  <si>
    <t>DJ62404CA24102J</t>
  </si>
  <si>
    <t>CELULAR 51111/64SK05378</t>
  </si>
  <si>
    <t>GRLAM-001304</t>
  </si>
  <si>
    <t>51111/64SK06290</t>
  </si>
  <si>
    <t>IMEI 862805074003749</t>
  </si>
  <si>
    <t>GRLAM-001305</t>
  </si>
  <si>
    <t>DJ62404CA15706J</t>
  </si>
  <si>
    <t>CELULAR 51111/64SK06290</t>
  </si>
  <si>
    <t>GRLAM-001306</t>
  </si>
  <si>
    <t>51111/64SK09827</t>
  </si>
  <si>
    <t>IMEI 862805074141820</t>
  </si>
  <si>
    <t>GRLAM-001307</t>
  </si>
  <si>
    <t>DJ62404DA20679J</t>
  </si>
  <si>
    <t>CELULAR 51111/64SK09827</t>
  </si>
  <si>
    <t>GRLAM-001308</t>
  </si>
  <si>
    <t>51111/64SK01428</t>
  </si>
  <si>
    <t>IMEI 862805073990441</t>
  </si>
  <si>
    <t>GRLAM-001309</t>
  </si>
  <si>
    <t>DJ62404CA19174J</t>
  </si>
  <si>
    <t>CELULAR 51111/64SK01428</t>
  </si>
  <si>
    <t>GRLAM-001310</t>
  </si>
  <si>
    <t>51111/64SK05612</t>
  </si>
  <si>
    <t>IMEI 862805073920489</t>
  </si>
  <si>
    <t>GRLAM-001311</t>
  </si>
  <si>
    <t>DJ62404CA15356J</t>
  </si>
  <si>
    <t>CELULAR 51111/64SK05612</t>
  </si>
  <si>
    <t>GRLAM-001312</t>
  </si>
  <si>
    <t>51111/64SK04975</t>
  </si>
  <si>
    <t>IMEI 862805074136242</t>
  </si>
  <si>
    <t>GRLAM-001313</t>
  </si>
  <si>
    <t>DJ62404CA20266J</t>
  </si>
  <si>
    <t>CELULAR 51111/64SK04975</t>
  </si>
  <si>
    <t>GRLAM-001314</t>
  </si>
  <si>
    <t>51111/64SK02857</t>
  </si>
  <si>
    <t>IMEI 862805074153205</t>
  </si>
  <si>
    <t>GRLAM-001315</t>
  </si>
  <si>
    <t>DJ624049A01366J</t>
  </si>
  <si>
    <t>CELULAR 51111/64SK02857</t>
  </si>
  <si>
    <t>GRLAM-001316</t>
  </si>
  <si>
    <t>51111/64SK06270</t>
  </si>
  <si>
    <t>IMEI 862805073867680</t>
  </si>
  <si>
    <t>GRLAM-001317</t>
  </si>
  <si>
    <t>DJ62404CA17840J</t>
  </si>
  <si>
    <t>CELULAR 51111/64SK06270</t>
  </si>
  <si>
    <t>GRLAM-001318</t>
  </si>
  <si>
    <t>51111/64SK04282</t>
  </si>
  <si>
    <t>IMEI 862805074129445</t>
  </si>
  <si>
    <t>GRLAM-001319</t>
  </si>
  <si>
    <t>DJ62404CA18356J</t>
  </si>
  <si>
    <t>CELULAR 51111/64SK04282</t>
  </si>
  <si>
    <t>GRLAM-001320</t>
  </si>
  <si>
    <t>51111/64SK06717</t>
  </si>
  <si>
    <t>IMEI 862805074168021</t>
  </si>
  <si>
    <t>GRLAM-001321</t>
  </si>
  <si>
    <t>DJ62404CA17005J</t>
  </si>
  <si>
    <t>CELULAR 51111/64SK06717</t>
  </si>
  <si>
    <t>GRLAM-001322</t>
  </si>
  <si>
    <t>51111/64SK00454</t>
  </si>
  <si>
    <t>IMEI 862805074117861</t>
  </si>
  <si>
    <t>GRLAM-001323</t>
  </si>
  <si>
    <t>DJ62404CA18884J</t>
  </si>
  <si>
    <t>CELULAR 51111/64SK00454</t>
  </si>
  <si>
    <t>GRLAM-001324</t>
  </si>
  <si>
    <t>51111/64SK04327</t>
  </si>
  <si>
    <t>IMEI 862805073867961</t>
  </si>
  <si>
    <t>GRLAM-001325</t>
  </si>
  <si>
    <t>DJ62404CA15502J</t>
  </si>
  <si>
    <t>CELULAR 51111/64SK04327</t>
  </si>
  <si>
    <t>GRLAM-001326</t>
  </si>
  <si>
    <t>51111/64SK04078</t>
  </si>
  <si>
    <t>IMEI 866215079298623</t>
  </si>
  <si>
    <t>GRLAM-001327</t>
  </si>
  <si>
    <t>DJ62404CA20673J</t>
  </si>
  <si>
    <t>CELULAR 51111/64SK04078</t>
  </si>
  <si>
    <t>GRLAM-001328</t>
  </si>
  <si>
    <t>51111/64SK00585</t>
  </si>
  <si>
    <t>IMEI 862805074127704</t>
  </si>
  <si>
    <t>GRLAM-001329</t>
  </si>
  <si>
    <t>DJ62404CA17586J</t>
  </si>
  <si>
    <t>CELULAR 51111/64SK00585</t>
  </si>
  <si>
    <t>GRLAM-001330</t>
  </si>
  <si>
    <t>51111/64SK05382</t>
  </si>
  <si>
    <t>IMEI 862805074298547</t>
  </si>
  <si>
    <t>GRLAM-001331</t>
  </si>
  <si>
    <t>DJ62404CA17475J</t>
  </si>
  <si>
    <t>CELULAR 51111/64SK05382</t>
  </si>
  <si>
    <t>GRLAM-001332</t>
  </si>
  <si>
    <t>51111/64SK10419</t>
  </si>
  <si>
    <t>IMEI 862805074166405</t>
  </si>
  <si>
    <t>GRLAM-001333</t>
  </si>
  <si>
    <t>DJ62404DA20682J</t>
  </si>
  <si>
    <t>CELULAR 51111/64SK10419</t>
  </si>
  <si>
    <t>GRLAM-001334</t>
  </si>
  <si>
    <t>51111/64SK00455</t>
  </si>
  <si>
    <t>IMEI 862805073916701</t>
  </si>
  <si>
    <t>GRLAM-001335</t>
  </si>
  <si>
    <t>DJ62404DA06907J</t>
  </si>
  <si>
    <t>CELULAR 51111/64SK00455</t>
  </si>
  <si>
    <t>GRLAM-001336</t>
  </si>
  <si>
    <t>LOQ 15IAX9</t>
  </si>
  <si>
    <t>MP2GFGXG</t>
  </si>
  <si>
    <t>I5 12GEN/ 8GB RAM / 512GB SSD / 3050 RTX</t>
  </si>
  <si>
    <t>GRLAM-001337</t>
  </si>
  <si>
    <t>ADL170SDC3A</t>
  </si>
  <si>
    <t>8SGX21M52283D1SG44G0779</t>
  </si>
  <si>
    <t>LAPTOP MP2GFGXG</t>
  </si>
  <si>
    <t>GRLAM-001338</t>
  </si>
  <si>
    <t>21HJ0010LM</t>
  </si>
  <si>
    <t>PF-4WRCC</t>
  </si>
  <si>
    <t>I7 13GEN / 16GB RAM / 1TB SSD / INTEL UHD GRAPHICS</t>
  </si>
  <si>
    <t>UGO CALDERON</t>
  </si>
  <si>
    <t>GRLAM-001339</t>
  </si>
  <si>
    <t>ADL135YSDC3A</t>
  </si>
  <si>
    <t>8SSA10R16993D1SG42V0ZX1</t>
  </si>
  <si>
    <t>LAPTOP PF-4WRCC</t>
  </si>
  <si>
    <t>GRLAM-001340</t>
  </si>
  <si>
    <t>KP1350300551300B11B273</t>
  </si>
  <si>
    <t>CARGADOR PARA LAPTOP ()</t>
  </si>
  <si>
    <t>GRISSEL ROJAS</t>
  </si>
  <si>
    <t>GRLAM-001341</t>
  </si>
  <si>
    <t>KP1350300653900DADPE01</t>
  </si>
  <si>
    <t>GRLAM-001342</t>
  </si>
  <si>
    <t>MP2B9V3L</t>
  </si>
  <si>
    <t>GRLAM-001343</t>
  </si>
  <si>
    <t>8SSA11B48991L2CZ43568BN</t>
  </si>
  <si>
    <t>GRLAM-001344</t>
  </si>
  <si>
    <t>8SSM50U65178AVLC431A58Y</t>
  </si>
  <si>
    <t>GRLAM-001345</t>
  </si>
  <si>
    <t>8SSD51B37337AVLC41JD0B8</t>
  </si>
  <si>
    <t>GRLAM-001346</t>
  </si>
  <si>
    <t>MP2B9V4F</t>
  </si>
  <si>
    <t>GRLAM-001347</t>
  </si>
  <si>
    <t>8SSA11B48991L2CZ43568B4</t>
  </si>
  <si>
    <t>GRLAM-001348</t>
  </si>
  <si>
    <t>8SSM50U65178AVLC431A5A8</t>
  </si>
  <si>
    <t>GRLAM-001349</t>
  </si>
  <si>
    <t>8SSD51B37337AVLC41JD0B2</t>
  </si>
  <si>
    <t>GRLAM-001350</t>
  </si>
  <si>
    <t>ANTEC</t>
  </si>
  <si>
    <t>DFCASE-DF6001</t>
  </si>
  <si>
    <t>2319Y001088</t>
  </si>
  <si>
    <t>I9 12900 / 2TB SSD / RTX 4060 / 2X16 GB RAM / 750W</t>
  </si>
  <si>
    <t>JEISON SUAREZ</t>
  </si>
  <si>
    <t>TELESUR</t>
  </si>
  <si>
    <t>GRLAM-001351</t>
  </si>
  <si>
    <t>2348Y000099</t>
  </si>
  <si>
    <t>GRLAM-001352</t>
  </si>
  <si>
    <t>22MR410-B</t>
  </si>
  <si>
    <t>406TOEF0M980</t>
  </si>
  <si>
    <t>MONITOR 21.5"</t>
  </si>
  <si>
    <t>GRLAM-001353</t>
  </si>
  <si>
    <t>406TOAG0N080</t>
  </si>
  <si>
    <t>GRLAM-001354</t>
  </si>
  <si>
    <t>PARLANTES</t>
  </si>
  <si>
    <t>S150</t>
  </si>
  <si>
    <t>GV414</t>
  </si>
  <si>
    <t>PARLANTES DE ESCRITORIO</t>
  </si>
  <si>
    <t>GRLAM-001355</t>
  </si>
  <si>
    <t>GV416</t>
  </si>
  <si>
    <t>GRLAM-001356</t>
  </si>
  <si>
    <t>CDP</t>
  </si>
  <si>
    <t>R2C-AVR1008I</t>
  </si>
  <si>
    <t>240411-0901086</t>
  </si>
  <si>
    <t>SUPRESOR DE PICOS</t>
  </si>
  <si>
    <t>GRLAM-001357</t>
  </si>
  <si>
    <t>240411-0901131</t>
  </si>
  <si>
    <t>GRLAM-001358</t>
  </si>
  <si>
    <t>YU-0042</t>
  </si>
  <si>
    <t>2344MR218FD8</t>
  </si>
  <si>
    <t>GRLAM-001359</t>
  </si>
  <si>
    <t>2344MR2315E8</t>
  </si>
  <si>
    <t>GRLAM-001360</t>
  </si>
  <si>
    <t>M-U0026</t>
  </si>
  <si>
    <t>810-002182</t>
  </si>
  <si>
    <t>GRLAM-001361</t>
  </si>
  <si>
    <t>GRLAM-001362</t>
  </si>
  <si>
    <t>APPLE</t>
  </si>
  <si>
    <t>A2633</t>
  </si>
  <si>
    <t>MVH10M4N4L</t>
  </si>
  <si>
    <t>IPHONE 13 128GB MIDNIGHT</t>
  </si>
  <si>
    <t>GRLAM-001363</t>
  </si>
  <si>
    <t>52862/W4WH09920</t>
  </si>
  <si>
    <t>IMEI 865201076038445</t>
  </si>
  <si>
    <t>GRLAM-001364</t>
  </si>
  <si>
    <t>CELULAR 52862/W4WH09920</t>
  </si>
  <si>
    <t>X512D</t>
  </si>
  <si>
    <t>M1N0CV192195048</t>
  </si>
  <si>
    <t>9952101200H1C</t>
  </si>
  <si>
    <t>CARGADOR LAPTOP M1N0CV192195048</t>
  </si>
  <si>
    <t>AN515-55-53AG</t>
  </si>
  <si>
    <t>NHQ7MAA0061150D27E3400</t>
  </si>
  <si>
    <t>JAVIER MUÑOZ</t>
  </si>
  <si>
    <t>ADP-135NB</t>
  </si>
  <si>
    <t>D12W14N052C</t>
  </si>
  <si>
    <t>CARGADOR LAPTOP NHQ7MAA0061150D27E3400</t>
  </si>
  <si>
    <t>2148HS05R918</t>
  </si>
  <si>
    <t>GRLAM-000951</t>
  </si>
  <si>
    <t>NHQ7MAL01V1350190E3400</t>
  </si>
  <si>
    <t>ASISTENTE</t>
  </si>
  <si>
    <t>GRLAM-000952</t>
  </si>
  <si>
    <t>KP1350100811702D0EP103</t>
  </si>
  <si>
    <t>CARGADOR LAPTOP NHQ7MAL01V1350190E3400</t>
  </si>
  <si>
    <t>GRLAM-000660</t>
  </si>
  <si>
    <t>15IHU6</t>
  </si>
  <si>
    <t>MP23A9EB</t>
  </si>
  <si>
    <t>ADL170SCC3A</t>
  </si>
  <si>
    <t>SA10R16886</t>
  </si>
  <si>
    <t>CARGADOR LAPTOP MP23A9EB</t>
  </si>
  <si>
    <t>2148HS05R8H8</t>
  </si>
  <si>
    <t>NHQ7MAL01U1361C0C33400</t>
  </si>
  <si>
    <t>D12W15R00DE</t>
  </si>
  <si>
    <t>CARGADOR LAPTOP NHQ7MAL01U1361C0C33400</t>
  </si>
  <si>
    <t>2129HS04XTXR</t>
  </si>
  <si>
    <t>4160AB0080411</t>
  </si>
  <si>
    <t>AUDIFONOS</t>
  </si>
  <si>
    <t>GRLAM-000796</t>
  </si>
  <si>
    <t>AN515-55-58WZ</t>
  </si>
  <si>
    <t>NHQ7MAL00K1290CB193400</t>
  </si>
  <si>
    <t>GRLAM-000497</t>
  </si>
  <si>
    <t>D12W14N088P</t>
  </si>
  <si>
    <t>CARGADOR LAPTOP NHQ7MAL00K1290CB193400</t>
  </si>
  <si>
    <t>2129HS04XU8B</t>
  </si>
  <si>
    <t>203NTODDR364</t>
  </si>
  <si>
    <t>NHQ7MAL01U1440FEA93400</t>
  </si>
  <si>
    <t>D12W14N08CU</t>
  </si>
  <si>
    <t>CARGADOR LAPTOP NHQ7MAL01U1440FEA93400</t>
  </si>
  <si>
    <t>2129HS04XU48</t>
  </si>
  <si>
    <t>203NTJJDR380</t>
  </si>
  <si>
    <t>AN515-5559M2</t>
  </si>
  <si>
    <t>NHQ7MAL01U1440F5723400</t>
  </si>
  <si>
    <t>ORLANDO JARA</t>
  </si>
  <si>
    <t>D12W15R00A2</t>
  </si>
  <si>
    <t>CARGADOR LAPTOP NHQ7MAL01U1440F5723400</t>
  </si>
  <si>
    <t>2124HS009QL8</t>
  </si>
  <si>
    <t>4155AB0081750</t>
  </si>
  <si>
    <t>GRLAM-000415</t>
  </si>
  <si>
    <t>M1N0CV19223804B</t>
  </si>
  <si>
    <t>9852101200LN7</t>
  </si>
  <si>
    <t>CARGADOR LAPTOP M1N0CV19223804B</t>
  </si>
  <si>
    <t>2129HS04XU78</t>
  </si>
  <si>
    <t>4155AB0081754</t>
  </si>
  <si>
    <t>2B6E31</t>
  </si>
  <si>
    <t>NHQ7MAL01V135015463400</t>
  </si>
  <si>
    <t>D12W14N04HV</t>
  </si>
  <si>
    <t>CARGADOR LAPTOP NHQ7MAL01V135015463400</t>
  </si>
  <si>
    <t>21248HS05R8H8</t>
  </si>
  <si>
    <t>NHQ7MAL01V1135019123400</t>
  </si>
  <si>
    <t>KP1350100811701351P103</t>
  </si>
  <si>
    <t>CARGADOR LAPTOP NHQ7MAL01V1135019123400</t>
  </si>
  <si>
    <t>2129HS04XTY8</t>
  </si>
  <si>
    <t>M1N0CV192461047</t>
  </si>
  <si>
    <t>PA-1650-02</t>
  </si>
  <si>
    <t>04G26604700</t>
  </si>
  <si>
    <t>CARGADOR LAPTOP M1N0CV192461047</t>
  </si>
  <si>
    <t>GRLAM-000398</t>
  </si>
  <si>
    <t>MM-5513</t>
  </si>
  <si>
    <t>NHQ7MAL01U1400D1413400</t>
  </si>
  <si>
    <t>KP1350100811902016P103</t>
  </si>
  <si>
    <t>CARGADOR LAPTOP NHQ7MAL01U1400D1413400</t>
  </si>
  <si>
    <t>2204HS00CKC8</t>
  </si>
  <si>
    <t>N20C1</t>
  </si>
  <si>
    <t>NHQ7MAL01U1361BAEF3400</t>
  </si>
  <si>
    <t>ANTERIOR USUARIO JEAN CARLO TLV</t>
  </si>
  <si>
    <t>LITEON</t>
  </si>
  <si>
    <t>PA-1131-26</t>
  </si>
  <si>
    <t>KP1350301012901AE0PE03</t>
  </si>
  <si>
    <t>CARGADOR LAPTOP NHQ7MAL01U1361BAEF3400</t>
  </si>
  <si>
    <t>GRLAM-00728</t>
  </si>
  <si>
    <t>2325MR13D428</t>
  </si>
  <si>
    <t>GRLAM-000768</t>
  </si>
  <si>
    <t>4155SAB0081749</t>
  </si>
  <si>
    <t>NHQ7MAL00P145006AC3400</t>
  </si>
  <si>
    <t>ANTERIOR USUARIO BRUNO PEÑARANDA</t>
  </si>
  <si>
    <t>D12W14N056M</t>
  </si>
  <si>
    <t>2129HS04XU58</t>
  </si>
  <si>
    <t>GRLAM-000482</t>
  </si>
  <si>
    <t>CORE I5 10GEN 8GB RAM 240 SSD</t>
  </si>
  <si>
    <t>CARMEN NAJARRO</t>
  </si>
  <si>
    <t>-</t>
  </si>
  <si>
    <t>NHQ7MAL01V1360182273400</t>
  </si>
  <si>
    <t>ANGELES CONDORI</t>
  </si>
  <si>
    <t>D12W14N0889</t>
  </si>
  <si>
    <t>GYU8PBUG5DINWWGY</t>
  </si>
  <si>
    <t>REDMI 13C</t>
  </si>
  <si>
    <t>CARGADOR CELULAR</t>
  </si>
  <si>
    <t>FALTA DE DATOS</t>
  </si>
  <si>
    <t>CYKVCIPBAIOJS8Q4</t>
  </si>
  <si>
    <t>EDWIN VELASQUEZ</t>
  </si>
  <si>
    <t>M509DA</t>
  </si>
  <si>
    <t>ADP-45BW Z</t>
  </si>
  <si>
    <t>20242-00VYZ</t>
  </si>
  <si>
    <t>2148HS05R8G8</t>
  </si>
  <si>
    <t>X512DA</t>
  </si>
  <si>
    <t>SARA CHIPANA</t>
  </si>
  <si>
    <t>GRLAM-000466</t>
  </si>
  <si>
    <t>0A001-01100680</t>
  </si>
  <si>
    <t>GLAM-000743</t>
  </si>
  <si>
    <t>CABLE DE RED</t>
  </si>
  <si>
    <t>HW-050200U01</t>
  </si>
  <si>
    <t>K68349FA1J8485</t>
  </si>
  <si>
    <t>NHQ7MAL01V136017713400</t>
  </si>
  <si>
    <t>BETTY HUANCA</t>
  </si>
  <si>
    <t>MDY-11-EZI</t>
  </si>
  <si>
    <t>SG62202J25667BC</t>
  </si>
  <si>
    <t>FABRIZIO VARGAS</t>
  </si>
  <si>
    <t>ORIGINAL</t>
  </si>
  <si>
    <t>GRLAM-000629</t>
  </si>
  <si>
    <t>HOCCO</t>
  </si>
  <si>
    <t>C73</t>
  </si>
  <si>
    <t>GLAM-000762</t>
  </si>
  <si>
    <t>AN515-55-505M</t>
  </si>
  <si>
    <t>NHQ7MAL00T13305D313400</t>
  </si>
  <si>
    <t>LAPTOP ACER COREI5</t>
  </si>
  <si>
    <t>MELANY OORTEGA</t>
  </si>
  <si>
    <t>KP1350300701902FA3PE05</t>
  </si>
  <si>
    <t>CARGADOR ORIGINAL LAPTOP</t>
  </si>
  <si>
    <t>MOUSE GENERICO PARA REPUESTO</t>
  </si>
  <si>
    <t>AUDIFONO SEMINUEVO</t>
  </si>
  <si>
    <t>SOPORTE PARA LAPTOP CON VENTILADOR</t>
  </si>
  <si>
    <t>ZIGMA</t>
  </si>
  <si>
    <t>BASE DE MOUSE</t>
  </si>
  <si>
    <t>REDMI NOTE 11 BLUE</t>
  </si>
  <si>
    <t>EP-TA300</t>
  </si>
  <si>
    <t>R37H9A525Z1SE3</t>
  </si>
  <si>
    <t>CARGADOR REPLICA SAMSUNG</t>
  </si>
  <si>
    <t>HUGO DEL CARPIO</t>
  </si>
  <si>
    <t>KP1350100811901FFEP103</t>
  </si>
  <si>
    <t xml:space="preserve">CARGADOR DE LAPTOP ACER </t>
  </si>
  <si>
    <t>GRLAM-000465</t>
  </si>
  <si>
    <t>MOUSE PARA REPUESTO GENERICO</t>
  </si>
  <si>
    <t>AUDIFONO PLANTRONICS  7/10</t>
  </si>
  <si>
    <t>MOUSEPAD GENERICO</t>
  </si>
  <si>
    <t>ORIGINAL REDMI 13C</t>
  </si>
  <si>
    <t>AN15-54</t>
  </si>
  <si>
    <t>NHQ59AL00N027081D33400</t>
  </si>
  <si>
    <t>TECLADO DESGASTE</t>
  </si>
  <si>
    <t>2129HS04XU88</t>
  </si>
  <si>
    <t>MOUSE OPTIMO</t>
  </si>
  <si>
    <t>COOLER BASE LAPTOP CON VENTILADOR</t>
  </si>
  <si>
    <t>MOUSE PAD</t>
  </si>
  <si>
    <t>LAPTOP ACER COREI5 10GEN</t>
  </si>
  <si>
    <t>SERGIO DE LA CRUZ</t>
  </si>
  <si>
    <t>5+</t>
  </si>
  <si>
    <t>Visualizacion borrosa</t>
  </si>
  <si>
    <t>Lentitud por consumo de recursos</t>
  </si>
  <si>
    <t>LOGIC</t>
  </si>
  <si>
    <t>B5G</t>
  </si>
  <si>
    <t>200117155012</t>
  </si>
  <si>
    <t>NEGRO / 356786091223085</t>
  </si>
  <si>
    <t xml:space="preserve"> CARGADOR A3IA-050055U-USI</t>
  </si>
  <si>
    <t>200117155068</t>
  </si>
  <si>
    <t>NEGRO / 356786091223325</t>
  </si>
  <si>
    <t>200117155073</t>
  </si>
  <si>
    <t>NEGRO / 356786091223341</t>
  </si>
  <si>
    <t>200117157374</t>
  </si>
  <si>
    <t>NEGRO / 356786091233159</t>
  </si>
  <si>
    <t xml:space="preserve"> CARGADOR A3IA-050055U-USI </t>
  </si>
  <si>
    <t>200117157404</t>
  </si>
  <si>
    <t>NEGRO / 356786091233282</t>
  </si>
  <si>
    <t>200117157422</t>
  </si>
  <si>
    <t>NEGRO / 356786091233399</t>
  </si>
  <si>
    <t>200117155376</t>
  </si>
  <si>
    <t>NEGRO / 356786091223648</t>
  </si>
  <si>
    <t>200117155024</t>
  </si>
  <si>
    <t>NEGRO / 356786091223150</t>
  </si>
  <si>
    <t>200117156919</t>
  </si>
  <si>
    <t>NEGRO / 356786091231401</t>
  </si>
  <si>
    <t>200117157399</t>
  </si>
  <si>
    <t>NEGRO / 356786091233266</t>
  </si>
  <si>
    <t>200117155060</t>
  </si>
  <si>
    <t>NEGRO / 356786091223309</t>
  </si>
  <si>
    <t>200117155381</t>
  </si>
  <si>
    <t>NEGRO / 356786091223697</t>
  </si>
  <si>
    <t>200117155128</t>
  </si>
  <si>
    <t>NEGRO / 356786091223580</t>
  </si>
  <si>
    <t>200117156989</t>
  </si>
  <si>
    <t>NEGRO / 356786091231666</t>
  </si>
  <si>
    <t>200117155035</t>
  </si>
  <si>
    <t>NEGRO / 356786091223184</t>
  </si>
  <si>
    <t xml:space="preserve"> CARGADOR NO / PANTALLA RASCUÑADA</t>
  </si>
  <si>
    <t>200117157774</t>
  </si>
  <si>
    <t>NEGRO / 356786091234702</t>
  </si>
  <si>
    <t>200117157443</t>
  </si>
  <si>
    <t>NEGRO / 356786091233472</t>
  </si>
  <si>
    <t xml:space="preserve"> CARGADOR NO </t>
  </si>
  <si>
    <t>200117155383</t>
  </si>
  <si>
    <t>NEGRO / 356786091223713</t>
  </si>
  <si>
    <t>K4 LITE</t>
  </si>
  <si>
    <t>808HUZE157757</t>
  </si>
  <si>
    <t>NEGRO / 359015081577574</t>
  </si>
  <si>
    <t xml:space="preserve"> CARGADOR NO / PANTALLA RAJADA</t>
  </si>
  <si>
    <t>810HUBC191677</t>
  </si>
  <si>
    <t>NEGRO / 359015081916772</t>
  </si>
  <si>
    <t xml:space="preserve"> CARGADOR NO / PANTALLA Y CARCAZA ROTA</t>
  </si>
  <si>
    <t>SM-J105B</t>
  </si>
  <si>
    <t>R21J20454SY</t>
  </si>
  <si>
    <t>AZUL / 355087081329631</t>
  </si>
  <si>
    <t xml:space="preserve"> CARGADOR NO / DESGASTE</t>
  </si>
  <si>
    <t>R21J2044VYM</t>
  </si>
  <si>
    <t>AZUL / 355087081326710</t>
  </si>
  <si>
    <t xml:space="preserve"> CARGADOR NO / DESGASTE Y CARCAZA RAJADA</t>
  </si>
  <si>
    <t>R21J205CLBA</t>
  </si>
  <si>
    <t>AZUL / 355087081483198</t>
  </si>
  <si>
    <t>R21J2044W8D</t>
  </si>
  <si>
    <t>AZUL / 355087081326819</t>
  </si>
  <si>
    <t>R21J2044VRT</t>
  </si>
  <si>
    <t>AZUL / 355087081326652</t>
  </si>
  <si>
    <t>R21J205CN3X</t>
  </si>
  <si>
    <t>AZUL / 355087081483776</t>
  </si>
  <si>
    <t>R21J2044VVV</t>
  </si>
  <si>
    <t>AZUL / 355087081326686</t>
  </si>
  <si>
    <t xml:space="preserve"> CARGADOR NO / PANTALLA RAJADA, DESGASTE</t>
  </si>
  <si>
    <t>R21J2044W9T</t>
  </si>
  <si>
    <t>AZUL / 355087081326827</t>
  </si>
  <si>
    <t xml:space="preserve"> CARGADOR HUAWEI HW-05005U1W / DESGASTE</t>
  </si>
  <si>
    <t>R21J205CNXM</t>
  </si>
  <si>
    <t>AZUL / 355087081484048</t>
  </si>
  <si>
    <t xml:space="preserve"> CARGADOR NO / PANTALLA RAJADA,DESGASTE</t>
  </si>
  <si>
    <t>R21J2044VNK</t>
  </si>
  <si>
    <t>AZUL / 355087081326629</t>
  </si>
  <si>
    <t>R21J205C20X</t>
  </si>
  <si>
    <t>AZUL / 355087081477141</t>
  </si>
  <si>
    <t>R21J205CNKE</t>
  </si>
  <si>
    <t>AZUL / 355087081483933</t>
  </si>
  <si>
    <t>R21J205CL8D</t>
  </si>
  <si>
    <t>AZUL / 355087081483164</t>
  </si>
  <si>
    <t>R21J205CLGX</t>
  </si>
  <si>
    <t>AZUL / 355087081483248</t>
  </si>
  <si>
    <t>R21J20454QL</t>
  </si>
  <si>
    <t>AZUL / 355087081329615</t>
  </si>
  <si>
    <t xml:space="preserve"> CARGADOR R37J2621XJ2HM3 / DESGASTE</t>
  </si>
  <si>
    <t>LG-X230FV</t>
  </si>
  <si>
    <t>711HUZE028509</t>
  </si>
  <si>
    <t>NEGRO / 359015080285096</t>
  </si>
  <si>
    <t xml:space="preserve"> CARGADOR NO / DESGASTE,CARCASA RAJADA</t>
  </si>
  <si>
    <t>808HUBC159405</t>
  </si>
  <si>
    <t>NEGRO / 359015081594058</t>
  </si>
  <si>
    <t>808HUHD159817</t>
  </si>
  <si>
    <t>NEGRO / 359015081598174</t>
  </si>
  <si>
    <t>808HUKB160117</t>
  </si>
  <si>
    <t>NEGRO / 359015081601176</t>
  </si>
  <si>
    <t>R21J205CMXD</t>
  </si>
  <si>
    <t>AZUL / 355087081483719</t>
  </si>
  <si>
    <t>810HUPZ185584</t>
  </si>
  <si>
    <t>NEGRO / 359015081855848</t>
  </si>
  <si>
    <t>804HUSQ112822</t>
  </si>
  <si>
    <t>NEGRO / 359015081128220</t>
  </si>
  <si>
    <t xml:space="preserve"> CARGADOR NO / DESGASTE, NO RECIBE CARGA</t>
  </si>
  <si>
    <t>711HUMW032283</t>
  </si>
  <si>
    <t>NEGRO / 359015080322832</t>
  </si>
  <si>
    <t xml:space="preserve"> CARGADOR NO / PANTALLA Y CARCAZA RAJADA</t>
  </si>
  <si>
    <t>808HUXK158682</t>
  </si>
  <si>
    <t>NEGRO / 359015081586823</t>
  </si>
  <si>
    <t xml:space="preserve"> CARGADOR NO / DESGASTE, PANTLLA RAJADA </t>
  </si>
  <si>
    <t>810HUYN185586</t>
  </si>
  <si>
    <t>NEGRO / 359015081855863</t>
  </si>
  <si>
    <t>808HUDF159970</t>
  </si>
  <si>
    <t>NEGRO / 359015081599701</t>
  </si>
  <si>
    <t xml:space="preserve"> CARGADOR NO / DESGASTE,PANTALLA RAJADA</t>
  </si>
  <si>
    <t>808HUVT165167</t>
  </si>
  <si>
    <t>NEGRO / 359015081651676</t>
  </si>
  <si>
    <t xml:space="preserve"> CARGADOR NO / DESGASTE,PANTALLA ROTA</t>
  </si>
  <si>
    <t>810HUKB191669</t>
  </si>
  <si>
    <t>NEGRO / 359015081916699</t>
  </si>
  <si>
    <t xml:space="preserve"> CARGADOR NO / PANTALLA RAJADA, CARCAZA RAJADA</t>
  </si>
  <si>
    <t>808HUZE160013</t>
  </si>
  <si>
    <t>NEGRO / 359015081600137</t>
  </si>
  <si>
    <t>808HURM157822</t>
  </si>
  <si>
    <t>NEGRO / 359015081578226</t>
  </si>
  <si>
    <t>808HUAA159400</t>
  </si>
  <si>
    <t>NEGRO / 359015081594009</t>
  </si>
  <si>
    <t>808HUNR159399</t>
  </si>
  <si>
    <t>NEGRO / 359015081593993</t>
  </si>
  <si>
    <t>810HUFL191675</t>
  </si>
  <si>
    <t>NEGRO / 359015081916756</t>
  </si>
  <si>
    <t>808HUQY165172</t>
  </si>
  <si>
    <t>NEGRO / 359015081651726</t>
  </si>
  <si>
    <t>711HUMW026091</t>
  </si>
  <si>
    <t>NEGRO / 359015080260917</t>
  </si>
  <si>
    <t>808HUXK159402</t>
  </si>
  <si>
    <t>NEGRO / 359015081594025</t>
  </si>
  <si>
    <t>808HUZE166445</t>
  </si>
  <si>
    <t>NEGRO / 359015081664455</t>
  </si>
  <si>
    <t xml:space="preserve"> CARGADOR NO / DESGASTE,NO RECIBE CARGA</t>
  </si>
  <si>
    <t>808HUDF165178</t>
  </si>
  <si>
    <t>NEGRO / 359015081651783</t>
  </si>
  <si>
    <t xml:space="preserve"> CARGADOR NO / DESGASTE, MARCO ROTO</t>
  </si>
  <si>
    <t>808HULX157832</t>
  </si>
  <si>
    <t>NEGRO / 359015081578325</t>
  </si>
  <si>
    <t xml:space="preserve"> CARGADOR NO / DESGASTE, CARCAZA RAJADA</t>
  </si>
  <si>
    <t>805HUVT141863</t>
  </si>
  <si>
    <t>NEGRO / 359015081418639</t>
  </si>
  <si>
    <t>808HUPZ160008</t>
  </si>
  <si>
    <t>GRIS / 359015081600087</t>
  </si>
  <si>
    <t>808HURM166342</t>
  </si>
  <si>
    <t>NEGRO / 359015081663424</t>
  </si>
  <si>
    <t>LG-K120F</t>
  </si>
  <si>
    <t>702VTRG384878</t>
  </si>
  <si>
    <t>AZUL / 357142073848789</t>
  </si>
  <si>
    <t>702VTCL385411</t>
  </si>
  <si>
    <t>AZUL / 357142073854118</t>
  </si>
  <si>
    <t>702VTBB384877</t>
  </si>
  <si>
    <t>AZUL / 357142073848771</t>
  </si>
  <si>
    <t>605VTRG041598</t>
  </si>
  <si>
    <t>AZUL / 357142070415988</t>
  </si>
  <si>
    <t>702VTPA385408</t>
  </si>
  <si>
    <t>AZUL / 357142073854084</t>
  </si>
  <si>
    <t>GRLAM-054</t>
  </si>
  <si>
    <t>TASKALFA 255</t>
  </si>
  <si>
    <t>BLANCO</t>
  </si>
  <si>
    <t>SL-1012UL</t>
  </si>
  <si>
    <t>NEGRO</t>
  </si>
  <si>
    <t>DATA CENTER</t>
  </si>
  <si>
    <t>RACK</t>
  </si>
  <si>
    <t>POWER</t>
  </si>
  <si>
    <t>ORDENADOR</t>
  </si>
  <si>
    <t>THERMALTAKE</t>
  </si>
  <si>
    <t>SERVIDOR</t>
  </si>
  <si>
    <t>PERIFERICO</t>
  </si>
  <si>
    <t>GRLAM-101</t>
  </si>
  <si>
    <t>MSK -1113</t>
  </si>
  <si>
    <t>GAMER</t>
  </si>
  <si>
    <t>MULTIMEDIA</t>
  </si>
  <si>
    <t>DEBIAN</t>
  </si>
  <si>
    <t>SRVDB04</t>
  </si>
  <si>
    <t>ELISE - FASE</t>
  </si>
  <si>
    <t>AUR-1000-LCD-USB</t>
  </si>
  <si>
    <t>DS-7208HGHI-F1/N</t>
  </si>
  <si>
    <t>C32687682</t>
  </si>
  <si>
    <t>THINKCENTRE</t>
  </si>
  <si>
    <t>FLATRON W1943SB</t>
  </si>
  <si>
    <t>GRLAM-10</t>
  </si>
  <si>
    <t>SWITCH (RED)</t>
  </si>
  <si>
    <t>CISCO</t>
  </si>
  <si>
    <t>CATALYST 3560G</t>
  </si>
  <si>
    <t>564510655</t>
  </si>
  <si>
    <t>ANTIGUO DVR DE MOLLENDO</t>
  </si>
  <si>
    <t>GRLAM-000267</t>
  </si>
  <si>
    <t xml:space="preserve">MOUSE </t>
  </si>
  <si>
    <t>ENKORE</t>
  </si>
  <si>
    <t>ENT502</t>
  </si>
  <si>
    <t>DS-2CE16D0T-1T3F</t>
  </si>
  <si>
    <t>802438318</t>
  </si>
  <si>
    <t>ANTIGUA CAMARA DE MOLLENDO</t>
  </si>
  <si>
    <t>802438060</t>
  </si>
  <si>
    <t>802438071</t>
  </si>
  <si>
    <t>802438118</t>
  </si>
  <si>
    <t>802438061</t>
  </si>
  <si>
    <t>802438259</t>
  </si>
  <si>
    <t>GRLAM-000287</t>
  </si>
  <si>
    <t>27F350FHL</t>
  </si>
  <si>
    <t>ZZWKH4ZM100178E</t>
  </si>
  <si>
    <t>MONITOR MULTIMEDIA 27 PULGADAS</t>
  </si>
  <si>
    <t>GRLAM-000884</t>
  </si>
  <si>
    <t>24MKA30H</t>
  </si>
  <si>
    <t>203NTRLDR382</t>
  </si>
  <si>
    <t>BRAYAN VALDEZ</t>
  </si>
  <si>
    <t>ECOSYS M4125IDN</t>
  </si>
  <si>
    <t>6931743000634</t>
  </si>
  <si>
    <t>IMPRESORA DE OFICINA CN 3ER PISO</t>
  </si>
  <si>
    <t>L5190</t>
  </si>
  <si>
    <t>X5NS076867</t>
  </si>
  <si>
    <t>IMPRESORA DE OFICINA CN 2DO PISO</t>
  </si>
  <si>
    <t>GX6010</t>
  </si>
  <si>
    <t>KNDK00263</t>
  </si>
  <si>
    <t>IMPRESORA DE OFICINA CN TI 1ER PISO</t>
  </si>
  <si>
    <t>CPU presenta fallas en la tarjeta de red, para cambio</t>
  </si>
  <si>
    <t>PANTALA AOC</t>
  </si>
  <si>
    <t>IMPRESORA DE TARJETAS</t>
  </si>
  <si>
    <t>ZEBRA</t>
  </si>
  <si>
    <t>ZXP SERIES 3</t>
  </si>
  <si>
    <t>Z3J175100381</t>
  </si>
  <si>
    <t>21021000571</t>
  </si>
  <si>
    <t>MM-5114</t>
  </si>
  <si>
    <t>21021001388</t>
  </si>
  <si>
    <t>GRLAM-000076</t>
  </si>
  <si>
    <t>GRLAM-000445</t>
  </si>
  <si>
    <t>Se presiona dos veces el click derecho</t>
  </si>
  <si>
    <t>Cambio</t>
  </si>
  <si>
    <t>Pantalla falla por ratos, usa un monitor como pantalla 2</t>
  </si>
  <si>
    <t>Teclado integrado no funciona</t>
  </si>
  <si>
    <t>Mala bateria / Funciona conectado a corriente</t>
  </si>
  <si>
    <t>Pantalla con mala resolucion</t>
  </si>
  <si>
    <t>HUAWEI Y9 PRIME</t>
  </si>
  <si>
    <t>45694/W3VC07075</t>
  </si>
  <si>
    <t>REDMI NOTE 12C / COLOR NEGRO</t>
  </si>
  <si>
    <t>2J62305N268212C</t>
  </si>
  <si>
    <t>REDMI NOTE 12C</t>
  </si>
  <si>
    <t>Se saco la mica por que obstruia la visibilidad del usuario</t>
  </si>
  <si>
    <t>D12W14N00889</t>
  </si>
  <si>
    <t>CARGADOR LAPTOP SN: NHQ7MAL01U1361BAEF3400</t>
  </si>
  <si>
    <t>NHQ7MAL01U1440FD283400</t>
  </si>
  <si>
    <t>GLAM-000724</t>
  </si>
  <si>
    <t>KP1350H0020470234DPH02</t>
  </si>
  <si>
    <t>CARGADOR LAPTOP SN: NHQ7MAL01U1440FD283400</t>
  </si>
  <si>
    <t>GRLAM-000560</t>
  </si>
  <si>
    <t>D12W15707HX</t>
  </si>
  <si>
    <t>Ilo</t>
  </si>
  <si>
    <t>Adm y Fin</t>
  </si>
  <si>
    <t>GLAM-000592</t>
  </si>
  <si>
    <t>45780/S3UN04196</t>
  </si>
  <si>
    <t>2G62304M102968C</t>
  </si>
  <si>
    <t>LUIS CARPIO</t>
  </si>
  <si>
    <t>4155AB0081744</t>
  </si>
  <si>
    <t>GRLAM-000873</t>
  </si>
  <si>
    <t>2204HS00CJVB</t>
  </si>
  <si>
    <t>TARGUS</t>
  </si>
  <si>
    <t>MOCHILA PORTA LAPTOP / COLOR NEGRO</t>
  </si>
  <si>
    <t>37938/R2PW06281</t>
  </si>
  <si>
    <t>MDY-11-EQ</t>
  </si>
  <si>
    <t>GR62007Q297877</t>
  </si>
  <si>
    <t>S10</t>
  </si>
  <si>
    <t>CARGADOR X</t>
  </si>
  <si>
    <t>GRLAM-000942</t>
  </si>
  <si>
    <t>NHQMAL01V13501B2C3400</t>
  </si>
  <si>
    <t>D12W14N0HJ1</t>
  </si>
  <si>
    <t>GRLAM-000552</t>
  </si>
  <si>
    <t>DEJO USAR ADRIAN</t>
  </si>
  <si>
    <t>GLAM-000601</t>
  </si>
  <si>
    <t>GRLAM-000486</t>
  </si>
  <si>
    <t>GRLAM-000714</t>
  </si>
  <si>
    <t>GLAM-000725</t>
  </si>
  <si>
    <t>2129HS04XTX8</t>
  </si>
  <si>
    <t>GRLAM-000571</t>
  </si>
  <si>
    <t>LEYLA CASA</t>
  </si>
  <si>
    <t>2B7AXA</t>
  </si>
  <si>
    <t>37820/R2QY16137</t>
  </si>
  <si>
    <t>REDMI NOTE 11 TWILIGHT BLUE</t>
  </si>
  <si>
    <t>HR62104D209850J</t>
  </si>
  <si>
    <t>CARGADOR NO ORIGINAL, SIN CABLE</t>
  </si>
  <si>
    <t>37821/R2R800772</t>
  </si>
  <si>
    <t>SG622029240693C</t>
  </si>
  <si>
    <t>CARGADOR SN: 37821/R2R800772</t>
  </si>
  <si>
    <t>SM-A107M</t>
  </si>
  <si>
    <t>R9WN404QWZJ</t>
  </si>
  <si>
    <t>SAMSUNG A10S</t>
  </si>
  <si>
    <t>ROQUE SOTO</t>
  </si>
  <si>
    <t>POWER CHARGER</t>
  </si>
  <si>
    <t>RD-6071</t>
  </si>
  <si>
    <t>CARGADOR NO ORIGINAL, SI CABLE</t>
  </si>
  <si>
    <t>37820/R2QY16946</t>
  </si>
  <si>
    <t>ROMAX</t>
  </si>
  <si>
    <t>TCC0420</t>
  </si>
  <si>
    <t xml:space="preserve">CARGADOR Y CABLE NO ORGINAL </t>
  </si>
  <si>
    <t>SM-A135M</t>
  </si>
  <si>
    <t>R58T514E69T</t>
  </si>
  <si>
    <t>SAMSUNG A13</t>
  </si>
  <si>
    <t>BOULMER COAGUILA</t>
  </si>
  <si>
    <t>EP-TA200</t>
  </si>
  <si>
    <t>R37T4M404C5RT3</t>
  </si>
  <si>
    <t>CARGADOR ORIGINAL, SI CABLE</t>
  </si>
  <si>
    <t>R58T60KDVHL</t>
  </si>
  <si>
    <t>R37T5BG11R6DK3</t>
  </si>
  <si>
    <t>R58T514F85N</t>
  </si>
  <si>
    <t>AC/DC ADAPTER</t>
  </si>
  <si>
    <t>MF-05002000SM1</t>
  </si>
  <si>
    <t>R58T60KDTYZ</t>
  </si>
  <si>
    <t>EP-TA50JWS</t>
  </si>
  <si>
    <t>R37R1T80R94HM3</t>
  </si>
  <si>
    <t>CARGADOR SN: R58T60KDTYZ</t>
  </si>
  <si>
    <t>SM-A035M</t>
  </si>
  <si>
    <t>R9HT205JVRW</t>
  </si>
  <si>
    <t>SAMSUNG A03</t>
  </si>
  <si>
    <t>R37T29907W5HM3</t>
  </si>
  <si>
    <t>CARGADOR ORIGINAL, NO CABLE</t>
  </si>
  <si>
    <t>R9WN404LAVJ</t>
  </si>
  <si>
    <t>MOVISUN</t>
  </si>
  <si>
    <t>MC-56</t>
  </si>
  <si>
    <t>CARGADOR Y CABLE NO ORIGNAL</t>
  </si>
  <si>
    <t>R9WN404QW8J</t>
  </si>
  <si>
    <t>JORGE YOEL TICONA</t>
  </si>
  <si>
    <t>TCC0297</t>
  </si>
  <si>
    <t>CARGADOR Y CABLE NO ORIGINAL</t>
  </si>
  <si>
    <t>37820/R2QY16160</t>
  </si>
  <si>
    <t>SILVERIO  VELASQUEZ</t>
  </si>
  <si>
    <t>SG62202J355117C</t>
  </si>
  <si>
    <t>CARGADOR SN: 37820/R2QY16160</t>
  </si>
  <si>
    <t>R58T514F82J</t>
  </si>
  <si>
    <t>R37T2H33CT5HM3</t>
  </si>
  <si>
    <t>CARGADOR SN: R58T514F82J</t>
  </si>
  <si>
    <t>ANE-LX3</t>
  </si>
  <si>
    <t>6NUDU18906009817</t>
  </si>
  <si>
    <t>HUAWEI P20 LITE</t>
  </si>
  <si>
    <t>HUAWI</t>
  </si>
  <si>
    <t>HW-050100U01</t>
  </si>
  <si>
    <t>H780K1GBR16863</t>
  </si>
  <si>
    <t>CARGADOR SN: 6NUDU18906009817</t>
  </si>
  <si>
    <t>37821/R2R804167</t>
  </si>
  <si>
    <t>VLADIMIR CORDERO</t>
  </si>
  <si>
    <t>GMOBILE</t>
  </si>
  <si>
    <t>R58T516D4KE</t>
  </si>
  <si>
    <t>R37T4190EW6RT3</t>
  </si>
  <si>
    <t>CARGADOR Y CABLE ORIGINAL</t>
  </si>
  <si>
    <t>R9WN404MHTJ</t>
  </si>
  <si>
    <t>R37MCA1CR74RT3</t>
  </si>
  <si>
    <t>R9WN31TVLKJ</t>
  </si>
  <si>
    <t>HUAWEI QUICK CH</t>
  </si>
  <si>
    <t>HW-090200UH0</t>
  </si>
  <si>
    <t>B99227K1204720</t>
  </si>
  <si>
    <t>45694/W3VC07097</t>
  </si>
  <si>
    <t>K99214K2F10088</t>
  </si>
  <si>
    <t>2G62304M398406C</t>
  </si>
  <si>
    <t>2212ARN</t>
  </si>
  <si>
    <t>45780/S3UN04591</t>
  </si>
  <si>
    <t>2G62304M398362C</t>
  </si>
  <si>
    <t>45780/S3UN04586</t>
  </si>
  <si>
    <t>2G62304M698865C</t>
  </si>
  <si>
    <t>45694/W3VC07055</t>
  </si>
  <si>
    <t>ISABEL ORTIZ</t>
  </si>
  <si>
    <t>2J62305N268419C</t>
  </si>
  <si>
    <t>45780/S3UN04199</t>
  </si>
  <si>
    <t>2G62304M398195C</t>
  </si>
  <si>
    <t>45780/S3UN04136</t>
  </si>
  <si>
    <t>2G623046816127C</t>
  </si>
  <si>
    <t>R9WN404M90J</t>
  </si>
  <si>
    <t>HKA00905015-2C</t>
  </si>
  <si>
    <t>HKAD30807539</t>
  </si>
  <si>
    <t>R9WN404MB6J</t>
  </si>
  <si>
    <t>ROBERTO CABRERA</t>
  </si>
  <si>
    <t>TRANYCO</t>
  </si>
  <si>
    <t>R3</t>
  </si>
  <si>
    <t>SM-G770F</t>
  </si>
  <si>
    <t>RE8N216CPDD</t>
  </si>
  <si>
    <t>SAMSUNG S10 LITE</t>
  </si>
  <si>
    <t>SG62112D605770G</t>
  </si>
  <si>
    <t>R9WN404MGWJ</t>
  </si>
  <si>
    <t>R9WN31TVLGJ</t>
  </si>
  <si>
    <t>MCS-02WR2</t>
  </si>
  <si>
    <t>RB891584549</t>
  </si>
  <si>
    <t>R58T60KDTEL</t>
  </si>
  <si>
    <t>ISABEL OSORIA</t>
  </si>
  <si>
    <t>O-P56</t>
  </si>
  <si>
    <t>R58T514DV9E</t>
  </si>
  <si>
    <t>R37T4M10J45RT3</t>
  </si>
  <si>
    <t>R9WN404MGQJ</t>
  </si>
  <si>
    <t>B78657K1R03684</t>
  </si>
  <si>
    <t>R58T514F7LV</t>
  </si>
  <si>
    <t>SM-A025M</t>
  </si>
  <si>
    <t>R9HR30N14SJ</t>
  </si>
  <si>
    <t>SAMSUNG A02S</t>
  </si>
  <si>
    <t>LIDNIO</t>
  </si>
  <si>
    <t>6NUDU18906008286</t>
  </si>
  <si>
    <t>R37T5BA39Y6DK3</t>
  </si>
  <si>
    <t>864205041101619</t>
  </si>
  <si>
    <t>ALBERTO SHIBATA</t>
  </si>
  <si>
    <t>37635/61ZW09597</t>
  </si>
  <si>
    <t>37822/R2R302927</t>
  </si>
  <si>
    <t>FI6HA6EQS4MZDAKJ</t>
  </si>
  <si>
    <t>IMEI 863837054252367</t>
  </si>
  <si>
    <t>SR622037606629J</t>
  </si>
  <si>
    <t>CARGADOR CELULAR SN:FI6HA6EQS4MZDAKJ</t>
  </si>
  <si>
    <t>37822/R2R302782</t>
  </si>
  <si>
    <t>IMEI 864048060242264</t>
  </si>
  <si>
    <t>FW JA</t>
  </si>
  <si>
    <t>SG62202J344130C</t>
  </si>
  <si>
    <t>CARGADOR CELULAR SN: 37822/R2R302782</t>
  </si>
  <si>
    <t>2201117SL</t>
  </si>
  <si>
    <t>37936/R2Q701445</t>
  </si>
  <si>
    <t>REDMI NOTE 11S</t>
  </si>
  <si>
    <t>MARIA FERNANDA</t>
  </si>
  <si>
    <t>SR622039602822J</t>
  </si>
  <si>
    <t>CARGADOR SN: 37936/R2Q701445</t>
  </si>
  <si>
    <t>R58T60KDRNN</t>
  </si>
  <si>
    <t>SR622031908635G</t>
  </si>
  <si>
    <t>R58T514DWFA</t>
  </si>
  <si>
    <t>R37T4M44JT6RT3</t>
  </si>
  <si>
    <t>R9WN404MEGJ</t>
  </si>
  <si>
    <t>PABLO TAPIA</t>
  </si>
  <si>
    <t>HOCO</t>
  </si>
  <si>
    <t>37820/R2QY20115</t>
  </si>
  <si>
    <t>IMEI 864469068519166</t>
  </si>
  <si>
    <t>GABRIELA VALDEZ</t>
  </si>
  <si>
    <t>MDY-08-EH</t>
  </si>
  <si>
    <t>37799/R2N704275</t>
  </si>
  <si>
    <t>IMEI 860630060468744</t>
  </si>
  <si>
    <t>HW-100225U00</t>
  </si>
  <si>
    <t>HF50E2N5S30510</t>
  </si>
  <si>
    <t>37820/R2QY13721</t>
  </si>
  <si>
    <t>IMEI 864469068720665</t>
  </si>
  <si>
    <t xml:space="preserve">MDY-12-EA </t>
  </si>
  <si>
    <t>SR622031912768G</t>
  </si>
  <si>
    <t>22011178L</t>
  </si>
  <si>
    <t>37938/R2PW06707</t>
  </si>
  <si>
    <t>IMEI 863837053453842</t>
  </si>
  <si>
    <t>SR62201D821898J</t>
  </si>
  <si>
    <t>37799/R2N703897</t>
  </si>
  <si>
    <t>IMEI 866064069526829</t>
  </si>
  <si>
    <t>OPPO</t>
  </si>
  <si>
    <t>OP92JAUH</t>
  </si>
  <si>
    <t>D2213211A1008606</t>
  </si>
  <si>
    <t>37821/R2R802913</t>
  </si>
  <si>
    <t>IMEI 861770065185304</t>
  </si>
  <si>
    <t>JIMMY MEDINA</t>
  </si>
  <si>
    <t>MDY-12-EZ</t>
  </si>
  <si>
    <t>SR62201P305565C</t>
  </si>
  <si>
    <t>GRLAM-000136</t>
  </si>
  <si>
    <t>150GB SSD / 4GB RAM / W10 PRO / AMD RADEON 7</t>
  </si>
  <si>
    <t>MALO / CAMBIO</t>
  </si>
  <si>
    <t>PC NO CIERRA LA TAPA DEL LADO, ESTA OPERATIVA</t>
  </si>
  <si>
    <t>19M38H</t>
  </si>
  <si>
    <t>306NTDV7U018</t>
  </si>
  <si>
    <t>PANTALLA EN BUEN ESTADO, USADO</t>
  </si>
  <si>
    <t>GRLAM-000408</t>
  </si>
  <si>
    <t>21021001508</t>
  </si>
  <si>
    <t>GRLAM-000075</t>
  </si>
  <si>
    <t>Y-U0009</t>
  </si>
  <si>
    <t>1743SC51PH68</t>
  </si>
  <si>
    <t>GRLAM-000519</t>
  </si>
  <si>
    <t>CAMARA WEB</t>
  </si>
  <si>
    <t>TE-9070</t>
  </si>
  <si>
    <t>DNDL2110011655</t>
  </si>
  <si>
    <t>GALAXY A10S</t>
  </si>
  <si>
    <t>4000MAH / 32GB / 2GB</t>
  </si>
  <si>
    <t>GRLAM-000619</t>
  </si>
  <si>
    <t>GRLAM-000393</t>
  </si>
  <si>
    <t>N20C2</t>
  </si>
  <si>
    <t>NHQ82AA0010340F57B3400</t>
  </si>
  <si>
    <t>RUTH QUISPE</t>
  </si>
  <si>
    <t>CADISTA</t>
  </si>
  <si>
    <t>CAMBIO DE TECLADO, SE LE DESPEGARON UNAS LETRAS</t>
  </si>
  <si>
    <t>GRLAM-000092</t>
  </si>
  <si>
    <t>C27F390FHL</t>
  </si>
  <si>
    <t>0P8PHTPK300054E</t>
  </si>
  <si>
    <t>GRLAM-000394</t>
  </si>
  <si>
    <t>GRLAM-000670</t>
  </si>
  <si>
    <t>XBLADE</t>
  </si>
  <si>
    <t>GXB-M307</t>
  </si>
  <si>
    <t>21V02A0004EXP</t>
  </si>
  <si>
    <t>GRLAM-000578</t>
  </si>
  <si>
    <t>AB 008</t>
  </si>
  <si>
    <t>4160AB0080407</t>
  </si>
  <si>
    <t>AN515</t>
  </si>
  <si>
    <t>NHQ59AL00N0270819D3400</t>
  </si>
  <si>
    <t>512GB SSD / 12GB / NVIDIA GTX</t>
  </si>
  <si>
    <t>D12W14N0HCE</t>
  </si>
  <si>
    <t>GRLAM-000467</t>
  </si>
  <si>
    <t>X9H95177800543</t>
  </si>
  <si>
    <t>INOPERATIVO / CAMBIO</t>
  </si>
  <si>
    <t>PENDIENTE MODIFICACION ACTA DE ASIGNACION</t>
  </si>
  <si>
    <t>R2N703897</t>
  </si>
  <si>
    <t>128GB / 4GB / CARCASA / MICA</t>
  </si>
  <si>
    <t>SG62110T207311J</t>
  </si>
  <si>
    <t>ANTRYX / ASUS</t>
  </si>
  <si>
    <t>500GB / 8GB / RADEON</t>
  </si>
  <si>
    <t>306NTCZ6D123</t>
  </si>
  <si>
    <t>KLIPXTREME</t>
  </si>
  <si>
    <t>GRLAM-000100</t>
  </si>
  <si>
    <t>S24F360FHL</t>
  </si>
  <si>
    <t>ZZPWH4ZJ300867R</t>
  </si>
  <si>
    <t>2325MR1297D8</t>
  </si>
  <si>
    <t>X8G7026512</t>
  </si>
  <si>
    <t>IMPRESORA DE OFICINA PAUCARPATA</t>
  </si>
  <si>
    <t>PLOTTER</t>
  </si>
  <si>
    <t>BCLAA-1101</t>
  </si>
  <si>
    <t>CN69R8M016</t>
  </si>
  <si>
    <t>EKM 107</t>
  </si>
  <si>
    <t>SIG X5</t>
  </si>
  <si>
    <t>4389X53175</t>
  </si>
  <si>
    <t>YCHIRO CHIMIZU</t>
  </si>
  <si>
    <t>4389X53193</t>
  </si>
  <si>
    <t>GRLAM-000350</t>
  </si>
  <si>
    <t>M509DA-BR736</t>
  </si>
  <si>
    <t>2024200VYZ</t>
  </si>
  <si>
    <t>CARGADOR PARA LAPTOP - L6N0CV19P23226D</t>
  </si>
  <si>
    <t>GRLAM-000602</t>
  </si>
  <si>
    <t>4160AB0080194</t>
  </si>
  <si>
    <t>Arequipa</t>
  </si>
  <si>
    <t>GRLAM-000374</t>
  </si>
  <si>
    <t>TIENE PAD MOUSE MARCA SIGMA</t>
  </si>
  <si>
    <t>M1N0CV192161047</t>
  </si>
  <si>
    <t>ANTIGUO</t>
  </si>
  <si>
    <t>CARGADOR LAPTOP - M1N0CV192161047</t>
  </si>
  <si>
    <t>21021001284</t>
  </si>
  <si>
    <t>MOUSE COLOR NEGRO + MOUSE PAG</t>
  </si>
  <si>
    <t>GRLAM-000378</t>
  </si>
  <si>
    <t>ADAPTADOR DE RED NEGRO 3,0</t>
  </si>
  <si>
    <t>R9WN404MNHJ</t>
  </si>
  <si>
    <t>DW2J426VS</t>
  </si>
  <si>
    <t>CARGADOR CELULAR  - R9WN404MNHJ</t>
  </si>
  <si>
    <t>Marketing</t>
  </si>
  <si>
    <t>POS (POINT OF SALE)</t>
  </si>
  <si>
    <t>SUNMI / IZIPAY</t>
  </si>
  <si>
    <t>T6820</t>
  </si>
  <si>
    <t>TJ33235E21138</t>
  </si>
  <si>
    <t>CARGADOR POS</t>
  </si>
  <si>
    <t>SHENZEN TIANYIN</t>
  </si>
  <si>
    <t>TPA-23A050200UU01</t>
  </si>
  <si>
    <t>CARGADOR NEGRO / CABLE USB-C</t>
  </si>
  <si>
    <t>PACK PAPEL DE IMPRESION POS</t>
  </si>
  <si>
    <t>5 ROLLOS DE PAPEL DE IMPRESION</t>
  </si>
  <si>
    <t>GRLAM-000594</t>
  </si>
  <si>
    <t xml:space="preserve">AIRBOOM </t>
  </si>
  <si>
    <t>GRLAM-000727</t>
  </si>
  <si>
    <t>2129HS04XTZ8</t>
  </si>
  <si>
    <t>GRLAM-000778</t>
  </si>
  <si>
    <t>2B7ATX</t>
  </si>
  <si>
    <t>NHQ7MAL01U144126353400</t>
  </si>
  <si>
    <t>BIOMETRICO</t>
  </si>
  <si>
    <t>ZKTECO</t>
  </si>
  <si>
    <t>K14 PRO</t>
  </si>
  <si>
    <t>CQUL223460139</t>
  </si>
  <si>
    <t>CARGADOR (BIOMETRICO)</t>
  </si>
  <si>
    <t>HDDTO</t>
  </si>
  <si>
    <t>ADS-6AM-06</t>
  </si>
  <si>
    <t>05040EPCU</t>
  </si>
  <si>
    <t>53392/04TP01450</t>
  </si>
  <si>
    <t>IMEI 865776070705909</t>
  </si>
  <si>
    <t>Celular en reposicion de Vanessa</t>
  </si>
  <si>
    <t>5J62403D102078G</t>
  </si>
  <si>
    <t>CARGADOR CELULAR SN: 53392/04TP01450</t>
  </si>
  <si>
    <t>37938/R2PW06327</t>
  </si>
  <si>
    <t>IMEI: 863837053481405</t>
  </si>
  <si>
    <t>DANTE POCHO</t>
  </si>
  <si>
    <t>CARGADOR CELULAR SN: 37938/R2PW06327</t>
  </si>
  <si>
    <t>37938/R2PW06151</t>
  </si>
  <si>
    <t>SERGIO</t>
  </si>
  <si>
    <t>SR62201C808397J</t>
  </si>
  <si>
    <t>CARGADOR CELULAR SN: 37938/R2PW06151</t>
  </si>
  <si>
    <t>37938/R2PW05122</t>
  </si>
  <si>
    <t>JULISSA</t>
  </si>
  <si>
    <t>37820/R2QY17023</t>
  </si>
  <si>
    <t>REDMI NOTE 11 ( PANTALLA RAJADA)</t>
  </si>
  <si>
    <t>37621/R2R800599</t>
  </si>
  <si>
    <t>SG62201R218888C</t>
  </si>
  <si>
    <t>MORELIA ROMERO</t>
  </si>
  <si>
    <t>BRENDA HANCCO</t>
  </si>
  <si>
    <t>DAMARIS CAMA</t>
  </si>
  <si>
    <t>KAROLAM ROSAS</t>
  </si>
  <si>
    <t>MH</t>
  </si>
  <si>
    <t>MAURICIO MORENO</t>
  </si>
  <si>
    <t>MDY-16-EH</t>
  </si>
  <si>
    <t>BRUNO URRUTIA</t>
  </si>
  <si>
    <t>IRENKA ARAGON</t>
  </si>
  <si>
    <t>LEANDRO SILVA</t>
  </si>
  <si>
    <t>JV</t>
  </si>
  <si>
    <t>DANIELA PACURI</t>
  </si>
  <si>
    <t>NHQ7MAL01V13501C573401</t>
  </si>
  <si>
    <t>GABRIELA</t>
  </si>
  <si>
    <t>ANA  COAILA</t>
  </si>
  <si>
    <t>id</t>
  </si>
  <si>
    <t>codigo</t>
  </si>
  <si>
    <t>nombre</t>
  </si>
  <si>
    <t>marca</t>
  </si>
  <si>
    <t>modelo</t>
  </si>
  <si>
    <t>descripcion</t>
  </si>
  <si>
    <t>categoria</t>
  </si>
  <si>
    <t>stock</t>
  </si>
  <si>
    <t>proveedor</t>
  </si>
  <si>
    <t>fecha_compra</t>
  </si>
  <si>
    <t>fecha_instalacion</t>
  </si>
  <si>
    <t>duracion(m)</t>
  </si>
  <si>
    <t>fecha_caducidad</t>
  </si>
  <si>
    <t>precio_compra</t>
  </si>
  <si>
    <t>ubicacion</t>
  </si>
  <si>
    <t>CARTUCHO DE TINTA</t>
  </si>
  <si>
    <t>BLACK ORIGINAL 38ML</t>
  </si>
  <si>
    <t>CARTUCHO</t>
  </si>
  <si>
    <t>MEMORY KINGS</t>
  </si>
  <si>
    <t>OFI PAUCARPATA</t>
  </si>
  <si>
    <t>CYAN ORIGINAL 29ML</t>
  </si>
  <si>
    <t>MAGENTA ORIGINAL 29ML</t>
  </si>
  <si>
    <t>YELLOW ORIGINAL 29ML</t>
  </si>
  <si>
    <t>BOTELLA DE TINTA</t>
  </si>
  <si>
    <t>BLACK 65ML</t>
  </si>
  <si>
    <t>TINTA</t>
  </si>
  <si>
    <t>OFI SELVA ALEGRE</t>
  </si>
  <si>
    <t>CYAN 65ML</t>
  </si>
  <si>
    <t>MAGENTA 65ML</t>
  </si>
  <si>
    <t>YELLOW 65ML</t>
  </si>
  <si>
    <t>CANALETA</t>
  </si>
  <si>
    <t>SATRA</t>
  </si>
  <si>
    <t>59X22</t>
  </si>
  <si>
    <t>3UN / BLANCO</t>
  </si>
  <si>
    <t>Oficina</t>
  </si>
  <si>
    <t>Bueno</t>
  </si>
  <si>
    <t>39x19</t>
  </si>
  <si>
    <t>2UN / BLANCO</t>
  </si>
  <si>
    <t>15x10</t>
  </si>
  <si>
    <t>1UN / BLANCO</t>
  </si>
  <si>
    <t>50x15</t>
  </si>
  <si>
    <t>1UN / GRIS (PISO PVC)</t>
  </si>
  <si>
    <t>TARJETA RAM</t>
  </si>
  <si>
    <t>SKY</t>
  </si>
  <si>
    <t xml:space="preserve">LAPTOP </t>
  </si>
  <si>
    <t>GRLAM-S00001</t>
  </si>
  <si>
    <t>FUENTE DE PODER</t>
  </si>
  <si>
    <t>MSI</t>
  </si>
  <si>
    <t>GLINK</t>
  </si>
  <si>
    <t>TM-PS401-5M</t>
  </si>
  <si>
    <t>Cable 5 Mtrs</t>
  </si>
  <si>
    <t>Jhonny Abanto</t>
  </si>
  <si>
    <t>POSTVENTA</t>
  </si>
  <si>
    <t>TM-PS401-3M</t>
  </si>
  <si>
    <t>Cable 3 Mtrs</t>
  </si>
  <si>
    <t>Eduardo Herrera</t>
  </si>
  <si>
    <t>Daniel Calcina</t>
  </si>
  <si>
    <t>Daniel Vizcarra</t>
  </si>
  <si>
    <t>REDUCTOR (CANALETA)</t>
  </si>
  <si>
    <t>60X22 A 39X18</t>
  </si>
  <si>
    <t>30UN / BLANCO</t>
  </si>
  <si>
    <t>39X18 A 24X14</t>
  </si>
  <si>
    <t>ESQUINERO PLANO (CANALETA)</t>
  </si>
  <si>
    <t>24X14</t>
  </si>
  <si>
    <t>50UN / BLANCO</t>
  </si>
  <si>
    <t>UNION (CANALETA)</t>
  </si>
  <si>
    <t>UNION T (CANALETA)</t>
  </si>
  <si>
    <t>70UN / BLANCO</t>
  </si>
  <si>
    <t>ANGULO EXTERNO (CANALETA)</t>
  </si>
  <si>
    <t>ANGULO INTERNO (CANALETA)</t>
  </si>
  <si>
    <t>60UN / BLANCO</t>
  </si>
  <si>
    <t>TAPA FINAL (CANALETA)</t>
  </si>
  <si>
    <t>60X22</t>
  </si>
  <si>
    <t>37UN / BLANCO</t>
  </si>
  <si>
    <t>45UN / BLANCO</t>
  </si>
  <si>
    <t>40UN / BLANCO</t>
  </si>
  <si>
    <t>36UN / BLANCO</t>
  </si>
  <si>
    <t>41UN / BLANCO</t>
  </si>
  <si>
    <t>9UN / BLANCO</t>
  </si>
  <si>
    <t>60X40</t>
  </si>
  <si>
    <t>43UN / BLANCO</t>
  </si>
  <si>
    <t>55UN / BLANCO</t>
  </si>
  <si>
    <t>29UN / BLANCO</t>
  </si>
  <si>
    <t>10UN / BLANCO</t>
  </si>
  <si>
    <t>39X19</t>
  </si>
  <si>
    <t>52UN / BLANCO</t>
  </si>
  <si>
    <t>56X22</t>
  </si>
  <si>
    <t>32UN / BLANCO</t>
  </si>
  <si>
    <t xml:space="preserve">CANALETA </t>
  </si>
  <si>
    <t>70GX2</t>
  </si>
  <si>
    <t>2UN / GRIS (PISO PVC)</t>
  </si>
  <si>
    <t>50GX2</t>
  </si>
  <si>
    <t>8UN / GRIS (PISO PVC)</t>
  </si>
  <si>
    <t>20GX2</t>
  </si>
  <si>
    <t>CAJA ADOSABLE</t>
  </si>
  <si>
    <t>E135640</t>
  </si>
  <si>
    <t>CAJA MULTIPLE</t>
  </si>
  <si>
    <t>DEXSON</t>
  </si>
  <si>
    <t>DXN5011S</t>
  </si>
  <si>
    <t>5UN / BLANCO</t>
  </si>
  <si>
    <t>TAPA FRONTAL</t>
  </si>
  <si>
    <t>COMMSCOPE</t>
  </si>
  <si>
    <t>1-2111009-3</t>
  </si>
  <si>
    <t>2 PUERTOS  / 10UN / BLANCO</t>
  </si>
  <si>
    <t>FPA-W02</t>
  </si>
  <si>
    <t>2 PUERTOS  / 33UN / BLANCO</t>
  </si>
  <si>
    <t>CONECTOR JACK</t>
  </si>
  <si>
    <t>1375055-6</t>
  </si>
  <si>
    <t xml:space="preserve"> 21UN </t>
  </si>
  <si>
    <t>CASETE DE CINTA</t>
  </si>
  <si>
    <t>BROTHER</t>
  </si>
  <si>
    <t>TZE-251</t>
  </si>
  <si>
    <t>24MM / 3UN / NEGRO</t>
  </si>
  <si>
    <t>FLEXIBLE ID</t>
  </si>
  <si>
    <t>TZE-FX231</t>
  </si>
  <si>
    <t>12MM / 4UN / NEGRO</t>
  </si>
  <si>
    <t>TZE-231</t>
  </si>
  <si>
    <t>12MM / 3UN / NEGRO</t>
  </si>
  <si>
    <t>2 PUERTOS  / 6UN / BLANCO</t>
  </si>
  <si>
    <t>ESQUINERO PLANO</t>
  </si>
  <si>
    <t>39X18</t>
  </si>
  <si>
    <t>48UN / BLANCO</t>
  </si>
  <si>
    <t>UNION</t>
  </si>
  <si>
    <t>UNION T</t>
  </si>
  <si>
    <t>80UN / BLANCO</t>
  </si>
  <si>
    <t>ANGULO EXTERNO</t>
  </si>
  <si>
    <t>58UN / BLANCO</t>
  </si>
  <si>
    <t>ANGULO INTERNO</t>
  </si>
  <si>
    <t>68UN / BLANCO</t>
  </si>
  <si>
    <t>TAPA FINAL</t>
  </si>
  <si>
    <t>EQUIPO PRINCIPAL</t>
  </si>
  <si>
    <t>Fecha Renovacion</t>
  </si>
  <si>
    <t>Precio Equipo</t>
  </si>
  <si>
    <t>Cant Dias</t>
  </si>
  <si>
    <t>Precio x Dia</t>
  </si>
  <si>
    <t>Fecha Perdida</t>
  </si>
  <si>
    <t>Cant Dias Uso</t>
  </si>
  <si>
    <t>Descuento</t>
  </si>
  <si>
    <t>Pago Final</t>
  </si>
  <si>
    <t>ACCESORIO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</si>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</sst>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S/.]#,##0.00"/>
    <numFmt numFmtId="165" formatCode="d/MM/yyyy"/>
    <numFmt numFmtId="166" formatCode="dd/mm/yyyy"/>
  </numFmts>
  <fonts count="25">
    <font>
      <sz val="11.0"/>
      <color theme="1"/>
      <name val="Calibri"/>
      <scheme val="minor"/>
    </font>
    <font>
      <b/>
      <sz val="8.0"/>
      <color theme="1"/>
      <name val="Calibri"/>
    </font>
    <font>
      <sz val="8.0"/>
      <color theme="1"/>
      <name val="Calibri"/>
    </font>
    <font>
      <sz val="11.0"/>
      <color theme="1"/>
      <name val="Calibri"/>
    </font>
    <font>
      <sz val="8.0"/>
      <color theme="1"/>
      <name val="Calibri"/>
      <scheme val="minor"/>
    </font>
    <font>
      <sz val="8.0"/>
      <color rgb="FF000000"/>
      <name val="Calibri"/>
    </font>
    <font>
      <sz val="8.0"/>
      <color rgb="FF212529"/>
      <name val="Calibri"/>
    </font>
    <font>
      <color theme="1"/>
      <name val="Calibri"/>
      <scheme val="minor"/>
    </font>
    <font>
      <sz val="8.0"/>
      <color rgb="FFFFFFFF"/>
      <name val="Calibri"/>
    </font>
    <font>
      <sz val="8.0"/>
      <color theme="0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color theme="1"/>
      <name val="Calibri"/>
    </font>
    <font>
      <b/>
      <color rgb="FF999999"/>
      <name val="Calibri"/>
    </font>
    <font>
      <b/>
      <sz val="11.0"/>
      <color rgb="FF999999"/>
      <name val="Calibri"/>
      <scheme val="minor"/>
    </font>
    <font>
      <b/>
      <sz val="11.0"/>
      <color rgb="FF999999"/>
      <name val="Calibri"/>
    </font>
    <font>
      <sz val="8.0"/>
      <color theme="1"/>
      <name val="Liberation Serif"/>
    </font>
    <font>
      <sz val="8.0"/>
      <color theme="1"/>
      <name val="&quot;Liberation Sans&quot;"/>
    </font>
    <font>
      <sz val="8.0"/>
      <color theme="1"/>
      <name val="Arial"/>
    </font>
    <font>
      <b/>
      <sz val="8.0"/>
      <color theme="1"/>
      <name val="Arial"/>
    </font>
    <font>
      <b/>
      <sz val="8.0"/>
      <color theme="1"/>
      <name val="Liberation Serif"/>
    </font>
    <font>
      <b/>
      <color rgb="FFFF0000"/>
      <name val="Calibri"/>
      <scheme val="minor"/>
    </font>
    <font>
      <b/>
      <color theme="1"/>
      <name val="Calibri"/>
      <scheme val="minor"/>
    </font>
    <font>
      <color theme="1"/>
      <name val="Arial"/>
    </font>
    <font>
      <u/>
      <sz val="8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3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49" xfId="0" applyAlignment="1" applyFont="1" applyNumberFormat="1">
      <alignment horizontal="left" readingOrder="0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165" xfId="0" applyAlignment="1" applyFont="1" applyNumberFormat="1">
      <alignment horizontal="left"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49" xfId="0" applyAlignment="1" applyFont="1" applyNumberFormat="1">
      <alignment horizontal="lef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12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2" numFmtId="165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2" numFmtId="165" xfId="0" applyAlignment="1" applyFont="1" applyNumberFormat="1">
      <alignment horizontal="left"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2" fontId="2" numFmtId="0" xfId="0" applyAlignment="1" applyFill="1" applyFont="1">
      <alignment horizontal="left" vertical="center"/>
    </xf>
    <xf borderId="0" fillId="2" fontId="2" numFmtId="0" xfId="0" applyAlignment="1" applyFont="1">
      <alignment horizontal="left" readingOrder="0" vertical="center"/>
    </xf>
    <xf borderId="0" fillId="2" fontId="2" numFmtId="49" xfId="0" applyAlignment="1" applyFont="1" applyNumberFormat="1">
      <alignment horizontal="left" readingOrder="0" vertical="center"/>
    </xf>
    <xf borderId="0" fillId="2" fontId="2" numFmtId="0" xfId="0" applyAlignment="1" applyFont="1">
      <alignment readingOrder="0" vertical="center"/>
    </xf>
    <xf borderId="0" fillId="2" fontId="2" numFmtId="165" xfId="0" applyAlignment="1" applyFont="1" applyNumberFormat="1">
      <alignment horizontal="left" readingOrder="0" vertical="center"/>
    </xf>
    <xf borderId="0" fillId="2" fontId="2" numFmtId="164" xfId="0" applyAlignment="1" applyFont="1" applyNumberFormat="1">
      <alignment horizontal="left" readingOrder="0" vertical="center"/>
    </xf>
    <xf borderId="0" fillId="2" fontId="2" numFmtId="164" xfId="0" applyAlignment="1" applyFont="1" applyNumberFormat="1">
      <alignment horizontal="left" readingOrder="0" vertical="center"/>
    </xf>
    <xf borderId="0" fillId="2" fontId="2" numFmtId="0" xfId="0" applyAlignment="1" applyFont="1">
      <alignment horizontal="left" vertical="center"/>
    </xf>
    <xf borderId="0" fillId="2" fontId="2" numFmtId="165" xfId="0" applyAlignment="1" applyFont="1" applyNumberFormat="1">
      <alignment horizontal="left" vertical="center"/>
    </xf>
    <xf borderId="0" fillId="0" fontId="5" numFmtId="12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5" numFmtId="165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3" fontId="6" numFmtId="0" xfId="0" applyAlignment="1" applyFill="1" applyFont="1">
      <alignment readingOrder="0"/>
    </xf>
    <xf borderId="1" fillId="3" fontId="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1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horizontal="left" vertical="center"/>
    </xf>
    <xf borderId="0" fillId="2" fontId="2" numFmtId="164" xfId="0" applyAlignment="1" applyFont="1" applyNumberFormat="1">
      <alignment horizontal="left" vertical="center"/>
    </xf>
    <xf borderId="0" fillId="2" fontId="2" numFmtId="164" xfId="0" applyAlignment="1" applyFont="1" applyNumberFormat="1">
      <alignment horizontal="left" vertical="center"/>
    </xf>
    <xf borderId="0" fillId="4" fontId="2" numFmtId="0" xfId="0" applyAlignment="1" applyFill="1" applyFont="1">
      <alignment horizontal="left" readingOrder="0" vertical="center"/>
    </xf>
    <xf borderId="0" fillId="4" fontId="2" numFmtId="49" xfId="0" applyAlignment="1" applyFont="1" applyNumberFormat="1">
      <alignment horizontal="left" readingOrder="0"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readingOrder="0" vertical="center"/>
    </xf>
    <xf borderId="0" fillId="4" fontId="2" numFmtId="165" xfId="0" applyAlignment="1" applyFont="1" applyNumberFormat="1">
      <alignment horizontal="left" vertical="center"/>
    </xf>
    <xf borderId="0" fillId="4" fontId="2" numFmtId="164" xfId="0" applyAlignment="1" applyFont="1" applyNumberFormat="1">
      <alignment horizontal="left" vertical="center"/>
    </xf>
    <xf borderId="0" fillId="4" fontId="2" numFmtId="164" xfId="0" applyAlignment="1" applyFont="1" applyNumberFormat="1">
      <alignment horizontal="left" vertical="center"/>
    </xf>
    <xf borderId="0" fillId="4" fontId="2" numFmtId="0" xfId="0" applyAlignment="1" applyFont="1">
      <alignment horizontal="left" vertical="center"/>
    </xf>
    <xf borderId="0" fillId="5" fontId="2" numFmtId="0" xfId="0" applyAlignment="1" applyFill="1" applyFont="1">
      <alignment horizontal="left" readingOrder="0" vertical="center"/>
    </xf>
    <xf borderId="0" fillId="5" fontId="2" numFmtId="49" xfId="0" applyAlignment="1" applyFont="1" applyNumberFormat="1">
      <alignment horizontal="left" readingOrder="0" vertical="center"/>
    </xf>
    <xf borderId="0" fillId="6" fontId="2" numFmtId="0" xfId="0" applyAlignment="1" applyFill="1" applyFont="1">
      <alignment horizontal="left" readingOrder="0" vertical="center"/>
    </xf>
    <xf borderId="0" fillId="0" fontId="3" numFmtId="165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6" fontId="2" numFmtId="49" xfId="0" applyAlignment="1" applyFont="1" applyNumberFormat="1">
      <alignment horizontal="left" readingOrder="0" vertical="center"/>
    </xf>
    <xf borderId="0" fillId="6" fontId="7" numFmtId="0" xfId="0" applyFont="1"/>
    <xf borderId="0" fillId="0" fontId="5" numFmtId="164" xfId="0" applyAlignment="1" applyFont="1" applyNumberFormat="1">
      <alignment horizontal="left" vertical="center"/>
    </xf>
    <xf borderId="0" fillId="0" fontId="5" numFmtId="164" xfId="0" applyAlignment="1" applyFont="1" applyNumberFormat="1">
      <alignment horizontal="left" vertical="center"/>
    </xf>
    <xf borderId="0" fillId="5" fontId="8" numFmtId="0" xfId="0" applyAlignment="1" applyFont="1">
      <alignment horizontal="left" vertical="center"/>
    </xf>
    <xf borderId="0" fillId="5" fontId="8" numFmtId="0" xfId="0" applyAlignment="1" applyFont="1">
      <alignment horizontal="left" readingOrder="0" vertical="center"/>
    </xf>
    <xf borderId="0" fillId="5" fontId="8" numFmtId="49" xfId="0" applyAlignment="1" applyFont="1" applyNumberFormat="1">
      <alignment horizontal="left" readingOrder="0" vertical="center"/>
    </xf>
    <xf borderId="0" fillId="5" fontId="8" numFmtId="0" xfId="0" applyAlignment="1" applyFont="1">
      <alignment readingOrder="0" vertical="center"/>
    </xf>
    <xf borderId="0" fillId="5" fontId="8" numFmtId="165" xfId="0" applyAlignment="1" applyFont="1" applyNumberFormat="1">
      <alignment horizontal="left" vertical="center"/>
    </xf>
    <xf borderId="0" fillId="5" fontId="8" numFmtId="164" xfId="0" applyAlignment="1" applyFont="1" applyNumberFormat="1">
      <alignment horizontal="left" vertical="center"/>
    </xf>
    <xf borderId="0" fillId="5" fontId="8" numFmtId="164" xfId="0" applyAlignment="1" applyFont="1" applyNumberFormat="1">
      <alignment horizontal="left" vertical="center"/>
    </xf>
    <xf borderId="0" fillId="5" fontId="8" numFmtId="0" xfId="0" applyAlignment="1" applyFont="1">
      <alignment horizontal="left" vertical="center"/>
    </xf>
    <xf borderId="0" fillId="4" fontId="2" numFmtId="0" xfId="0" applyAlignment="1" applyFont="1">
      <alignment horizontal="left" vertical="center"/>
    </xf>
    <xf borderId="0" fillId="5" fontId="9" numFmtId="0" xfId="0" applyAlignment="1" applyFont="1">
      <alignment horizontal="left" vertical="center"/>
    </xf>
    <xf borderId="0" fillId="5" fontId="9" numFmtId="0" xfId="0" applyAlignment="1" applyFont="1">
      <alignment horizontal="left" readingOrder="0" vertical="center"/>
    </xf>
    <xf borderId="0" fillId="5" fontId="9" numFmtId="49" xfId="0" applyAlignment="1" applyFont="1" applyNumberFormat="1">
      <alignment horizontal="left" readingOrder="0" vertical="center"/>
    </xf>
    <xf borderId="0" fillId="5" fontId="9" numFmtId="0" xfId="0" applyAlignment="1" applyFont="1">
      <alignment readingOrder="0" vertical="center"/>
    </xf>
    <xf borderId="0" fillId="5" fontId="5" numFmtId="0" xfId="0" applyAlignment="1" applyFont="1">
      <alignment readingOrder="0" vertical="center"/>
    </xf>
    <xf borderId="0" fillId="5" fontId="9" numFmtId="165" xfId="0" applyAlignment="1" applyFont="1" applyNumberFormat="1">
      <alignment horizontal="left" readingOrder="0" vertical="center"/>
    </xf>
    <xf borderId="0" fillId="5" fontId="9" numFmtId="164" xfId="0" applyAlignment="1" applyFont="1" applyNumberFormat="1">
      <alignment horizontal="left" readingOrder="0" vertical="center"/>
    </xf>
    <xf borderId="0" fillId="5" fontId="9" numFmtId="164" xfId="0" applyAlignment="1" applyFont="1" applyNumberFormat="1">
      <alignment horizontal="left" readingOrder="0" vertical="center"/>
    </xf>
    <xf borderId="0" fillId="5" fontId="9" numFmtId="0" xfId="0" applyAlignment="1" applyFont="1">
      <alignment horizontal="left" vertical="center"/>
    </xf>
    <xf borderId="0" fillId="5" fontId="9" numFmtId="165" xfId="0" applyAlignment="1" applyFont="1" applyNumberFormat="1">
      <alignment horizontal="left" vertical="center"/>
    </xf>
    <xf borderId="2" fillId="7" fontId="10" numFmtId="0" xfId="0" applyAlignment="1" applyBorder="1" applyFill="1" applyFont="1">
      <alignment horizontal="center" vertical="center"/>
    </xf>
    <xf borderId="2" fillId="7" fontId="10" numFmtId="0" xfId="0" applyAlignment="1" applyBorder="1" applyFont="1">
      <alignment horizontal="center" readingOrder="0" vertical="center"/>
    </xf>
    <xf borderId="2" fillId="7" fontId="10" numFmtId="165" xfId="0" applyAlignment="1" applyBorder="1" applyFont="1" applyNumberFormat="1">
      <alignment horizontal="center" vertical="center"/>
    </xf>
    <xf borderId="2" fillId="7" fontId="11" numFmtId="0" xfId="0" applyAlignment="1" applyBorder="1" applyFont="1">
      <alignment horizontal="center" vertical="center"/>
    </xf>
    <xf borderId="2" fillId="7" fontId="10" numFmtId="164" xfId="0" applyAlignment="1" applyBorder="1" applyFont="1" applyNumberFormat="1">
      <alignment horizontal="center" vertical="center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8" fontId="13" numFmtId="0" xfId="0" applyAlignment="1" applyFill="1" applyFont="1">
      <alignment horizontal="center" readingOrder="0"/>
    </xf>
    <xf borderId="0" fillId="0" fontId="12" numFmtId="165" xfId="0" applyAlignment="1" applyFont="1" applyNumberFormat="1">
      <alignment horizontal="center" readingOrder="0"/>
    </xf>
    <xf borderId="0" fillId="8" fontId="14" numFmtId="165" xfId="0" applyAlignment="1" applyFont="1" applyNumberFormat="1">
      <alignment horizontal="center"/>
    </xf>
    <xf borderId="0" fillId="0" fontId="12" numFmtId="164" xfId="0" applyAlignment="1" applyFont="1" applyNumberFormat="1">
      <alignment horizontal="center" readingOrder="0"/>
    </xf>
    <xf borderId="0" fillId="0" fontId="12" numFmtId="165" xfId="0" applyAlignment="1" applyFont="1" applyNumberFormat="1">
      <alignment horizontal="center"/>
    </xf>
    <xf borderId="0" fillId="8" fontId="13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8" fontId="13" numFmtId="165" xfId="0" applyAlignment="1" applyFont="1" applyNumberFormat="1">
      <alignment horizontal="center"/>
    </xf>
    <xf borderId="0" fillId="0" fontId="12" numFmtId="164" xfId="0" applyAlignment="1" applyFont="1" applyNumberFormat="1">
      <alignment horizontal="center"/>
    </xf>
    <xf borderId="2" fillId="9" fontId="3" numFmtId="0" xfId="0" applyAlignment="1" applyBorder="1" applyFill="1" applyFont="1">
      <alignment horizontal="center" readingOrder="0"/>
    </xf>
    <xf borderId="2" fillId="9" fontId="3" numFmtId="0" xfId="0" applyAlignment="1" applyBorder="1" applyFont="1">
      <alignment horizontal="center"/>
    </xf>
    <xf borderId="2" fillId="9" fontId="3" numFmtId="12" xfId="0" applyAlignment="1" applyBorder="1" applyFont="1" applyNumberFormat="1">
      <alignment horizontal="center"/>
    </xf>
    <xf borderId="2" fillId="9" fontId="3" numFmtId="0" xfId="0" applyBorder="1" applyFont="1"/>
    <xf borderId="2" fillId="9" fontId="3" numFmtId="165" xfId="0" applyBorder="1" applyFont="1" applyNumberFormat="1"/>
    <xf borderId="2" fillId="9" fontId="3" numFmtId="164" xfId="0" applyBorder="1" applyFont="1" applyNumberFormat="1"/>
    <xf borderId="2" fillId="9" fontId="3" numFmtId="164" xfId="0" applyBorder="1" applyFont="1" applyNumberFormat="1"/>
    <xf borderId="2" fillId="10" fontId="3" numFmtId="0" xfId="0" applyAlignment="1" applyBorder="1" applyFill="1" applyFont="1">
      <alignment horizontal="center" readingOrder="0"/>
    </xf>
    <xf borderId="2" fillId="10" fontId="3" numFmtId="0" xfId="0" applyAlignment="1" applyBorder="1" applyFont="1">
      <alignment horizontal="center"/>
    </xf>
    <xf borderId="2" fillId="10" fontId="3" numFmtId="12" xfId="0" applyAlignment="1" applyBorder="1" applyFont="1" applyNumberFormat="1">
      <alignment horizontal="center"/>
    </xf>
    <xf borderId="2" fillId="10" fontId="3" numFmtId="0" xfId="0" applyBorder="1" applyFont="1"/>
    <xf borderId="2" fillId="10" fontId="3" numFmtId="165" xfId="0" applyBorder="1" applyFont="1" applyNumberFormat="1"/>
    <xf borderId="2" fillId="10" fontId="3" numFmtId="164" xfId="0" applyBorder="1" applyFont="1" applyNumberFormat="1"/>
    <xf borderId="2" fillId="10" fontId="3" numFmtId="164" xfId="0" applyBorder="1" applyFont="1" applyNumberFormat="1"/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9" fontId="15" numFmtId="0" xfId="0" applyAlignment="1" applyFont="1">
      <alignment horizontal="center"/>
    </xf>
    <xf borderId="0" fillId="9" fontId="3" numFmtId="165" xfId="0" applyAlignment="1" applyFont="1" applyNumberFormat="1">
      <alignment horizontal="center"/>
    </xf>
    <xf borderId="0" fillId="9" fontId="15" numFmtId="165" xfId="0" applyAlignment="1" applyFont="1" applyNumberFormat="1">
      <alignment horizontal="center"/>
    </xf>
    <xf borderId="0" fillId="9" fontId="3" numFmtId="164" xfId="0" applyAlignment="1" applyFont="1" applyNumberFormat="1">
      <alignment horizontal="center"/>
    </xf>
    <xf borderId="0" fillId="9" fontId="3" numFmtId="0" xfId="0" applyFont="1"/>
    <xf borderId="2" fillId="9" fontId="3" numFmtId="0" xfId="0" applyAlignment="1" applyBorder="1" applyFont="1">
      <alignment horizontal="center" readingOrder="0"/>
    </xf>
    <xf borderId="2" fillId="9" fontId="3" numFmtId="0" xfId="0" applyAlignment="1" applyBorder="1" applyFont="1">
      <alignment horizontal="center" readingOrder="0" vertical="bottom"/>
    </xf>
    <xf borderId="2" fillId="0" fontId="3" numFmtId="12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165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readingOrder="0" vertical="center"/>
    </xf>
    <xf borderId="2" fillId="0" fontId="2" numFmtId="49" xfId="0" applyAlignment="1" applyBorder="1" applyFont="1" applyNumberFormat="1">
      <alignment horizontal="left" readingOrder="0" vertical="center"/>
    </xf>
    <xf borderId="2" fillId="0" fontId="2" numFmtId="165" xfId="0" applyAlignment="1" applyBorder="1" applyFont="1" applyNumberFormat="1">
      <alignment horizontal="left" vertical="center"/>
    </xf>
    <xf borderId="2" fillId="0" fontId="2" numFmtId="164" xfId="0" applyAlignment="1" applyBorder="1" applyFont="1" applyNumberFormat="1">
      <alignment horizontal="left" vertical="center"/>
    </xf>
    <xf borderId="2" fillId="0" fontId="2" numFmtId="164" xfId="0" applyAlignment="1" applyBorder="1" applyFont="1" applyNumberFormat="1">
      <alignment horizontal="left" vertical="center"/>
    </xf>
    <xf borderId="0" fillId="0" fontId="7" numFmtId="0" xfId="0" applyAlignment="1" applyFont="1">
      <alignment readingOrder="0"/>
    </xf>
    <xf borderId="2" fillId="0" fontId="16" numFmtId="0" xfId="0" applyAlignment="1" applyBorder="1" applyFont="1">
      <alignment horizontal="left" readingOrder="0" vertical="bottom"/>
    </xf>
    <xf borderId="0" fillId="0" fontId="17" numFmtId="0" xfId="0" applyAlignment="1" applyFont="1">
      <alignment horizontal="left"/>
    </xf>
    <xf borderId="2" fillId="0" fontId="17" numFmtId="0" xfId="0" applyAlignment="1" applyBorder="1" applyFont="1">
      <alignment horizontal="left" readingOrder="0"/>
    </xf>
    <xf borderId="2" fillId="0" fontId="18" numFmtId="165" xfId="0" applyAlignment="1" applyBorder="1" applyFont="1" applyNumberFormat="1">
      <alignment horizontal="right" readingOrder="0" vertical="bottom"/>
    </xf>
    <xf borderId="2" fillId="0" fontId="19" numFmtId="164" xfId="0" applyAlignment="1" applyBorder="1" applyFont="1" applyNumberFormat="1">
      <alignment horizontal="left" readingOrder="0" vertical="bottom"/>
    </xf>
    <xf borderId="2" fillId="0" fontId="16" numFmtId="3" xfId="0" applyAlignment="1" applyBorder="1" applyFont="1" applyNumberFormat="1">
      <alignment horizontal="right" readingOrder="0" vertical="bottom"/>
    </xf>
    <xf borderId="2" fillId="0" fontId="17" numFmtId="164" xfId="0" applyAlignment="1" applyBorder="1" applyFont="1" applyNumberFormat="1">
      <alignment horizontal="right" readingOrder="0"/>
    </xf>
    <xf borderId="2" fillId="0" fontId="20" numFmtId="164" xfId="0" applyAlignment="1" applyBorder="1" applyFont="1" applyNumberFormat="1">
      <alignment horizontal="left" readingOrder="0" vertical="bottom"/>
    </xf>
    <xf borderId="2" fillId="0" fontId="21" numFmtId="164" xfId="0" applyBorder="1" applyFont="1" applyNumberFormat="1"/>
    <xf borderId="0" fillId="0" fontId="22" numFmtId="0" xfId="0" applyAlignment="1" applyFont="1">
      <alignment readingOrder="0"/>
    </xf>
    <xf borderId="0" fillId="0" fontId="22" numFmtId="164" xfId="0" applyFont="1" applyNumberFormat="1"/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3" numFmtId="165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2" fontId="23" numFmtId="165" xfId="0" applyAlignment="1" applyFont="1" applyNumberFormat="1">
      <alignment vertical="bottom"/>
    </xf>
    <xf borderId="0" fillId="2" fontId="2" numFmtId="49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3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3" numFmtId="1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3" numFmtId="49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1.71"/>
    <col customWidth="1" min="4" max="4" width="18.43"/>
    <col customWidth="1" min="5" max="5" width="19.86"/>
    <col customWidth="1" min="6" max="6" width="34.43"/>
    <col customWidth="1" min="7" max="7" width="19.29"/>
    <col customWidth="1" min="8" max="8" width="10.0"/>
    <col customWidth="1" min="9" max="9" width="15.86"/>
    <col customWidth="1" min="10" max="10" width="17.57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6"/>
      <c r="U1" s="6"/>
      <c r="V1" s="6"/>
      <c r="W1" s="6"/>
      <c r="X1" s="6"/>
      <c r="Y1" s="6"/>
      <c r="Z1" s="6"/>
    </row>
    <row r="2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7" t="s">
        <v>30</v>
      </c>
      <c r="B3" s="8" t="s">
        <v>20</v>
      </c>
      <c r="C3" s="8" t="s">
        <v>21</v>
      </c>
      <c r="D3" s="8" t="s">
        <v>22</v>
      </c>
      <c r="E3" s="9" t="s">
        <v>31</v>
      </c>
      <c r="F3" s="8" t="s">
        <v>24</v>
      </c>
      <c r="G3" s="8" t="s">
        <v>32</v>
      </c>
      <c r="H3" s="8" t="s">
        <v>26</v>
      </c>
      <c r="I3" s="8" t="s">
        <v>27</v>
      </c>
      <c r="J3" s="8" t="s">
        <v>28</v>
      </c>
      <c r="K3" s="8" t="s">
        <v>29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 t="s">
        <v>33</v>
      </c>
      <c r="B4" s="8" t="s">
        <v>34</v>
      </c>
      <c r="C4" s="8" t="s">
        <v>35</v>
      </c>
      <c r="D4" s="8" t="s">
        <v>36</v>
      </c>
      <c r="E4" s="9" t="s">
        <v>37</v>
      </c>
      <c r="F4" s="8" t="s">
        <v>38</v>
      </c>
      <c r="G4" s="8" t="s">
        <v>25</v>
      </c>
      <c r="H4" s="8" t="s">
        <v>26</v>
      </c>
      <c r="I4" s="8" t="s">
        <v>27</v>
      </c>
      <c r="J4" s="8" t="s">
        <v>28</v>
      </c>
      <c r="K4" s="8" t="s">
        <v>29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 t="s">
        <v>39</v>
      </c>
      <c r="B5" s="8" t="s">
        <v>34</v>
      </c>
      <c r="C5" s="8" t="s">
        <v>35</v>
      </c>
      <c r="D5" s="8" t="s">
        <v>36</v>
      </c>
      <c r="E5" s="9" t="s">
        <v>37</v>
      </c>
      <c r="F5" s="8" t="s">
        <v>38</v>
      </c>
      <c r="G5" s="8" t="s">
        <v>32</v>
      </c>
      <c r="H5" s="8" t="s">
        <v>26</v>
      </c>
      <c r="I5" s="8" t="s">
        <v>27</v>
      </c>
      <c r="J5" s="8" t="s">
        <v>28</v>
      </c>
      <c r="K5" s="8" t="s">
        <v>29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 t="s">
        <v>40</v>
      </c>
      <c r="B6" s="8" t="s">
        <v>41</v>
      </c>
      <c r="C6" s="8" t="s">
        <v>35</v>
      </c>
      <c r="D6" s="8" t="s">
        <v>42</v>
      </c>
      <c r="E6" s="9" t="s">
        <v>43</v>
      </c>
      <c r="F6" s="8" t="s">
        <v>44</v>
      </c>
      <c r="G6" s="8" t="s">
        <v>25</v>
      </c>
      <c r="H6" s="8" t="s">
        <v>26</v>
      </c>
      <c r="I6" s="8" t="s">
        <v>27</v>
      </c>
      <c r="J6" s="8" t="s">
        <v>28</v>
      </c>
      <c r="K6" s="8" t="s">
        <v>29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 t="s">
        <v>45</v>
      </c>
      <c r="B7" s="8" t="s">
        <v>41</v>
      </c>
      <c r="C7" s="8" t="s">
        <v>33</v>
      </c>
      <c r="D7" s="8" t="s">
        <v>33</v>
      </c>
      <c r="E7" s="9" t="s">
        <v>33</v>
      </c>
      <c r="F7" s="8" t="s">
        <v>44</v>
      </c>
      <c r="G7" s="8" t="s">
        <v>32</v>
      </c>
      <c r="H7" s="8" t="s">
        <v>26</v>
      </c>
      <c r="I7" s="8" t="s">
        <v>27</v>
      </c>
      <c r="J7" s="8" t="s">
        <v>28</v>
      </c>
      <c r="K7" s="8" t="s">
        <v>29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 t="s">
        <v>46</v>
      </c>
      <c r="B8" s="8" t="s">
        <v>47</v>
      </c>
      <c r="C8" s="8" t="s">
        <v>48</v>
      </c>
      <c r="D8" s="8" t="s">
        <v>49</v>
      </c>
      <c r="E8" s="9" t="s">
        <v>50</v>
      </c>
      <c r="F8" s="8" t="s">
        <v>51</v>
      </c>
      <c r="G8" s="8" t="s">
        <v>25</v>
      </c>
      <c r="H8" s="8" t="s">
        <v>26</v>
      </c>
      <c r="I8" s="8" t="s">
        <v>27</v>
      </c>
      <c r="J8" s="8" t="s">
        <v>28</v>
      </c>
      <c r="K8" s="8" t="s">
        <v>52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 t="s">
        <v>33</v>
      </c>
      <c r="B9" s="8" t="s">
        <v>47</v>
      </c>
      <c r="C9" s="8" t="s">
        <v>48</v>
      </c>
      <c r="D9" s="8" t="s">
        <v>53</v>
      </c>
      <c r="E9" s="9" t="s">
        <v>54</v>
      </c>
      <c r="F9" s="8" t="s">
        <v>51</v>
      </c>
      <c r="G9" s="8" t="s">
        <v>32</v>
      </c>
      <c r="H9" s="8" t="s">
        <v>26</v>
      </c>
      <c r="I9" s="8" t="s">
        <v>27</v>
      </c>
      <c r="J9" s="8" t="s">
        <v>28</v>
      </c>
      <c r="K9" s="8" t="s">
        <v>55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" t="s">
        <v>33</v>
      </c>
      <c r="B10" s="8" t="s">
        <v>56</v>
      </c>
      <c r="C10" s="8" t="s">
        <v>57</v>
      </c>
      <c r="D10" s="1" t="s">
        <v>33</v>
      </c>
      <c r="E10" s="9" t="s">
        <v>33</v>
      </c>
      <c r="F10" s="8" t="s">
        <v>33</v>
      </c>
      <c r="G10" s="8" t="s">
        <v>25</v>
      </c>
      <c r="H10" s="8" t="s">
        <v>26</v>
      </c>
      <c r="I10" s="8" t="s">
        <v>27</v>
      </c>
      <c r="J10" s="8" t="s">
        <v>28</v>
      </c>
      <c r="K10" s="8" t="s">
        <v>55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7" t="s">
        <v>33</v>
      </c>
      <c r="B11" s="8" t="s">
        <v>56</v>
      </c>
      <c r="C11" s="8" t="s">
        <v>57</v>
      </c>
      <c r="D11" s="8" t="s">
        <v>33</v>
      </c>
      <c r="E11" s="9" t="s">
        <v>33</v>
      </c>
      <c r="F11" s="8" t="s">
        <v>58</v>
      </c>
      <c r="G11" s="8" t="s">
        <v>32</v>
      </c>
      <c r="H11" s="8" t="s">
        <v>26</v>
      </c>
      <c r="I11" s="8" t="s">
        <v>27</v>
      </c>
      <c r="J11" s="8" t="s">
        <v>28</v>
      </c>
      <c r="K11" s="8" t="s">
        <v>55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7" t="s">
        <v>33</v>
      </c>
      <c r="B12" s="8" t="s">
        <v>59</v>
      </c>
      <c r="C12" s="8" t="s">
        <v>60</v>
      </c>
      <c r="D12" s="8" t="s">
        <v>61</v>
      </c>
      <c r="E12" s="9" t="s">
        <v>62</v>
      </c>
      <c r="F12" s="8" t="s">
        <v>63</v>
      </c>
      <c r="G12" s="8" t="s">
        <v>25</v>
      </c>
      <c r="H12" s="8" t="s">
        <v>26</v>
      </c>
      <c r="I12" s="8" t="s">
        <v>27</v>
      </c>
      <c r="J12" s="8" t="s">
        <v>28</v>
      </c>
      <c r="K12" s="8" t="s">
        <v>29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7" t="s">
        <v>33</v>
      </c>
      <c r="B13" s="8" t="s">
        <v>59</v>
      </c>
      <c r="C13" s="8" t="s">
        <v>60</v>
      </c>
      <c r="D13" s="8" t="s">
        <v>64</v>
      </c>
      <c r="E13" s="9" t="s">
        <v>33</v>
      </c>
      <c r="F13" s="8" t="s">
        <v>63</v>
      </c>
      <c r="G13" s="8" t="s">
        <v>32</v>
      </c>
      <c r="H13" s="8" t="s">
        <v>26</v>
      </c>
      <c r="I13" s="8" t="s">
        <v>27</v>
      </c>
      <c r="J13" s="8" t="s">
        <v>28</v>
      </c>
      <c r="K13" s="8" t="s">
        <v>65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 t="s">
        <v>66</v>
      </c>
      <c r="B14" s="8" t="s">
        <v>67</v>
      </c>
      <c r="C14" s="8" t="s">
        <v>68</v>
      </c>
      <c r="D14" s="8" t="s">
        <v>69</v>
      </c>
      <c r="E14" s="9" t="s">
        <v>70</v>
      </c>
      <c r="F14" s="8" t="s">
        <v>71</v>
      </c>
      <c r="G14" s="8" t="s">
        <v>72</v>
      </c>
      <c r="H14" s="8" t="s">
        <v>26</v>
      </c>
      <c r="I14" s="8" t="s">
        <v>27</v>
      </c>
      <c r="J14" s="8" t="s">
        <v>28</v>
      </c>
      <c r="K14" s="8" t="s">
        <v>29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" t="s">
        <v>73</v>
      </c>
      <c r="B15" s="8" t="s">
        <v>74</v>
      </c>
      <c r="C15" s="8" t="s">
        <v>75</v>
      </c>
      <c r="D15" s="8" t="s">
        <v>76</v>
      </c>
      <c r="E15" s="9" t="s">
        <v>33</v>
      </c>
      <c r="F15" s="8" t="s">
        <v>77</v>
      </c>
      <c r="G15" s="8" t="s">
        <v>72</v>
      </c>
      <c r="H15" s="8" t="s">
        <v>26</v>
      </c>
      <c r="I15" s="8" t="s">
        <v>27</v>
      </c>
      <c r="J15" s="8" t="s">
        <v>28</v>
      </c>
      <c r="K15" s="8" t="s">
        <v>29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7" t="s">
        <v>78</v>
      </c>
      <c r="B16" s="8" t="s">
        <v>79</v>
      </c>
      <c r="C16" s="8" t="s">
        <v>80</v>
      </c>
      <c r="D16" s="8" t="s">
        <v>81</v>
      </c>
      <c r="E16" s="9" t="s">
        <v>82</v>
      </c>
      <c r="F16" s="8" t="s">
        <v>83</v>
      </c>
      <c r="G16" s="8" t="s">
        <v>84</v>
      </c>
      <c r="H16" s="8" t="s">
        <v>26</v>
      </c>
      <c r="I16" s="8" t="s">
        <v>27</v>
      </c>
      <c r="J16" s="8" t="s">
        <v>28</v>
      </c>
      <c r="K16" s="8" t="s">
        <v>29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7" t="s">
        <v>33</v>
      </c>
      <c r="B17" s="8" t="s">
        <v>85</v>
      </c>
      <c r="C17" s="8" t="s">
        <v>86</v>
      </c>
      <c r="D17" s="8" t="s">
        <v>33</v>
      </c>
      <c r="E17" s="9" t="s">
        <v>33</v>
      </c>
      <c r="F17" s="8" t="s">
        <v>87</v>
      </c>
      <c r="G17" s="8" t="s">
        <v>84</v>
      </c>
      <c r="H17" s="8" t="s">
        <v>26</v>
      </c>
      <c r="I17" s="8" t="s">
        <v>27</v>
      </c>
      <c r="J17" s="8" t="s">
        <v>28</v>
      </c>
      <c r="K17" s="8" t="s">
        <v>29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7" t="s">
        <v>33</v>
      </c>
      <c r="B18" s="8" t="s">
        <v>85</v>
      </c>
      <c r="C18" s="8" t="s">
        <v>86</v>
      </c>
      <c r="D18" s="8" t="s">
        <v>33</v>
      </c>
      <c r="E18" s="9" t="s">
        <v>33</v>
      </c>
      <c r="F18" s="8" t="s">
        <v>87</v>
      </c>
      <c r="G18" s="8" t="s">
        <v>84</v>
      </c>
      <c r="H18" s="8" t="s">
        <v>26</v>
      </c>
      <c r="I18" s="8" t="s">
        <v>27</v>
      </c>
      <c r="J18" s="8" t="s">
        <v>28</v>
      </c>
      <c r="K18" s="8" t="s">
        <v>29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7" t="s">
        <v>33</v>
      </c>
      <c r="B19" s="8" t="s">
        <v>85</v>
      </c>
      <c r="C19" s="8" t="s">
        <v>86</v>
      </c>
      <c r="D19" s="8" t="s">
        <v>33</v>
      </c>
      <c r="E19" s="9" t="s">
        <v>33</v>
      </c>
      <c r="F19" s="8" t="s">
        <v>87</v>
      </c>
      <c r="G19" s="8" t="s">
        <v>84</v>
      </c>
      <c r="H19" s="8" t="s">
        <v>26</v>
      </c>
      <c r="I19" s="8" t="s">
        <v>27</v>
      </c>
      <c r="J19" s="8" t="s">
        <v>28</v>
      </c>
      <c r="K19" s="8" t="s">
        <v>29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7" t="s">
        <v>33</v>
      </c>
      <c r="B20" s="8" t="s">
        <v>85</v>
      </c>
      <c r="C20" s="8" t="s">
        <v>86</v>
      </c>
      <c r="D20" s="8" t="s">
        <v>88</v>
      </c>
      <c r="E20" s="9" t="s">
        <v>89</v>
      </c>
      <c r="F20" s="8" t="s">
        <v>90</v>
      </c>
      <c r="G20" s="8" t="s">
        <v>84</v>
      </c>
      <c r="H20" s="8" t="s">
        <v>26</v>
      </c>
      <c r="I20" s="8" t="s">
        <v>91</v>
      </c>
      <c r="J20" s="8" t="s">
        <v>92</v>
      </c>
      <c r="K20" s="8" t="s">
        <v>29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7" t="s">
        <v>33</v>
      </c>
      <c r="B21" s="8" t="s">
        <v>93</v>
      </c>
      <c r="C21" s="8" t="s">
        <v>86</v>
      </c>
      <c r="D21" s="8" t="s">
        <v>94</v>
      </c>
      <c r="E21" s="9" t="s">
        <v>95</v>
      </c>
      <c r="F21" s="8" t="s">
        <v>96</v>
      </c>
      <c r="G21" s="8" t="s">
        <v>84</v>
      </c>
      <c r="H21" s="8" t="s">
        <v>26</v>
      </c>
      <c r="I21" s="8" t="s">
        <v>91</v>
      </c>
      <c r="J21" s="8" t="s">
        <v>92</v>
      </c>
      <c r="K21" s="8" t="s">
        <v>29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 t="s">
        <v>97</v>
      </c>
      <c r="B22" s="8" t="s">
        <v>98</v>
      </c>
      <c r="C22" s="8" t="s">
        <v>99</v>
      </c>
      <c r="D22" s="8" t="s">
        <v>100</v>
      </c>
      <c r="E22" s="9" t="s">
        <v>101</v>
      </c>
      <c r="F22" s="8" t="s">
        <v>102</v>
      </c>
      <c r="G22" s="8" t="s">
        <v>84</v>
      </c>
      <c r="H22" s="8" t="s">
        <v>103</v>
      </c>
      <c r="I22" s="8" t="s">
        <v>27</v>
      </c>
      <c r="J22" s="8" t="s">
        <v>28</v>
      </c>
      <c r="K22" s="8" t="s">
        <v>29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 t="s">
        <v>33</v>
      </c>
      <c r="B23" s="8" t="s">
        <v>104</v>
      </c>
      <c r="C23" s="8" t="s">
        <v>99</v>
      </c>
      <c r="D23" s="8" t="s">
        <v>105</v>
      </c>
      <c r="E23" s="9" t="s">
        <v>106</v>
      </c>
      <c r="F23" s="8" t="s">
        <v>107</v>
      </c>
      <c r="G23" s="8" t="s">
        <v>84</v>
      </c>
      <c r="H23" s="8" t="s">
        <v>103</v>
      </c>
      <c r="I23" s="8" t="s">
        <v>27</v>
      </c>
      <c r="J23" s="8" t="s">
        <v>28</v>
      </c>
      <c r="K23" s="8" t="s">
        <v>29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 t="s">
        <v>33</v>
      </c>
      <c r="B24" s="8" t="s">
        <v>79</v>
      </c>
      <c r="C24" s="8" t="s">
        <v>108</v>
      </c>
      <c r="D24" s="8" t="s">
        <v>109</v>
      </c>
      <c r="E24" s="9" t="s">
        <v>110</v>
      </c>
      <c r="F24" s="8" t="s">
        <v>83</v>
      </c>
      <c r="G24" s="8" t="s">
        <v>84</v>
      </c>
      <c r="H24" s="8" t="s">
        <v>103</v>
      </c>
      <c r="I24" s="8" t="s">
        <v>27</v>
      </c>
      <c r="J24" s="8" t="s">
        <v>28</v>
      </c>
      <c r="K24" s="8" t="s">
        <v>29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 t="s">
        <v>111</v>
      </c>
      <c r="B25" s="8" t="s">
        <v>47</v>
      </c>
      <c r="C25" s="8" t="s">
        <v>99</v>
      </c>
      <c r="D25" s="8" t="s">
        <v>112</v>
      </c>
      <c r="E25" s="9" t="s">
        <v>113</v>
      </c>
      <c r="F25" s="8" t="s">
        <v>51</v>
      </c>
      <c r="G25" s="8" t="s">
        <v>114</v>
      </c>
      <c r="H25" s="8" t="s">
        <v>103</v>
      </c>
      <c r="I25" s="8" t="s">
        <v>27</v>
      </c>
      <c r="J25" s="8" t="s">
        <v>28</v>
      </c>
      <c r="K25" s="8" t="s">
        <v>29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 t="s">
        <v>33</v>
      </c>
      <c r="B26" s="8" t="s">
        <v>104</v>
      </c>
      <c r="C26" s="8" t="s">
        <v>99</v>
      </c>
      <c r="D26" s="8" t="s">
        <v>115</v>
      </c>
      <c r="E26" s="9" t="s">
        <v>116</v>
      </c>
      <c r="F26" s="8" t="s">
        <v>107</v>
      </c>
      <c r="G26" s="8" t="s">
        <v>114</v>
      </c>
      <c r="H26" s="8" t="s">
        <v>103</v>
      </c>
      <c r="I26" s="8" t="s">
        <v>27</v>
      </c>
      <c r="J26" s="8" t="s">
        <v>28</v>
      </c>
      <c r="K26" s="8" t="s">
        <v>117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 t="s">
        <v>33</v>
      </c>
      <c r="B27" s="8" t="s">
        <v>118</v>
      </c>
      <c r="C27" s="8" t="s">
        <v>119</v>
      </c>
      <c r="D27" s="8" t="s">
        <v>120</v>
      </c>
      <c r="E27" s="9" t="s">
        <v>33</v>
      </c>
      <c r="F27" s="8" t="s">
        <v>121</v>
      </c>
      <c r="G27" s="8" t="s">
        <v>114</v>
      </c>
      <c r="H27" s="8" t="s">
        <v>103</v>
      </c>
      <c r="I27" s="8" t="s">
        <v>27</v>
      </c>
      <c r="J27" s="8" t="s">
        <v>28</v>
      </c>
      <c r="K27" s="8" t="s">
        <v>55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 t="s">
        <v>122</v>
      </c>
      <c r="B28" s="8" t="s">
        <v>20</v>
      </c>
      <c r="C28" s="8" t="s">
        <v>21</v>
      </c>
      <c r="D28" s="8" t="s">
        <v>22</v>
      </c>
      <c r="E28" s="9" t="s">
        <v>123</v>
      </c>
      <c r="F28" s="8" t="s">
        <v>24</v>
      </c>
      <c r="G28" s="8" t="s">
        <v>114</v>
      </c>
      <c r="H28" s="8" t="s">
        <v>103</v>
      </c>
      <c r="I28" s="8" t="s">
        <v>27</v>
      </c>
      <c r="J28" s="8" t="s">
        <v>28</v>
      </c>
      <c r="K28" s="8" t="s">
        <v>29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8" t="s">
        <v>124</v>
      </c>
      <c r="B29" s="8" t="s">
        <v>67</v>
      </c>
      <c r="C29" s="8" t="s">
        <v>125</v>
      </c>
      <c r="D29" s="8" t="s">
        <v>126</v>
      </c>
      <c r="E29" s="9" t="s">
        <v>127</v>
      </c>
      <c r="F29" s="8" t="s">
        <v>128</v>
      </c>
      <c r="G29" s="8" t="s">
        <v>129</v>
      </c>
      <c r="H29" s="8" t="s">
        <v>103</v>
      </c>
      <c r="I29" s="8" t="s">
        <v>91</v>
      </c>
      <c r="J29" s="8" t="s">
        <v>130</v>
      </c>
      <c r="K29" s="8" t="s">
        <v>29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8" t="s">
        <v>131</v>
      </c>
      <c r="B30" s="8" t="s">
        <v>132</v>
      </c>
      <c r="C30" s="8" t="s">
        <v>125</v>
      </c>
      <c r="D30" s="8" t="s">
        <v>133</v>
      </c>
      <c r="E30" s="9" t="s">
        <v>33</v>
      </c>
      <c r="F30" s="8" t="s">
        <v>134</v>
      </c>
      <c r="G30" s="8" t="s">
        <v>129</v>
      </c>
      <c r="H30" s="8" t="s">
        <v>103</v>
      </c>
      <c r="I30" s="8" t="s">
        <v>91</v>
      </c>
      <c r="J30" s="8" t="s">
        <v>130</v>
      </c>
      <c r="K30" s="8" t="s">
        <v>29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8" t="s">
        <v>135</v>
      </c>
      <c r="B31" s="8" t="s">
        <v>74</v>
      </c>
      <c r="C31" s="8" t="s">
        <v>136</v>
      </c>
      <c r="D31" s="8" t="s">
        <v>33</v>
      </c>
      <c r="E31" s="9" t="s">
        <v>33</v>
      </c>
      <c r="F31" s="8" t="s">
        <v>137</v>
      </c>
      <c r="G31" s="8" t="s">
        <v>129</v>
      </c>
      <c r="H31" s="8" t="s">
        <v>103</v>
      </c>
      <c r="I31" s="8" t="s">
        <v>91</v>
      </c>
      <c r="J31" s="8" t="s">
        <v>130</v>
      </c>
      <c r="K31" s="8" t="s">
        <v>29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 t="s">
        <v>138</v>
      </c>
      <c r="B32" s="8" t="s">
        <v>34</v>
      </c>
      <c r="C32" s="8" t="s">
        <v>139</v>
      </c>
      <c r="D32" s="8" t="s">
        <v>33</v>
      </c>
      <c r="E32" s="9" t="s">
        <v>140</v>
      </c>
      <c r="F32" s="8" t="s">
        <v>33</v>
      </c>
      <c r="G32" s="8" t="s">
        <v>129</v>
      </c>
      <c r="H32" s="8" t="s">
        <v>103</v>
      </c>
      <c r="I32" s="8" t="s">
        <v>91</v>
      </c>
      <c r="J32" s="8" t="s">
        <v>130</v>
      </c>
      <c r="K32" s="8" t="s">
        <v>29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 t="s">
        <v>141</v>
      </c>
      <c r="B33" s="8" t="s">
        <v>79</v>
      </c>
      <c r="C33" s="8" t="s">
        <v>80</v>
      </c>
      <c r="D33" s="8" t="s">
        <v>109</v>
      </c>
      <c r="E33" s="9" t="s">
        <v>142</v>
      </c>
      <c r="F33" s="8" t="s">
        <v>83</v>
      </c>
      <c r="G33" s="8" t="s">
        <v>84</v>
      </c>
      <c r="H33" s="8" t="s">
        <v>143</v>
      </c>
      <c r="I33" s="8" t="s">
        <v>27</v>
      </c>
      <c r="J33" s="8" t="s">
        <v>28</v>
      </c>
      <c r="K33" s="8" t="s">
        <v>29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 t="s">
        <v>144</v>
      </c>
      <c r="B34" s="8" t="s">
        <v>47</v>
      </c>
      <c r="C34" s="8" t="s">
        <v>145</v>
      </c>
      <c r="D34" s="8" t="s">
        <v>33</v>
      </c>
      <c r="E34" s="9" t="s">
        <v>146</v>
      </c>
      <c r="F34" s="8" t="s">
        <v>147</v>
      </c>
      <c r="G34" s="8" t="s">
        <v>148</v>
      </c>
      <c r="H34" s="8" t="s">
        <v>143</v>
      </c>
      <c r="I34" s="8" t="s">
        <v>27</v>
      </c>
      <c r="J34" s="8" t="s">
        <v>28</v>
      </c>
      <c r="K34" s="8" t="s">
        <v>33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7" t="s">
        <v>33</v>
      </c>
      <c r="B35" s="8" t="s">
        <v>118</v>
      </c>
      <c r="C35" s="8" t="s">
        <v>119</v>
      </c>
      <c r="D35" s="8" t="s">
        <v>149</v>
      </c>
      <c r="E35" s="9" t="s">
        <v>33</v>
      </c>
      <c r="F35" s="8" t="s">
        <v>150</v>
      </c>
      <c r="G35" s="8" t="s">
        <v>148</v>
      </c>
      <c r="H35" s="8" t="s">
        <v>143</v>
      </c>
      <c r="I35" s="8" t="s">
        <v>27</v>
      </c>
      <c r="J35" s="8" t="s">
        <v>28</v>
      </c>
      <c r="K35" s="8" t="s">
        <v>33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7" t="s">
        <v>33</v>
      </c>
      <c r="B36" s="8" t="s">
        <v>20</v>
      </c>
      <c r="C36" s="8" t="s">
        <v>21</v>
      </c>
      <c r="D36" s="8" t="s">
        <v>22</v>
      </c>
      <c r="E36" s="9" t="s">
        <v>151</v>
      </c>
      <c r="F36" s="8" t="s">
        <v>24</v>
      </c>
      <c r="G36" s="8" t="s">
        <v>148</v>
      </c>
      <c r="H36" s="8" t="s">
        <v>143</v>
      </c>
      <c r="I36" s="8" t="s">
        <v>27</v>
      </c>
      <c r="J36" s="8" t="s">
        <v>28</v>
      </c>
      <c r="K36" s="8" t="s">
        <v>29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7" t="s">
        <v>152</v>
      </c>
      <c r="B37" s="8" t="s">
        <v>34</v>
      </c>
      <c r="C37" s="8" t="s">
        <v>153</v>
      </c>
      <c r="D37" s="8" t="s">
        <v>154</v>
      </c>
      <c r="E37" s="9" t="s">
        <v>33</v>
      </c>
      <c r="F37" s="8" t="s">
        <v>155</v>
      </c>
      <c r="G37" s="8" t="s">
        <v>148</v>
      </c>
      <c r="H37" s="8" t="s">
        <v>143</v>
      </c>
      <c r="I37" s="8" t="s">
        <v>27</v>
      </c>
      <c r="J37" s="8" t="s">
        <v>28</v>
      </c>
      <c r="K37" s="8" t="s">
        <v>33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7" t="s">
        <v>33</v>
      </c>
      <c r="B38" s="8" t="s">
        <v>41</v>
      </c>
      <c r="C38" s="8" t="s">
        <v>156</v>
      </c>
      <c r="D38" s="8" t="s">
        <v>157</v>
      </c>
      <c r="E38" s="9" t="s">
        <v>158</v>
      </c>
      <c r="F38" s="8" t="s">
        <v>33</v>
      </c>
      <c r="G38" s="8" t="s">
        <v>148</v>
      </c>
      <c r="H38" s="8" t="s">
        <v>143</v>
      </c>
      <c r="I38" s="8" t="s">
        <v>27</v>
      </c>
      <c r="J38" s="8" t="s">
        <v>28</v>
      </c>
      <c r="K38" s="8" t="s">
        <v>33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7" t="s">
        <v>159</v>
      </c>
      <c r="B39" s="8" t="s">
        <v>47</v>
      </c>
      <c r="C39" s="8" t="s">
        <v>48</v>
      </c>
      <c r="D39" s="8" t="s">
        <v>160</v>
      </c>
      <c r="E39" s="9" t="s">
        <v>161</v>
      </c>
      <c r="F39" s="8" t="s">
        <v>147</v>
      </c>
      <c r="G39" s="8" t="s">
        <v>162</v>
      </c>
      <c r="H39" s="8" t="s">
        <v>143</v>
      </c>
      <c r="I39" s="8" t="s">
        <v>27</v>
      </c>
      <c r="J39" s="8" t="s">
        <v>28</v>
      </c>
      <c r="K39" s="8" t="s">
        <v>33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7" t="s">
        <v>33</v>
      </c>
      <c r="B40" s="8" t="s">
        <v>118</v>
      </c>
      <c r="C40" s="8" t="s">
        <v>119</v>
      </c>
      <c r="D40" s="8" t="s">
        <v>149</v>
      </c>
      <c r="E40" s="9" t="s">
        <v>33</v>
      </c>
      <c r="F40" s="8" t="s">
        <v>163</v>
      </c>
      <c r="G40" s="8" t="s">
        <v>162</v>
      </c>
      <c r="H40" s="8" t="s">
        <v>143</v>
      </c>
      <c r="I40" s="8" t="s">
        <v>27</v>
      </c>
      <c r="J40" s="8" t="s">
        <v>28</v>
      </c>
      <c r="K40" s="8" t="s">
        <v>33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7" t="s">
        <v>164</v>
      </c>
      <c r="B41" s="8" t="s">
        <v>20</v>
      </c>
      <c r="C41" s="8" t="s">
        <v>21</v>
      </c>
      <c r="D41" s="8" t="s">
        <v>22</v>
      </c>
      <c r="E41" s="9" t="s">
        <v>165</v>
      </c>
      <c r="F41" s="8" t="s">
        <v>24</v>
      </c>
      <c r="G41" s="8" t="s">
        <v>162</v>
      </c>
      <c r="H41" s="8" t="s">
        <v>143</v>
      </c>
      <c r="I41" s="8" t="s">
        <v>27</v>
      </c>
      <c r="J41" s="8" t="s">
        <v>28</v>
      </c>
      <c r="K41" s="8" t="s">
        <v>29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7" t="s">
        <v>33</v>
      </c>
      <c r="B42" s="8" t="s">
        <v>34</v>
      </c>
      <c r="C42" s="8" t="s">
        <v>153</v>
      </c>
      <c r="D42" s="8" t="s">
        <v>154</v>
      </c>
      <c r="E42" s="9" t="s">
        <v>166</v>
      </c>
      <c r="F42" s="8" t="s">
        <v>33</v>
      </c>
      <c r="G42" s="8" t="s">
        <v>162</v>
      </c>
      <c r="H42" s="8" t="s">
        <v>143</v>
      </c>
      <c r="I42" s="8" t="s">
        <v>27</v>
      </c>
      <c r="J42" s="8" t="s">
        <v>28</v>
      </c>
      <c r="K42" s="8" t="s">
        <v>33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7" t="s">
        <v>33</v>
      </c>
      <c r="B43" s="8" t="s">
        <v>41</v>
      </c>
      <c r="C43" s="8" t="s">
        <v>156</v>
      </c>
      <c r="D43" s="8" t="s">
        <v>33</v>
      </c>
      <c r="E43" s="9" t="s">
        <v>33</v>
      </c>
      <c r="F43" s="8" t="s">
        <v>33</v>
      </c>
      <c r="G43" s="8" t="s">
        <v>162</v>
      </c>
      <c r="H43" s="8" t="s">
        <v>143</v>
      </c>
      <c r="I43" s="8" t="s">
        <v>27</v>
      </c>
      <c r="J43" s="8" t="s">
        <v>28</v>
      </c>
      <c r="K43" s="8" t="s">
        <v>33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7" t="s">
        <v>33</v>
      </c>
      <c r="B44" s="8" t="s">
        <v>167</v>
      </c>
      <c r="C44" s="8" t="s">
        <v>168</v>
      </c>
      <c r="D44" s="8" t="s">
        <v>169</v>
      </c>
      <c r="E44" s="9" t="s">
        <v>170</v>
      </c>
      <c r="F44" s="8" t="s">
        <v>171</v>
      </c>
      <c r="G44" s="8" t="s">
        <v>148</v>
      </c>
      <c r="H44" s="8" t="s">
        <v>143</v>
      </c>
      <c r="I44" s="8" t="s">
        <v>27</v>
      </c>
      <c r="J44" s="8" t="s">
        <v>28</v>
      </c>
      <c r="K44" s="8" t="s">
        <v>33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7" t="s">
        <v>33</v>
      </c>
      <c r="B45" s="8" t="s">
        <v>172</v>
      </c>
      <c r="C45" s="8" t="s">
        <v>173</v>
      </c>
      <c r="D45" s="8" t="s">
        <v>174</v>
      </c>
      <c r="E45" s="9" t="s">
        <v>175</v>
      </c>
      <c r="F45" s="8" t="s">
        <v>176</v>
      </c>
      <c r="G45" s="8" t="s">
        <v>148</v>
      </c>
      <c r="H45" s="8" t="s">
        <v>143</v>
      </c>
      <c r="I45" s="8" t="s">
        <v>27</v>
      </c>
      <c r="J45" s="8" t="s">
        <v>28</v>
      </c>
      <c r="K45" s="8" t="s">
        <v>33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7" t="s">
        <v>33</v>
      </c>
      <c r="B46" s="8" t="s">
        <v>177</v>
      </c>
      <c r="C46" s="8" t="s">
        <v>86</v>
      </c>
      <c r="D46" s="8" t="s">
        <v>94</v>
      </c>
      <c r="E46" s="9" t="s">
        <v>178</v>
      </c>
      <c r="F46" s="8" t="s">
        <v>179</v>
      </c>
      <c r="G46" s="8" t="s">
        <v>84</v>
      </c>
      <c r="H46" s="8" t="s">
        <v>143</v>
      </c>
      <c r="I46" s="8" t="s">
        <v>27</v>
      </c>
      <c r="J46" s="8" t="s">
        <v>28</v>
      </c>
      <c r="K46" s="8" t="s">
        <v>33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7" t="s">
        <v>33</v>
      </c>
      <c r="B47" s="8" t="s">
        <v>180</v>
      </c>
      <c r="C47" s="8" t="s">
        <v>33</v>
      </c>
      <c r="D47" s="8" t="s">
        <v>33</v>
      </c>
      <c r="E47" s="9" t="s">
        <v>33</v>
      </c>
      <c r="F47" s="8" t="s">
        <v>33</v>
      </c>
      <c r="G47" s="8" t="s">
        <v>84</v>
      </c>
      <c r="H47" s="8" t="s">
        <v>143</v>
      </c>
      <c r="I47" s="8" t="s">
        <v>27</v>
      </c>
      <c r="J47" s="8" t="s">
        <v>28</v>
      </c>
      <c r="K47" s="8" t="s">
        <v>33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7" t="s">
        <v>33</v>
      </c>
      <c r="B48" s="8" t="s">
        <v>181</v>
      </c>
      <c r="C48" s="8" t="s">
        <v>33</v>
      </c>
      <c r="D48" s="8" t="s">
        <v>182</v>
      </c>
      <c r="E48" s="9" t="s">
        <v>33</v>
      </c>
      <c r="F48" s="8" t="s">
        <v>33</v>
      </c>
      <c r="G48" s="8" t="s">
        <v>84</v>
      </c>
      <c r="H48" s="8" t="s">
        <v>143</v>
      </c>
      <c r="I48" s="8" t="s">
        <v>27</v>
      </c>
      <c r="J48" s="8" t="s">
        <v>28</v>
      </c>
      <c r="K48" s="8" t="s">
        <v>33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7" t="s">
        <v>183</v>
      </c>
      <c r="B49" s="8" t="s">
        <v>67</v>
      </c>
      <c r="C49" s="8" t="s">
        <v>125</v>
      </c>
      <c r="D49" s="8" t="s">
        <v>184</v>
      </c>
      <c r="E49" s="9" t="s">
        <v>185</v>
      </c>
      <c r="F49" s="8" t="s">
        <v>33</v>
      </c>
      <c r="G49" s="8" t="s">
        <v>186</v>
      </c>
      <c r="H49" s="8" t="s">
        <v>143</v>
      </c>
      <c r="I49" s="8" t="s">
        <v>91</v>
      </c>
      <c r="J49" s="8" t="s">
        <v>130</v>
      </c>
      <c r="K49" s="8" t="s">
        <v>33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7" t="s">
        <v>33</v>
      </c>
      <c r="B50" s="8" t="s">
        <v>187</v>
      </c>
      <c r="C50" s="8" t="s">
        <v>125</v>
      </c>
      <c r="D50" s="8" t="s">
        <v>133</v>
      </c>
      <c r="E50" s="9" t="s">
        <v>188</v>
      </c>
      <c r="F50" s="8" t="s">
        <v>33</v>
      </c>
      <c r="G50" s="8" t="s">
        <v>186</v>
      </c>
      <c r="H50" s="8" t="s">
        <v>143</v>
      </c>
      <c r="I50" s="8" t="s">
        <v>91</v>
      </c>
      <c r="J50" s="8" t="s">
        <v>130</v>
      </c>
      <c r="K50" s="8" t="s">
        <v>33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7" t="s">
        <v>189</v>
      </c>
      <c r="B51" s="8" t="s">
        <v>190</v>
      </c>
      <c r="C51" s="8" t="s">
        <v>136</v>
      </c>
      <c r="D51" s="8" t="s">
        <v>33</v>
      </c>
      <c r="E51" s="9" t="s">
        <v>33</v>
      </c>
      <c r="F51" s="8" t="s">
        <v>33</v>
      </c>
      <c r="G51" s="8" t="s">
        <v>186</v>
      </c>
      <c r="H51" s="8" t="s">
        <v>143</v>
      </c>
      <c r="I51" s="8" t="s">
        <v>91</v>
      </c>
      <c r="J51" s="8" t="s">
        <v>130</v>
      </c>
      <c r="K51" s="8" t="s">
        <v>33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7" t="s">
        <v>33</v>
      </c>
      <c r="B52" s="8" t="s">
        <v>191</v>
      </c>
      <c r="C52" s="8" t="s">
        <v>33</v>
      </c>
      <c r="D52" s="8" t="s">
        <v>33</v>
      </c>
      <c r="E52" s="9" t="s">
        <v>33</v>
      </c>
      <c r="F52" s="8" t="s">
        <v>33</v>
      </c>
      <c r="G52" s="8" t="s">
        <v>186</v>
      </c>
      <c r="H52" s="8" t="s">
        <v>143</v>
      </c>
      <c r="I52" s="8" t="s">
        <v>91</v>
      </c>
      <c r="J52" s="8" t="s">
        <v>130</v>
      </c>
      <c r="K52" s="8" t="s">
        <v>33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7" t="s">
        <v>33</v>
      </c>
      <c r="B53" s="8" t="s">
        <v>192</v>
      </c>
      <c r="C53" s="8" t="s">
        <v>86</v>
      </c>
      <c r="D53" s="8" t="s">
        <v>193</v>
      </c>
      <c r="E53" s="9" t="s">
        <v>194</v>
      </c>
      <c r="F53" s="8" t="s">
        <v>179</v>
      </c>
      <c r="G53" s="8" t="s">
        <v>84</v>
      </c>
      <c r="H53" s="8" t="s">
        <v>143</v>
      </c>
      <c r="I53" s="8" t="s">
        <v>27</v>
      </c>
      <c r="J53" s="8" t="s">
        <v>28</v>
      </c>
      <c r="K53" s="8" t="s">
        <v>33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7" t="s">
        <v>33</v>
      </c>
      <c r="B54" s="8" t="s">
        <v>85</v>
      </c>
      <c r="C54" s="8" t="s">
        <v>86</v>
      </c>
      <c r="D54" s="8" t="s">
        <v>195</v>
      </c>
      <c r="E54" s="9" t="s">
        <v>33</v>
      </c>
      <c r="F54" s="8" t="s">
        <v>33</v>
      </c>
      <c r="G54" s="8" t="s">
        <v>84</v>
      </c>
      <c r="H54" s="8" t="s">
        <v>143</v>
      </c>
      <c r="I54" s="8" t="s">
        <v>27</v>
      </c>
      <c r="J54" s="8" t="s">
        <v>28</v>
      </c>
      <c r="K54" s="8" t="s">
        <v>33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7" t="s">
        <v>33</v>
      </c>
      <c r="B55" s="8" t="s">
        <v>85</v>
      </c>
      <c r="C55" s="8" t="s">
        <v>86</v>
      </c>
      <c r="D55" s="8" t="s">
        <v>195</v>
      </c>
      <c r="E55" s="9" t="s">
        <v>33</v>
      </c>
      <c r="F55" s="8" t="s">
        <v>33</v>
      </c>
      <c r="G55" s="8" t="s">
        <v>84</v>
      </c>
      <c r="H55" s="8" t="s">
        <v>143</v>
      </c>
      <c r="I55" s="8" t="s">
        <v>27</v>
      </c>
      <c r="J55" s="8" t="s">
        <v>28</v>
      </c>
      <c r="K55" s="8" t="s">
        <v>33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7" t="s">
        <v>33</v>
      </c>
      <c r="B56" s="8" t="s">
        <v>85</v>
      </c>
      <c r="C56" s="8" t="s">
        <v>86</v>
      </c>
      <c r="D56" s="8" t="s">
        <v>195</v>
      </c>
      <c r="E56" s="9" t="s">
        <v>33</v>
      </c>
      <c r="F56" s="8" t="s">
        <v>33</v>
      </c>
      <c r="G56" s="8" t="s">
        <v>84</v>
      </c>
      <c r="H56" s="8" t="s">
        <v>143</v>
      </c>
      <c r="I56" s="8" t="s">
        <v>27</v>
      </c>
      <c r="J56" s="8" t="s">
        <v>28</v>
      </c>
      <c r="K56" s="8" t="s">
        <v>33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7" t="s">
        <v>33</v>
      </c>
      <c r="B57" s="8" t="s">
        <v>85</v>
      </c>
      <c r="C57" s="8" t="s">
        <v>86</v>
      </c>
      <c r="D57" s="8" t="s">
        <v>195</v>
      </c>
      <c r="E57" s="9" t="s">
        <v>33</v>
      </c>
      <c r="F57" s="8" t="s">
        <v>33</v>
      </c>
      <c r="G57" s="8" t="s">
        <v>84</v>
      </c>
      <c r="H57" s="8" t="s">
        <v>143</v>
      </c>
      <c r="I57" s="8" t="s">
        <v>27</v>
      </c>
      <c r="J57" s="8" t="s">
        <v>28</v>
      </c>
      <c r="K57" s="8" t="s">
        <v>33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7" t="s">
        <v>33</v>
      </c>
      <c r="B58" s="8" t="s">
        <v>196</v>
      </c>
      <c r="C58" s="8" t="s">
        <v>197</v>
      </c>
      <c r="D58" s="8" t="s">
        <v>198</v>
      </c>
      <c r="E58" s="9" t="s">
        <v>199</v>
      </c>
      <c r="F58" s="8" t="s">
        <v>200</v>
      </c>
      <c r="G58" s="8" t="s">
        <v>84</v>
      </c>
      <c r="H58" s="8" t="s">
        <v>143</v>
      </c>
      <c r="I58" s="8" t="s">
        <v>27</v>
      </c>
      <c r="J58" s="8" t="s">
        <v>28</v>
      </c>
      <c r="K58" s="8" t="s">
        <v>33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7" t="s">
        <v>33</v>
      </c>
      <c r="B59" s="8" t="s">
        <v>201</v>
      </c>
      <c r="C59" s="8" t="s">
        <v>197</v>
      </c>
      <c r="D59" s="8" t="s">
        <v>202</v>
      </c>
      <c r="E59" s="9" t="s">
        <v>203</v>
      </c>
      <c r="F59" s="8" t="s">
        <v>33</v>
      </c>
      <c r="G59" s="8" t="s">
        <v>84</v>
      </c>
      <c r="H59" s="8" t="s">
        <v>143</v>
      </c>
      <c r="I59" s="8" t="s">
        <v>27</v>
      </c>
      <c r="J59" s="8" t="s">
        <v>28</v>
      </c>
      <c r="K59" s="8" t="s">
        <v>33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7" t="s">
        <v>204</v>
      </c>
      <c r="B60" s="8" t="s">
        <v>205</v>
      </c>
      <c r="C60" s="8" t="s">
        <v>80</v>
      </c>
      <c r="D60" s="8" t="s">
        <v>109</v>
      </c>
      <c r="E60" s="9" t="s">
        <v>206</v>
      </c>
      <c r="F60" s="8" t="s">
        <v>83</v>
      </c>
      <c r="G60" s="8" t="s">
        <v>84</v>
      </c>
      <c r="H60" s="8" t="s">
        <v>207</v>
      </c>
      <c r="I60" s="8" t="s">
        <v>27</v>
      </c>
      <c r="J60" s="8" t="s">
        <v>28</v>
      </c>
      <c r="K60" s="8" t="s">
        <v>29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7" t="s">
        <v>33</v>
      </c>
      <c r="B61" s="8" t="s">
        <v>118</v>
      </c>
      <c r="C61" s="8" t="s">
        <v>208</v>
      </c>
      <c r="D61" s="8" t="s">
        <v>209</v>
      </c>
      <c r="E61" s="9" t="s">
        <v>33</v>
      </c>
      <c r="F61" s="8" t="s">
        <v>210</v>
      </c>
      <c r="G61" s="8" t="s">
        <v>211</v>
      </c>
      <c r="H61" s="8" t="s">
        <v>207</v>
      </c>
      <c r="I61" s="8" t="s">
        <v>27</v>
      </c>
      <c r="J61" s="8" t="s">
        <v>28</v>
      </c>
      <c r="K61" s="8" t="s">
        <v>212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7" t="s">
        <v>213</v>
      </c>
      <c r="B62" s="8" t="s">
        <v>98</v>
      </c>
      <c r="C62" s="8" t="s">
        <v>214</v>
      </c>
      <c r="D62" s="8" t="s">
        <v>33</v>
      </c>
      <c r="E62" s="9" t="s">
        <v>215</v>
      </c>
      <c r="F62" s="8" t="s">
        <v>147</v>
      </c>
      <c r="G62" s="8" t="s">
        <v>211</v>
      </c>
      <c r="H62" s="8" t="s">
        <v>207</v>
      </c>
      <c r="I62" s="8" t="s">
        <v>27</v>
      </c>
      <c r="J62" s="8" t="s">
        <v>28</v>
      </c>
      <c r="K62" s="8" t="s">
        <v>212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7" t="s">
        <v>33</v>
      </c>
      <c r="B63" s="8" t="s">
        <v>20</v>
      </c>
      <c r="C63" s="8" t="s">
        <v>21</v>
      </c>
      <c r="D63" s="8" t="s">
        <v>22</v>
      </c>
      <c r="E63" s="9" t="s">
        <v>216</v>
      </c>
      <c r="F63" s="8" t="s">
        <v>24</v>
      </c>
      <c r="G63" s="8" t="s">
        <v>211</v>
      </c>
      <c r="H63" s="8" t="s">
        <v>207</v>
      </c>
      <c r="I63" s="8" t="s">
        <v>27</v>
      </c>
      <c r="J63" s="8" t="s">
        <v>28</v>
      </c>
      <c r="K63" s="8" t="s">
        <v>29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7" t="s">
        <v>217</v>
      </c>
      <c r="B64" s="8" t="s">
        <v>218</v>
      </c>
      <c r="C64" s="8" t="s">
        <v>86</v>
      </c>
      <c r="D64" s="8" t="s">
        <v>219</v>
      </c>
      <c r="E64" s="9" t="s">
        <v>220</v>
      </c>
      <c r="F64" s="8" t="s">
        <v>221</v>
      </c>
      <c r="G64" s="8" t="s">
        <v>84</v>
      </c>
      <c r="H64" s="8" t="s">
        <v>207</v>
      </c>
      <c r="I64" s="8" t="s">
        <v>27</v>
      </c>
      <c r="J64" s="8" t="s">
        <v>28</v>
      </c>
      <c r="K64" s="8" t="s">
        <v>33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7" t="s">
        <v>33</v>
      </c>
      <c r="B65" s="8" t="s">
        <v>85</v>
      </c>
      <c r="C65" s="8" t="s">
        <v>33</v>
      </c>
      <c r="D65" s="8" t="s">
        <v>33</v>
      </c>
      <c r="E65" s="9" t="s">
        <v>33</v>
      </c>
      <c r="F65" s="8" t="s">
        <v>33</v>
      </c>
      <c r="G65" s="8" t="s">
        <v>84</v>
      </c>
      <c r="H65" s="8" t="s">
        <v>207</v>
      </c>
      <c r="I65" s="8" t="s">
        <v>27</v>
      </c>
      <c r="J65" s="8" t="s">
        <v>28</v>
      </c>
      <c r="K65" s="8" t="s">
        <v>33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 t="s">
        <v>33</v>
      </c>
      <c r="B66" s="8" t="s">
        <v>85</v>
      </c>
      <c r="C66" s="8" t="s">
        <v>86</v>
      </c>
      <c r="D66" s="8" t="s">
        <v>33</v>
      </c>
      <c r="E66" s="9" t="s">
        <v>33</v>
      </c>
      <c r="F66" s="8" t="s">
        <v>33</v>
      </c>
      <c r="G66" s="8" t="s">
        <v>84</v>
      </c>
      <c r="H66" s="8" t="s">
        <v>207</v>
      </c>
      <c r="I66" s="8" t="s">
        <v>27</v>
      </c>
      <c r="J66" s="8" t="s">
        <v>28</v>
      </c>
      <c r="K66" s="8" t="s">
        <v>33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 t="s">
        <v>33</v>
      </c>
      <c r="B67" s="8" t="s">
        <v>85</v>
      </c>
      <c r="C67" s="8" t="s">
        <v>33</v>
      </c>
      <c r="D67" s="8" t="s">
        <v>33</v>
      </c>
      <c r="E67" s="9" t="s">
        <v>33</v>
      </c>
      <c r="F67" s="8" t="s">
        <v>33</v>
      </c>
      <c r="G67" s="8" t="s">
        <v>84</v>
      </c>
      <c r="H67" s="8" t="s">
        <v>207</v>
      </c>
      <c r="I67" s="8" t="s">
        <v>27</v>
      </c>
      <c r="J67" s="8" t="s">
        <v>28</v>
      </c>
      <c r="K67" s="8" t="s">
        <v>33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7" t="s">
        <v>33</v>
      </c>
      <c r="B68" s="8" t="s">
        <v>85</v>
      </c>
      <c r="C68" s="8" t="s">
        <v>33</v>
      </c>
      <c r="D68" s="8" t="s">
        <v>33</v>
      </c>
      <c r="E68" s="9" t="s">
        <v>33</v>
      </c>
      <c r="F68" s="8" t="s">
        <v>33</v>
      </c>
      <c r="G68" s="8" t="s">
        <v>84</v>
      </c>
      <c r="H68" s="8" t="s">
        <v>207</v>
      </c>
      <c r="I68" s="8" t="s">
        <v>27</v>
      </c>
      <c r="J68" s="8" t="s">
        <v>28</v>
      </c>
      <c r="K68" s="8" t="s">
        <v>33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7" t="s">
        <v>33</v>
      </c>
      <c r="B69" s="8" t="s">
        <v>85</v>
      </c>
      <c r="C69" s="8" t="s">
        <v>33</v>
      </c>
      <c r="D69" s="8" t="s">
        <v>33</v>
      </c>
      <c r="E69" s="9" t="s">
        <v>33</v>
      </c>
      <c r="F69" s="8" t="s">
        <v>33</v>
      </c>
      <c r="G69" s="8" t="s">
        <v>84</v>
      </c>
      <c r="H69" s="8" t="s">
        <v>207</v>
      </c>
      <c r="I69" s="8" t="s">
        <v>27</v>
      </c>
      <c r="J69" s="8" t="s">
        <v>28</v>
      </c>
      <c r="K69" s="8" t="s">
        <v>33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7" t="s">
        <v>222</v>
      </c>
      <c r="B70" s="8" t="s">
        <v>67</v>
      </c>
      <c r="C70" s="8" t="s">
        <v>223</v>
      </c>
      <c r="D70" s="8" t="s">
        <v>224</v>
      </c>
      <c r="E70" s="9" t="s">
        <v>225</v>
      </c>
      <c r="F70" s="8" t="s">
        <v>33</v>
      </c>
      <c r="G70" s="8" t="s">
        <v>226</v>
      </c>
      <c r="H70" s="8" t="s">
        <v>207</v>
      </c>
      <c r="I70" s="8" t="s">
        <v>91</v>
      </c>
      <c r="J70" s="8" t="s">
        <v>130</v>
      </c>
      <c r="K70" s="8" t="s">
        <v>33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7" t="s">
        <v>227</v>
      </c>
      <c r="B71" s="8" t="s">
        <v>228</v>
      </c>
      <c r="C71" s="8" t="s">
        <v>223</v>
      </c>
      <c r="D71" s="8" t="s">
        <v>229</v>
      </c>
      <c r="E71" s="9" t="s">
        <v>230</v>
      </c>
      <c r="F71" s="8" t="s">
        <v>33</v>
      </c>
      <c r="G71" s="8" t="s">
        <v>226</v>
      </c>
      <c r="H71" s="8" t="s">
        <v>207</v>
      </c>
      <c r="I71" s="8" t="s">
        <v>91</v>
      </c>
      <c r="J71" s="8" t="s">
        <v>130</v>
      </c>
      <c r="K71" s="8" t="s">
        <v>33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7" t="s">
        <v>231</v>
      </c>
      <c r="B72" s="8" t="s">
        <v>34</v>
      </c>
      <c r="C72" s="8" t="s">
        <v>223</v>
      </c>
      <c r="D72" s="8" t="s">
        <v>232</v>
      </c>
      <c r="E72" s="9" t="s">
        <v>33</v>
      </c>
      <c r="F72" s="8" t="s">
        <v>33</v>
      </c>
      <c r="G72" s="8" t="s">
        <v>226</v>
      </c>
      <c r="H72" s="8" t="s">
        <v>207</v>
      </c>
      <c r="I72" s="8" t="s">
        <v>91</v>
      </c>
      <c r="J72" s="8" t="s">
        <v>130</v>
      </c>
      <c r="K72" s="8" t="s">
        <v>33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7" t="s">
        <v>33</v>
      </c>
      <c r="B73" s="8" t="s">
        <v>118</v>
      </c>
      <c r="C73" s="8" t="s">
        <v>119</v>
      </c>
      <c r="D73" s="8" t="s">
        <v>233</v>
      </c>
      <c r="E73" s="9" t="s">
        <v>33</v>
      </c>
      <c r="F73" s="8" t="s">
        <v>234</v>
      </c>
      <c r="G73" s="8" t="s">
        <v>235</v>
      </c>
      <c r="H73" s="8" t="s">
        <v>207</v>
      </c>
      <c r="I73" s="8" t="s">
        <v>27</v>
      </c>
      <c r="J73" s="8" t="s">
        <v>28</v>
      </c>
      <c r="K73" s="8" t="s">
        <v>212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7" t="s">
        <v>236</v>
      </c>
      <c r="B74" s="8" t="s">
        <v>47</v>
      </c>
      <c r="C74" s="8" t="s">
        <v>237</v>
      </c>
      <c r="D74" s="8" t="s">
        <v>238</v>
      </c>
      <c r="E74" s="9" t="s">
        <v>239</v>
      </c>
      <c r="F74" s="8" t="s">
        <v>33</v>
      </c>
      <c r="G74" s="8" t="s">
        <v>235</v>
      </c>
      <c r="H74" s="8" t="s">
        <v>207</v>
      </c>
      <c r="I74" s="8" t="s">
        <v>27</v>
      </c>
      <c r="J74" s="8" t="s">
        <v>28</v>
      </c>
      <c r="K74" s="8" t="s">
        <v>212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7" t="s">
        <v>240</v>
      </c>
      <c r="B75" s="8" t="s">
        <v>41</v>
      </c>
      <c r="C75" s="8" t="s">
        <v>241</v>
      </c>
      <c r="D75" s="8" t="s">
        <v>242</v>
      </c>
      <c r="E75" s="9" t="s">
        <v>243</v>
      </c>
      <c r="F75" s="8" t="s">
        <v>33</v>
      </c>
      <c r="G75" s="8" t="s">
        <v>235</v>
      </c>
      <c r="H75" s="8" t="s">
        <v>207</v>
      </c>
      <c r="I75" s="8" t="s">
        <v>27</v>
      </c>
      <c r="J75" s="8" t="s">
        <v>28</v>
      </c>
      <c r="K75" s="8" t="s">
        <v>212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7" t="s">
        <v>244</v>
      </c>
      <c r="B76" s="8" t="s">
        <v>34</v>
      </c>
      <c r="C76" s="8" t="s">
        <v>139</v>
      </c>
      <c r="D76" s="8" t="s">
        <v>245</v>
      </c>
      <c r="E76" s="9" t="s">
        <v>246</v>
      </c>
      <c r="F76" s="8" t="s">
        <v>33</v>
      </c>
      <c r="G76" s="8" t="s">
        <v>235</v>
      </c>
      <c r="H76" s="8" t="s">
        <v>207</v>
      </c>
      <c r="I76" s="8" t="s">
        <v>27</v>
      </c>
      <c r="J76" s="8" t="s">
        <v>28</v>
      </c>
      <c r="K76" s="8" t="s">
        <v>212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7" t="s">
        <v>247</v>
      </c>
      <c r="B77" s="8" t="s">
        <v>20</v>
      </c>
      <c r="C77" s="8" t="s">
        <v>21</v>
      </c>
      <c r="D77" s="8" t="s">
        <v>22</v>
      </c>
      <c r="E77" s="9" t="s">
        <v>248</v>
      </c>
      <c r="F77" s="8" t="s">
        <v>24</v>
      </c>
      <c r="G77" s="8" t="s">
        <v>235</v>
      </c>
      <c r="H77" s="8" t="s">
        <v>207</v>
      </c>
      <c r="I77" s="8" t="s">
        <v>27</v>
      </c>
      <c r="J77" s="8" t="s">
        <v>28</v>
      </c>
      <c r="K77" s="8" t="s">
        <v>29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7" t="s">
        <v>249</v>
      </c>
      <c r="B78" s="8" t="s">
        <v>79</v>
      </c>
      <c r="C78" s="8" t="s">
        <v>223</v>
      </c>
      <c r="D78" s="8" t="s">
        <v>250</v>
      </c>
      <c r="E78" s="9" t="s">
        <v>251</v>
      </c>
      <c r="F78" s="8" t="s">
        <v>83</v>
      </c>
      <c r="G78" s="8" t="s">
        <v>84</v>
      </c>
      <c r="H78" s="8" t="s">
        <v>207</v>
      </c>
      <c r="I78" s="8" t="s">
        <v>27</v>
      </c>
      <c r="J78" s="8" t="s">
        <v>28</v>
      </c>
      <c r="K78" s="8" t="s">
        <v>29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7" t="s">
        <v>33</v>
      </c>
      <c r="B79" s="8" t="s">
        <v>85</v>
      </c>
      <c r="C79" s="8" t="s">
        <v>86</v>
      </c>
      <c r="D79" s="8" t="s">
        <v>252</v>
      </c>
      <c r="E79" s="9" t="s">
        <v>33</v>
      </c>
      <c r="F79" s="8" t="s">
        <v>33</v>
      </c>
      <c r="G79" s="8" t="s">
        <v>84</v>
      </c>
      <c r="H79" s="8" t="s">
        <v>207</v>
      </c>
      <c r="I79" s="8" t="s">
        <v>27</v>
      </c>
      <c r="J79" s="8" t="s">
        <v>28</v>
      </c>
      <c r="K79" s="8" t="s">
        <v>212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7" t="s">
        <v>33</v>
      </c>
      <c r="B80" s="8" t="s">
        <v>85</v>
      </c>
      <c r="C80" s="8" t="s">
        <v>86</v>
      </c>
      <c r="D80" s="8" t="s">
        <v>252</v>
      </c>
      <c r="E80" s="9" t="s">
        <v>33</v>
      </c>
      <c r="F80" s="8" t="s">
        <v>33</v>
      </c>
      <c r="G80" s="8" t="s">
        <v>84</v>
      </c>
      <c r="H80" s="8" t="s">
        <v>207</v>
      </c>
      <c r="I80" s="8" t="s">
        <v>27</v>
      </c>
      <c r="J80" s="8" t="s">
        <v>28</v>
      </c>
      <c r="K80" s="8" t="s">
        <v>212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7" t="s">
        <v>33</v>
      </c>
      <c r="B81" s="8" t="s">
        <v>85</v>
      </c>
      <c r="C81" s="8" t="s">
        <v>86</v>
      </c>
      <c r="D81" s="8" t="s">
        <v>252</v>
      </c>
      <c r="E81" s="9" t="s">
        <v>33</v>
      </c>
      <c r="F81" s="8" t="s">
        <v>33</v>
      </c>
      <c r="G81" s="8" t="s">
        <v>84</v>
      </c>
      <c r="H81" s="8" t="s">
        <v>207</v>
      </c>
      <c r="I81" s="8" t="s">
        <v>27</v>
      </c>
      <c r="J81" s="8" t="s">
        <v>28</v>
      </c>
      <c r="K81" s="8" t="s">
        <v>212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8" t="s">
        <v>33</v>
      </c>
      <c r="B82" s="8" t="s">
        <v>253</v>
      </c>
      <c r="C82" s="8" t="s">
        <v>254</v>
      </c>
      <c r="D82" s="8" t="s">
        <v>255</v>
      </c>
      <c r="E82" s="9" t="s">
        <v>256</v>
      </c>
      <c r="F82" s="8" t="s">
        <v>257</v>
      </c>
      <c r="G82" s="8" t="s">
        <v>258</v>
      </c>
      <c r="H82" s="8" t="s">
        <v>259</v>
      </c>
      <c r="I82" s="8" t="s">
        <v>260</v>
      </c>
      <c r="J82" s="8" t="s">
        <v>261</v>
      </c>
      <c r="K82" s="8" t="s">
        <v>29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8" t="s">
        <v>262</v>
      </c>
      <c r="B83" s="8" t="s">
        <v>253</v>
      </c>
      <c r="C83" s="8" t="s">
        <v>254</v>
      </c>
      <c r="D83" s="8" t="s">
        <v>255</v>
      </c>
      <c r="E83" s="9" t="s">
        <v>263</v>
      </c>
      <c r="F83" s="8" t="s">
        <v>257</v>
      </c>
      <c r="G83" s="8" t="s">
        <v>264</v>
      </c>
      <c r="H83" s="8" t="s">
        <v>259</v>
      </c>
      <c r="I83" s="8" t="s">
        <v>260</v>
      </c>
      <c r="J83" s="8" t="s">
        <v>261</v>
      </c>
      <c r="K83" s="8" t="s">
        <v>29</v>
      </c>
      <c r="L83" s="10"/>
      <c r="M83" s="10"/>
      <c r="N83" s="10"/>
      <c r="O83" s="10"/>
      <c r="P83" s="11" t="s">
        <v>265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8" t="s">
        <v>33</v>
      </c>
      <c r="B84" s="8" t="s">
        <v>34</v>
      </c>
      <c r="C84" s="8" t="s">
        <v>153</v>
      </c>
      <c r="D84" s="8" t="s">
        <v>154</v>
      </c>
      <c r="E84" s="9" t="s">
        <v>266</v>
      </c>
      <c r="F84" s="8" t="s">
        <v>267</v>
      </c>
      <c r="G84" s="8" t="s">
        <v>258</v>
      </c>
      <c r="H84" s="8" t="s">
        <v>259</v>
      </c>
      <c r="I84" s="8" t="s">
        <v>260</v>
      </c>
      <c r="J84" s="8" t="s">
        <v>261</v>
      </c>
      <c r="K84" s="8" t="s">
        <v>29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8" t="s">
        <v>33</v>
      </c>
      <c r="B85" s="8" t="s">
        <v>34</v>
      </c>
      <c r="C85" s="8" t="s">
        <v>153</v>
      </c>
      <c r="D85" s="8" t="s">
        <v>154</v>
      </c>
      <c r="E85" s="9" t="s">
        <v>268</v>
      </c>
      <c r="F85" s="8" t="s">
        <v>267</v>
      </c>
      <c r="G85" s="8" t="s">
        <v>264</v>
      </c>
      <c r="H85" s="8" t="s">
        <v>259</v>
      </c>
      <c r="I85" s="8" t="s">
        <v>260</v>
      </c>
      <c r="J85" s="8" t="s">
        <v>261</v>
      </c>
      <c r="K85" s="8" t="s">
        <v>55</v>
      </c>
      <c r="L85" s="10"/>
      <c r="M85" s="10"/>
      <c r="N85" s="10"/>
      <c r="O85" s="10"/>
      <c r="P85" s="11" t="s">
        <v>265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8" t="s">
        <v>269</v>
      </c>
      <c r="B86" s="8" t="s">
        <v>67</v>
      </c>
      <c r="C86" s="8" t="s">
        <v>270</v>
      </c>
      <c r="D86" s="8" t="s">
        <v>271</v>
      </c>
      <c r="E86" s="9" t="s">
        <v>272</v>
      </c>
      <c r="F86" s="8" t="s">
        <v>273</v>
      </c>
      <c r="G86" s="8" t="s">
        <v>274</v>
      </c>
      <c r="H86" s="8" t="s">
        <v>259</v>
      </c>
      <c r="I86" s="8" t="s">
        <v>91</v>
      </c>
      <c r="J86" s="8" t="s">
        <v>275</v>
      </c>
      <c r="K86" s="8" t="s">
        <v>29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8" t="s">
        <v>276</v>
      </c>
      <c r="B87" s="8" t="s">
        <v>132</v>
      </c>
      <c r="C87" s="8" t="s">
        <v>270</v>
      </c>
      <c r="D87" s="8" t="s">
        <v>277</v>
      </c>
      <c r="E87" s="9" t="s">
        <v>278</v>
      </c>
      <c r="F87" s="8" t="s">
        <v>134</v>
      </c>
      <c r="G87" s="8" t="s">
        <v>274</v>
      </c>
      <c r="H87" s="8" t="s">
        <v>259</v>
      </c>
      <c r="I87" s="8" t="s">
        <v>91</v>
      </c>
      <c r="J87" s="8" t="s">
        <v>275</v>
      </c>
      <c r="K87" s="8" t="s">
        <v>29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8" t="s">
        <v>279</v>
      </c>
      <c r="B88" s="8" t="s">
        <v>253</v>
      </c>
      <c r="C88" s="8" t="s">
        <v>254</v>
      </c>
      <c r="D88" s="8" t="s">
        <v>255</v>
      </c>
      <c r="E88" s="9" t="s">
        <v>280</v>
      </c>
      <c r="F88" s="8" t="s">
        <v>281</v>
      </c>
      <c r="G88" s="8" t="s">
        <v>274</v>
      </c>
      <c r="H88" s="8" t="s">
        <v>259</v>
      </c>
      <c r="I88" s="8" t="s">
        <v>91</v>
      </c>
      <c r="J88" s="8" t="s">
        <v>275</v>
      </c>
      <c r="K88" s="8" t="s">
        <v>29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8" t="s">
        <v>282</v>
      </c>
      <c r="B89" s="8" t="s">
        <v>34</v>
      </c>
      <c r="C89" s="8" t="s">
        <v>223</v>
      </c>
      <c r="D89" s="8" t="s">
        <v>283</v>
      </c>
      <c r="E89" s="9" t="s">
        <v>284</v>
      </c>
      <c r="F89" s="8" t="s">
        <v>285</v>
      </c>
      <c r="G89" s="8" t="s">
        <v>274</v>
      </c>
      <c r="H89" s="8" t="s">
        <v>259</v>
      </c>
      <c r="I89" s="8" t="s">
        <v>91</v>
      </c>
      <c r="J89" s="8" t="s">
        <v>275</v>
      </c>
      <c r="K89" s="8" t="s">
        <v>55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8" t="s">
        <v>33</v>
      </c>
      <c r="B90" s="8" t="s">
        <v>286</v>
      </c>
      <c r="C90" s="8" t="s">
        <v>287</v>
      </c>
      <c r="D90" s="8" t="s">
        <v>288</v>
      </c>
      <c r="E90" s="9" t="s">
        <v>288</v>
      </c>
      <c r="F90" s="8" t="s">
        <v>289</v>
      </c>
      <c r="G90" s="8" t="s">
        <v>274</v>
      </c>
      <c r="H90" s="8" t="s">
        <v>259</v>
      </c>
      <c r="I90" s="8" t="s">
        <v>91</v>
      </c>
      <c r="J90" s="8" t="s">
        <v>275</v>
      </c>
      <c r="K90" s="8" t="s">
        <v>55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8" t="s">
        <v>33</v>
      </c>
      <c r="B91" s="8" t="s">
        <v>290</v>
      </c>
      <c r="C91" s="8" t="s">
        <v>291</v>
      </c>
      <c r="D91" s="8" t="s">
        <v>292</v>
      </c>
      <c r="E91" s="9" t="s">
        <v>33</v>
      </c>
      <c r="F91" s="8" t="s">
        <v>293</v>
      </c>
      <c r="G91" s="8" t="s">
        <v>84</v>
      </c>
      <c r="H91" s="8" t="s">
        <v>259</v>
      </c>
      <c r="I91" s="8" t="s">
        <v>260</v>
      </c>
      <c r="J91" s="8" t="s">
        <v>294</v>
      </c>
      <c r="K91" s="8" t="s">
        <v>55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8" t="s">
        <v>295</v>
      </c>
      <c r="B92" s="8" t="s">
        <v>167</v>
      </c>
      <c r="C92" s="8" t="s">
        <v>296</v>
      </c>
      <c r="D92" s="8" t="s">
        <v>297</v>
      </c>
      <c r="E92" s="9" t="s">
        <v>298</v>
      </c>
      <c r="F92" s="8" t="s">
        <v>299</v>
      </c>
      <c r="G92" s="8" t="s">
        <v>274</v>
      </c>
      <c r="H92" s="8" t="s">
        <v>259</v>
      </c>
      <c r="I92" s="8" t="s">
        <v>91</v>
      </c>
      <c r="J92" s="8" t="s">
        <v>275</v>
      </c>
      <c r="K92" s="8" t="s">
        <v>29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8" t="s">
        <v>300</v>
      </c>
      <c r="B93" s="8" t="s">
        <v>301</v>
      </c>
      <c r="C93" s="8" t="s">
        <v>296</v>
      </c>
      <c r="D93" s="8" t="s">
        <v>302</v>
      </c>
      <c r="E93" s="9" t="s">
        <v>303</v>
      </c>
      <c r="F93" s="8" t="s">
        <v>304</v>
      </c>
      <c r="G93" s="8" t="s">
        <v>274</v>
      </c>
      <c r="H93" s="8" t="s">
        <v>259</v>
      </c>
      <c r="I93" s="8" t="s">
        <v>91</v>
      </c>
      <c r="J93" s="8" t="s">
        <v>275</v>
      </c>
      <c r="K93" s="8" t="s">
        <v>29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8" t="s">
        <v>33</v>
      </c>
      <c r="B94" s="8" t="s">
        <v>305</v>
      </c>
      <c r="C94" s="8" t="s">
        <v>288</v>
      </c>
      <c r="D94" s="8" t="s">
        <v>288</v>
      </c>
      <c r="E94" s="9" t="s">
        <v>288</v>
      </c>
      <c r="F94" s="8" t="s">
        <v>306</v>
      </c>
      <c r="G94" s="8" t="s">
        <v>274</v>
      </c>
      <c r="H94" s="8" t="s">
        <v>259</v>
      </c>
      <c r="I94" s="8" t="s">
        <v>91</v>
      </c>
      <c r="J94" s="8" t="s">
        <v>275</v>
      </c>
      <c r="K94" s="8" t="s">
        <v>29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8" t="s">
        <v>307</v>
      </c>
      <c r="B95" s="8" t="s">
        <v>67</v>
      </c>
      <c r="C95" s="8" t="s">
        <v>270</v>
      </c>
      <c r="D95" s="8" t="s">
        <v>308</v>
      </c>
      <c r="E95" s="9" t="s">
        <v>309</v>
      </c>
      <c r="F95" s="8" t="s">
        <v>310</v>
      </c>
      <c r="G95" s="8" t="s">
        <v>311</v>
      </c>
      <c r="H95" s="8" t="s">
        <v>259</v>
      </c>
      <c r="I95" s="8" t="s">
        <v>91</v>
      </c>
      <c r="J95" s="8" t="s">
        <v>275</v>
      </c>
      <c r="K95" s="8" t="s">
        <v>117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8" t="s">
        <v>312</v>
      </c>
      <c r="B96" s="8" t="s">
        <v>132</v>
      </c>
      <c r="C96" s="8" t="s">
        <v>270</v>
      </c>
      <c r="D96" s="8" t="s">
        <v>277</v>
      </c>
      <c r="E96" s="9" t="s">
        <v>313</v>
      </c>
      <c r="F96" s="8" t="s">
        <v>134</v>
      </c>
      <c r="G96" s="8" t="s">
        <v>311</v>
      </c>
      <c r="H96" s="8" t="s">
        <v>259</v>
      </c>
      <c r="I96" s="8" t="s">
        <v>91</v>
      </c>
      <c r="J96" s="8" t="s">
        <v>275</v>
      </c>
      <c r="K96" s="8" t="s">
        <v>29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8" t="s">
        <v>314</v>
      </c>
      <c r="B97" s="8" t="s">
        <v>253</v>
      </c>
      <c r="C97" s="8" t="s">
        <v>254</v>
      </c>
      <c r="D97" s="8" t="s">
        <v>255</v>
      </c>
      <c r="E97" s="9" t="s">
        <v>315</v>
      </c>
      <c r="F97" s="8" t="s">
        <v>281</v>
      </c>
      <c r="G97" s="8" t="s">
        <v>311</v>
      </c>
      <c r="H97" s="8" t="s">
        <v>259</v>
      </c>
      <c r="I97" s="8" t="s">
        <v>91</v>
      </c>
      <c r="J97" s="8" t="s">
        <v>275</v>
      </c>
      <c r="K97" s="8" t="s">
        <v>29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8" t="s">
        <v>33</v>
      </c>
      <c r="B98" s="8" t="s">
        <v>34</v>
      </c>
      <c r="C98" s="8" t="s">
        <v>35</v>
      </c>
      <c r="D98" s="8" t="s">
        <v>316</v>
      </c>
      <c r="E98" s="9" t="s">
        <v>317</v>
      </c>
      <c r="F98" s="8" t="s">
        <v>267</v>
      </c>
      <c r="G98" s="8" t="s">
        <v>311</v>
      </c>
      <c r="H98" s="8" t="s">
        <v>259</v>
      </c>
      <c r="I98" s="8" t="s">
        <v>91</v>
      </c>
      <c r="J98" s="8" t="s">
        <v>275</v>
      </c>
      <c r="K98" s="8" t="s">
        <v>55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8" t="s">
        <v>33</v>
      </c>
      <c r="B99" s="8" t="s">
        <v>286</v>
      </c>
      <c r="C99" s="8" t="s">
        <v>287</v>
      </c>
      <c r="D99" s="8" t="s">
        <v>288</v>
      </c>
      <c r="E99" s="9" t="s">
        <v>288</v>
      </c>
      <c r="F99" s="8" t="s">
        <v>289</v>
      </c>
      <c r="G99" s="8" t="s">
        <v>311</v>
      </c>
      <c r="H99" s="8" t="s">
        <v>259</v>
      </c>
      <c r="I99" s="8" t="s">
        <v>91</v>
      </c>
      <c r="J99" s="8" t="s">
        <v>275</v>
      </c>
      <c r="K99" s="8" t="s">
        <v>29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8" t="s">
        <v>33</v>
      </c>
      <c r="B100" s="8" t="s">
        <v>290</v>
      </c>
      <c r="C100" s="8" t="s">
        <v>291</v>
      </c>
      <c r="D100" s="8" t="s">
        <v>292</v>
      </c>
      <c r="E100" s="9" t="s">
        <v>318</v>
      </c>
      <c r="F100" s="8" t="s">
        <v>293</v>
      </c>
      <c r="G100" s="8" t="s">
        <v>311</v>
      </c>
      <c r="H100" s="8" t="s">
        <v>259</v>
      </c>
      <c r="I100" s="8" t="s">
        <v>91</v>
      </c>
      <c r="J100" s="8" t="s">
        <v>275</v>
      </c>
      <c r="K100" s="8" t="s">
        <v>55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8" t="s">
        <v>33</v>
      </c>
      <c r="B101" s="8" t="s">
        <v>98</v>
      </c>
      <c r="C101" s="8" t="s">
        <v>99</v>
      </c>
      <c r="D101" s="8" t="s">
        <v>100</v>
      </c>
      <c r="E101" s="9" t="s">
        <v>319</v>
      </c>
      <c r="F101" s="8" t="s">
        <v>320</v>
      </c>
      <c r="G101" s="8" t="s">
        <v>311</v>
      </c>
      <c r="H101" s="8" t="s">
        <v>259</v>
      </c>
      <c r="I101" s="8" t="s">
        <v>91</v>
      </c>
      <c r="J101" s="8" t="s">
        <v>275</v>
      </c>
      <c r="K101" s="8" t="s">
        <v>29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8" t="s">
        <v>33</v>
      </c>
      <c r="B102" s="8" t="s">
        <v>167</v>
      </c>
      <c r="C102" s="8" t="s">
        <v>296</v>
      </c>
      <c r="D102" s="8" t="s">
        <v>297</v>
      </c>
      <c r="E102" s="9" t="s">
        <v>321</v>
      </c>
      <c r="F102" s="8" t="s">
        <v>322</v>
      </c>
      <c r="G102" s="8" t="s">
        <v>311</v>
      </c>
      <c r="H102" s="8" t="s">
        <v>259</v>
      </c>
      <c r="I102" s="8" t="s">
        <v>91</v>
      </c>
      <c r="J102" s="8" t="s">
        <v>275</v>
      </c>
      <c r="K102" s="8" t="s">
        <v>29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8" t="s">
        <v>33</v>
      </c>
      <c r="B103" s="8" t="s">
        <v>301</v>
      </c>
      <c r="C103" s="8" t="s">
        <v>296</v>
      </c>
      <c r="D103" s="8" t="s">
        <v>323</v>
      </c>
      <c r="E103" s="9" t="s">
        <v>324</v>
      </c>
      <c r="F103" s="8" t="s">
        <v>304</v>
      </c>
      <c r="G103" s="8" t="s">
        <v>311</v>
      </c>
      <c r="H103" s="8" t="s">
        <v>259</v>
      </c>
      <c r="I103" s="8" t="s">
        <v>91</v>
      </c>
      <c r="J103" s="8" t="s">
        <v>275</v>
      </c>
      <c r="K103" s="8" t="s">
        <v>29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8" t="s">
        <v>33</v>
      </c>
      <c r="B104" s="8" t="s">
        <v>305</v>
      </c>
      <c r="C104" s="8" t="s">
        <v>288</v>
      </c>
      <c r="D104" s="8" t="s">
        <v>288</v>
      </c>
      <c r="E104" s="9" t="s">
        <v>288</v>
      </c>
      <c r="F104" s="8" t="s">
        <v>306</v>
      </c>
      <c r="G104" s="8" t="s">
        <v>311</v>
      </c>
      <c r="H104" s="8" t="s">
        <v>259</v>
      </c>
      <c r="I104" s="8" t="s">
        <v>91</v>
      </c>
      <c r="J104" s="8" t="s">
        <v>275</v>
      </c>
      <c r="K104" s="8" t="s">
        <v>29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8" t="s">
        <v>33</v>
      </c>
      <c r="B105" s="8" t="s">
        <v>325</v>
      </c>
      <c r="C105" s="8" t="s">
        <v>288</v>
      </c>
      <c r="D105" s="8" t="s">
        <v>288</v>
      </c>
      <c r="E105" s="9" t="s">
        <v>288</v>
      </c>
      <c r="F105" s="8" t="s">
        <v>326</v>
      </c>
      <c r="G105" s="8" t="s">
        <v>311</v>
      </c>
      <c r="H105" s="8" t="s">
        <v>259</v>
      </c>
      <c r="I105" s="8" t="s">
        <v>91</v>
      </c>
      <c r="J105" s="8" t="s">
        <v>275</v>
      </c>
      <c r="K105" s="8" t="s">
        <v>29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8" t="s">
        <v>327</v>
      </c>
      <c r="B106" s="8" t="s">
        <v>67</v>
      </c>
      <c r="C106" s="8" t="s">
        <v>270</v>
      </c>
      <c r="D106" s="8" t="s">
        <v>308</v>
      </c>
      <c r="E106" s="9" t="s">
        <v>328</v>
      </c>
      <c r="F106" s="8" t="s">
        <v>310</v>
      </c>
      <c r="G106" s="8" t="s">
        <v>329</v>
      </c>
      <c r="H106" s="8" t="s">
        <v>259</v>
      </c>
      <c r="I106" s="8" t="s">
        <v>91</v>
      </c>
      <c r="J106" s="8" t="s">
        <v>275</v>
      </c>
      <c r="K106" s="8" t="s">
        <v>29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8" t="s">
        <v>330</v>
      </c>
      <c r="B107" s="8" t="s">
        <v>132</v>
      </c>
      <c r="C107" s="8" t="s">
        <v>331</v>
      </c>
      <c r="D107" s="8" t="s">
        <v>332</v>
      </c>
      <c r="E107" s="9" t="s">
        <v>333</v>
      </c>
      <c r="F107" s="8" t="s">
        <v>134</v>
      </c>
      <c r="G107" s="8" t="s">
        <v>329</v>
      </c>
      <c r="H107" s="8" t="s">
        <v>259</v>
      </c>
      <c r="I107" s="8" t="s">
        <v>91</v>
      </c>
      <c r="J107" s="8" t="s">
        <v>275</v>
      </c>
      <c r="K107" s="8" t="s">
        <v>29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8" t="s">
        <v>334</v>
      </c>
      <c r="B108" s="8" t="s">
        <v>253</v>
      </c>
      <c r="C108" s="8" t="s">
        <v>254</v>
      </c>
      <c r="D108" s="8" t="s">
        <v>255</v>
      </c>
      <c r="E108" s="9" t="s">
        <v>335</v>
      </c>
      <c r="F108" s="8" t="s">
        <v>281</v>
      </c>
      <c r="G108" s="8" t="s">
        <v>329</v>
      </c>
      <c r="H108" s="8" t="s">
        <v>259</v>
      </c>
      <c r="I108" s="8" t="s">
        <v>91</v>
      </c>
      <c r="J108" s="8" t="s">
        <v>275</v>
      </c>
      <c r="K108" s="8" t="s">
        <v>29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8" t="s">
        <v>336</v>
      </c>
      <c r="B109" s="8" t="s">
        <v>34</v>
      </c>
      <c r="C109" s="8" t="s">
        <v>153</v>
      </c>
      <c r="D109" s="8" t="s">
        <v>154</v>
      </c>
      <c r="E109" s="9" t="s">
        <v>337</v>
      </c>
      <c r="F109" s="8" t="s">
        <v>267</v>
      </c>
      <c r="G109" s="8" t="s">
        <v>329</v>
      </c>
      <c r="H109" s="8" t="s">
        <v>259</v>
      </c>
      <c r="I109" s="8" t="s">
        <v>91</v>
      </c>
      <c r="J109" s="8" t="s">
        <v>275</v>
      </c>
      <c r="K109" s="8" t="s">
        <v>55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8" t="s">
        <v>338</v>
      </c>
      <c r="B110" s="8" t="s">
        <v>290</v>
      </c>
      <c r="C110" s="8" t="s">
        <v>291</v>
      </c>
      <c r="D110" s="8" t="s">
        <v>292</v>
      </c>
      <c r="E110" s="9" t="s">
        <v>33</v>
      </c>
      <c r="F110" s="8" t="s">
        <v>293</v>
      </c>
      <c r="G110" s="8" t="s">
        <v>84</v>
      </c>
      <c r="H110" s="8" t="s">
        <v>259</v>
      </c>
      <c r="I110" s="8" t="s">
        <v>260</v>
      </c>
      <c r="J110" s="8" t="s">
        <v>294</v>
      </c>
      <c r="K110" s="8" t="s">
        <v>55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8" t="s">
        <v>33</v>
      </c>
      <c r="B111" s="8" t="s">
        <v>286</v>
      </c>
      <c r="C111" s="8" t="s">
        <v>287</v>
      </c>
      <c r="D111" s="8" t="s">
        <v>288</v>
      </c>
      <c r="E111" s="9" t="s">
        <v>288</v>
      </c>
      <c r="F111" s="8" t="s">
        <v>289</v>
      </c>
      <c r="G111" s="8" t="s">
        <v>329</v>
      </c>
      <c r="H111" s="8" t="s">
        <v>259</v>
      </c>
      <c r="I111" s="8" t="s">
        <v>91</v>
      </c>
      <c r="J111" s="8" t="s">
        <v>275</v>
      </c>
      <c r="K111" s="8" t="s">
        <v>29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8" t="s">
        <v>33</v>
      </c>
      <c r="B112" s="8" t="s">
        <v>167</v>
      </c>
      <c r="C112" s="8" t="s">
        <v>296</v>
      </c>
      <c r="D112" s="8" t="s">
        <v>297</v>
      </c>
      <c r="E112" s="9" t="s">
        <v>339</v>
      </c>
      <c r="F112" s="8" t="s">
        <v>299</v>
      </c>
      <c r="G112" s="8" t="s">
        <v>329</v>
      </c>
      <c r="H112" s="8" t="s">
        <v>259</v>
      </c>
      <c r="I112" s="8" t="s">
        <v>91</v>
      </c>
      <c r="J112" s="8" t="s">
        <v>275</v>
      </c>
      <c r="K112" s="8" t="s">
        <v>29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8" t="s">
        <v>33</v>
      </c>
      <c r="B113" s="8" t="s">
        <v>301</v>
      </c>
      <c r="C113" s="8" t="s">
        <v>296</v>
      </c>
      <c r="D113" s="8" t="s">
        <v>323</v>
      </c>
      <c r="E113" s="9" t="s">
        <v>340</v>
      </c>
      <c r="F113" s="8" t="s">
        <v>304</v>
      </c>
      <c r="G113" s="8" t="s">
        <v>329</v>
      </c>
      <c r="H113" s="8" t="s">
        <v>259</v>
      </c>
      <c r="I113" s="8" t="s">
        <v>91</v>
      </c>
      <c r="J113" s="8" t="s">
        <v>275</v>
      </c>
      <c r="K113" s="8" t="s">
        <v>29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8" t="s">
        <v>33</v>
      </c>
      <c r="B114" s="8" t="s">
        <v>305</v>
      </c>
      <c r="C114" s="8" t="s">
        <v>288</v>
      </c>
      <c r="D114" s="8" t="s">
        <v>288</v>
      </c>
      <c r="E114" s="9" t="s">
        <v>288</v>
      </c>
      <c r="F114" s="8" t="s">
        <v>306</v>
      </c>
      <c r="G114" s="8" t="s">
        <v>329</v>
      </c>
      <c r="H114" s="8" t="s">
        <v>259</v>
      </c>
      <c r="I114" s="8" t="s">
        <v>91</v>
      </c>
      <c r="J114" s="8" t="s">
        <v>275</v>
      </c>
      <c r="K114" s="8" t="s">
        <v>29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8" t="s">
        <v>33</v>
      </c>
      <c r="B115" s="8" t="s">
        <v>325</v>
      </c>
      <c r="C115" s="8" t="s">
        <v>288</v>
      </c>
      <c r="D115" s="8" t="s">
        <v>288</v>
      </c>
      <c r="E115" s="9" t="s">
        <v>288</v>
      </c>
      <c r="F115" s="8" t="s">
        <v>326</v>
      </c>
      <c r="G115" s="8" t="s">
        <v>329</v>
      </c>
      <c r="H115" s="8" t="s">
        <v>259</v>
      </c>
      <c r="I115" s="8" t="s">
        <v>91</v>
      </c>
      <c r="J115" s="8" t="s">
        <v>275</v>
      </c>
      <c r="K115" s="8" t="s">
        <v>29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8" t="s">
        <v>341</v>
      </c>
      <c r="B116" s="8" t="s">
        <v>56</v>
      </c>
      <c r="C116" s="8" t="s">
        <v>288</v>
      </c>
      <c r="D116" s="8" t="s">
        <v>288</v>
      </c>
      <c r="E116" s="9" t="s">
        <v>288</v>
      </c>
      <c r="F116" s="8" t="s">
        <v>342</v>
      </c>
      <c r="G116" s="8" t="s">
        <v>343</v>
      </c>
      <c r="H116" s="8" t="s">
        <v>259</v>
      </c>
      <c r="I116" s="8" t="s">
        <v>91</v>
      </c>
      <c r="J116" s="8" t="s">
        <v>275</v>
      </c>
      <c r="K116" s="8" t="s">
        <v>29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8" t="s">
        <v>344</v>
      </c>
      <c r="B117" s="8" t="s">
        <v>98</v>
      </c>
      <c r="C117" s="8" t="s">
        <v>145</v>
      </c>
      <c r="D117" s="8" t="s">
        <v>345</v>
      </c>
      <c r="E117" s="9" t="s">
        <v>346</v>
      </c>
      <c r="F117" s="8" t="s">
        <v>51</v>
      </c>
      <c r="G117" s="8" t="s">
        <v>343</v>
      </c>
      <c r="H117" s="8" t="s">
        <v>259</v>
      </c>
      <c r="I117" s="8" t="s">
        <v>91</v>
      </c>
      <c r="J117" s="8" t="s">
        <v>275</v>
      </c>
      <c r="K117" s="8" t="s">
        <v>29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8" t="s">
        <v>347</v>
      </c>
      <c r="B118" s="8" t="s">
        <v>41</v>
      </c>
      <c r="C118" s="8" t="s">
        <v>153</v>
      </c>
      <c r="D118" s="8" t="s">
        <v>348</v>
      </c>
      <c r="E118" s="9" t="s">
        <v>349</v>
      </c>
      <c r="F118" s="8" t="s">
        <v>350</v>
      </c>
      <c r="G118" s="8" t="s">
        <v>343</v>
      </c>
      <c r="H118" s="8" t="s">
        <v>259</v>
      </c>
      <c r="I118" s="8" t="s">
        <v>91</v>
      </c>
      <c r="J118" s="8" t="s">
        <v>275</v>
      </c>
      <c r="K118" s="8" t="s">
        <v>29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8" t="s">
        <v>33</v>
      </c>
      <c r="B119" s="8" t="s">
        <v>34</v>
      </c>
      <c r="C119" s="8" t="s">
        <v>156</v>
      </c>
      <c r="D119" s="8" t="s">
        <v>351</v>
      </c>
      <c r="E119" s="9" t="s">
        <v>352</v>
      </c>
      <c r="F119" s="8" t="s">
        <v>267</v>
      </c>
      <c r="G119" s="8" t="s">
        <v>343</v>
      </c>
      <c r="H119" s="8" t="s">
        <v>259</v>
      </c>
      <c r="I119" s="8" t="s">
        <v>91</v>
      </c>
      <c r="J119" s="8" t="s">
        <v>275</v>
      </c>
      <c r="K119" s="8" t="s">
        <v>29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8" t="s">
        <v>33</v>
      </c>
      <c r="B120" s="8" t="s">
        <v>286</v>
      </c>
      <c r="C120" s="8" t="s">
        <v>287</v>
      </c>
      <c r="D120" s="8" t="s">
        <v>288</v>
      </c>
      <c r="E120" s="9" t="s">
        <v>288</v>
      </c>
      <c r="F120" s="8" t="s">
        <v>289</v>
      </c>
      <c r="G120" s="8" t="s">
        <v>343</v>
      </c>
      <c r="H120" s="8" t="s">
        <v>259</v>
      </c>
      <c r="I120" s="8" t="s">
        <v>91</v>
      </c>
      <c r="J120" s="8" t="s">
        <v>275</v>
      </c>
      <c r="K120" s="8" t="s">
        <v>29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8" t="s">
        <v>33</v>
      </c>
      <c r="B121" s="8" t="s">
        <v>290</v>
      </c>
      <c r="C121" s="8" t="s">
        <v>353</v>
      </c>
      <c r="D121" s="8" t="s">
        <v>33</v>
      </c>
      <c r="E121" s="9" t="s">
        <v>33</v>
      </c>
      <c r="F121" s="8" t="s">
        <v>33</v>
      </c>
      <c r="G121" s="8" t="s">
        <v>84</v>
      </c>
      <c r="H121" s="8" t="s">
        <v>259</v>
      </c>
      <c r="I121" s="8" t="s">
        <v>260</v>
      </c>
      <c r="J121" s="8" t="s">
        <v>294</v>
      </c>
      <c r="K121" s="8" t="s">
        <v>29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8" t="s">
        <v>33</v>
      </c>
      <c r="B122" s="8" t="s">
        <v>167</v>
      </c>
      <c r="C122" s="8" t="s">
        <v>296</v>
      </c>
      <c r="D122" s="8" t="s">
        <v>297</v>
      </c>
      <c r="E122" s="9" t="s">
        <v>354</v>
      </c>
      <c r="F122" s="8" t="s">
        <v>355</v>
      </c>
      <c r="G122" s="8" t="s">
        <v>343</v>
      </c>
      <c r="H122" s="8" t="s">
        <v>259</v>
      </c>
      <c r="I122" s="8" t="s">
        <v>91</v>
      </c>
      <c r="J122" s="8" t="s">
        <v>275</v>
      </c>
      <c r="K122" s="8" t="s">
        <v>29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8" t="s">
        <v>33</v>
      </c>
      <c r="B123" s="8" t="s">
        <v>132</v>
      </c>
      <c r="C123" s="8" t="s">
        <v>296</v>
      </c>
      <c r="D123" s="8" t="s">
        <v>356</v>
      </c>
      <c r="E123" s="9" t="s">
        <v>357</v>
      </c>
      <c r="F123" s="8" t="s">
        <v>304</v>
      </c>
      <c r="G123" s="8" t="s">
        <v>343</v>
      </c>
      <c r="H123" s="8" t="s">
        <v>259</v>
      </c>
      <c r="I123" s="8" t="s">
        <v>91</v>
      </c>
      <c r="J123" s="8" t="s">
        <v>275</v>
      </c>
      <c r="K123" s="8" t="s">
        <v>29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8" t="s">
        <v>33</v>
      </c>
      <c r="B124" s="8" t="s">
        <v>305</v>
      </c>
      <c r="C124" s="8" t="s">
        <v>288</v>
      </c>
      <c r="D124" s="8" t="s">
        <v>288</v>
      </c>
      <c r="E124" s="9" t="s">
        <v>288</v>
      </c>
      <c r="F124" s="8" t="s">
        <v>306</v>
      </c>
      <c r="G124" s="8" t="s">
        <v>343</v>
      </c>
      <c r="H124" s="8" t="s">
        <v>259</v>
      </c>
      <c r="I124" s="8" t="s">
        <v>91</v>
      </c>
      <c r="J124" s="8" t="s">
        <v>275</v>
      </c>
      <c r="K124" s="8" t="s">
        <v>29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8" t="s">
        <v>33</v>
      </c>
      <c r="B125" s="8" t="s">
        <v>325</v>
      </c>
      <c r="C125" s="8" t="s">
        <v>288</v>
      </c>
      <c r="D125" s="8" t="s">
        <v>288</v>
      </c>
      <c r="E125" s="9" t="s">
        <v>288</v>
      </c>
      <c r="F125" s="8" t="s">
        <v>326</v>
      </c>
      <c r="G125" s="8" t="s">
        <v>343</v>
      </c>
      <c r="H125" s="8" t="s">
        <v>259</v>
      </c>
      <c r="I125" s="8" t="s">
        <v>91</v>
      </c>
      <c r="J125" s="8" t="s">
        <v>275</v>
      </c>
      <c r="K125" s="8" t="s">
        <v>29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8" t="s">
        <v>269</v>
      </c>
      <c r="B126" s="8" t="s">
        <v>67</v>
      </c>
      <c r="C126" s="8" t="s">
        <v>270</v>
      </c>
      <c r="D126" s="8" t="s">
        <v>358</v>
      </c>
      <c r="E126" s="9" t="s">
        <v>359</v>
      </c>
      <c r="F126" s="8" t="s">
        <v>360</v>
      </c>
      <c r="G126" s="8" t="s">
        <v>361</v>
      </c>
      <c r="H126" s="8" t="s">
        <v>259</v>
      </c>
      <c r="I126" s="8" t="s">
        <v>91</v>
      </c>
      <c r="J126" s="8" t="s">
        <v>275</v>
      </c>
      <c r="K126" s="8" t="s">
        <v>29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8" t="s">
        <v>276</v>
      </c>
      <c r="B127" s="8" t="s">
        <v>132</v>
      </c>
      <c r="C127" s="8" t="s">
        <v>362</v>
      </c>
      <c r="D127" s="8" t="s">
        <v>277</v>
      </c>
      <c r="E127" s="9" t="s">
        <v>363</v>
      </c>
      <c r="F127" s="8" t="s">
        <v>134</v>
      </c>
      <c r="G127" s="8" t="s">
        <v>361</v>
      </c>
      <c r="H127" s="8" t="s">
        <v>259</v>
      </c>
      <c r="I127" s="8" t="s">
        <v>91</v>
      </c>
      <c r="J127" s="8" t="s">
        <v>275</v>
      </c>
      <c r="K127" s="8" t="s">
        <v>29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8" t="s">
        <v>33</v>
      </c>
      <c r="B128" s="8" t="s">
        <v>253</v>
      </c>
      <c r="C128" s="8" t="s">
        <v>254</v>
      </c>
      <c r="D128" s="8" t="s">
        <v>255</v>
      </c>
      <c r="E128" s="9" t="s">
        <v>364</v>
      </c>
      <c r="F128" s="8" t="s">
        <v>281</v>
      </c>
      <c r="G128" s="8" t="s">
        <v>361</v>
      </c>
      <c r="H128" s="8" t="s">
        <v>259</v>
      </c>
      <c r="I128" s="8" t="s">
        <v>91</v>
      </c>
      <c r="J128" s="8" t="s">
        <v>275</v>
      </c>
      <c r="K128" s="8" t="s">
        <v>29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8" t="s">
        <v>365</v>
      </c>
      <c r="B129" s="8" t="s">
        <v>34</v>
      </c>
      <c r="C129" s="8" t="s">
        <v>153</v>
      </c>
      <c r="D129" s="8" t="s">
        <v>154</v>
      </c>
      <c r="E129" s="9" t="s">
        <v>366</v>
      </c>
      <c r="F129" s="8" t="s">
        <v>267</v>
      </c>
      <c r="G129" s="8" t="s">
        <v>361</v>
      </c>
      <c r="H129" s="8" t="s">
        <v>259</v>
      </c>
      <c r="I129" s="8" t="s">
        <v>91</v>
      </c>
      <c r="J129" s="8" t="s">
        <v>275</v>
      </c>
      <c r="K129" s="8" t="s">
        <v>55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8" t="s">
        <v>33</v>
      </c>
      <c r="B130" s="8" t="s">
        <v>286</v>
      </c>
      <c r="C130" s="8" t="s">
        <v>287</v>
      </c>
      <c r="D130" s="8" t="s">
        <v>288</v>
      </c>
      <c r="E130" s="9" t="s">
        <v>288</v>
      </c>
      <c r="F130" s="8" t="s">
        <v>289</v>
      </c>
      <c r="G130" s="8" t="s">
        <v>361</v>
      </c>
      <c r="H130" s="8" t="s">
        <v>259</v>
      </c>
      <c r="I130" s="8" t="s">
        <v>91</v>
      </c>
      <c r="J130" s="8" t="s">
        <v>275</v>
      </c>
      <c r="K130" s="8" t="s">
        <v>29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8" t="s">
        <v>367</v>
      </c>
      <c r="B131" s="8" t="s">
        <v>290</v>
      </c>
      <c r="C131" s="8" t="s">
        <v>291</v>
      </c>
      <c r="D131" s="8" t="s">
        <v>292</v>
      </c>
      <c r="E131" s="9" t="s">
        <v>33</v>
      </c>
      <c r="F131" s="8" t="s">
        <v>293</v>
      </c>
      <c r="G131" s="8" t="s">
        <v>84</v>
      </c>
      <c r="H131" s="8" t="s">
        <v>259</v>
      </c>
      <c r="I131" s="8" t="s">
        <v>260</v>
      </c>
      <c r="J131" s="8" t="s">
        <v>294</v>
      </c>
      <c r="K131" s="8" t="s">
        <v>55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8" t="s">
        <v>33</v>
      </c>
      <c r="B132" s="8" t="s">
        <v>167</v>
      </c>
      <c r="C132" s="8" t="s">
        <v>296</v>
      </c>
      <c r="D132" s="8" t="s">
        <v>297</v>
      </c>
      <c r="E132" s="9" t="s">
        <v>368</v>
      </c>
      <c r="F132" s="8" t="s">
        <v>299</v>
      </c>
      <c r="G132" s="8" t="s">
        <v>361</v>
      </c>
      <c r="H132" s="8" t="s">
        <v>259</v>
      </c>
      <c r="I132" s="8" t="s">
        <v>91</v>
      </c>
      <c r="J132" s="8" t="s">
        <v>275</v>
      </c>
      <c r="K132" s="8" t="s">
        <v>29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8" t="s">
        <v>367</v>
      </c>
      <c r="B133" s="8" t="s">
        <v>301</v>
      </c>
      <c r="C133" s="8" t="s">
        <v>296</v>
      </c>
      <c r="D133" s="8" t="s">
        <v>302</v>
      </c>
      <c r="E133" s="9" t="s">
        <v>369</v>
      </c>
      <c r="F133" s="8" t="s">
        <v>304</v>
      </c>
      <c r="G133" s="8" t="s">
        <v>361</v>
      </c>
      <c r="H133" s="8" t="s">
        <v>259</v>
      </c>
      <c r="I133" s="8" t="s">
        <v>91</v>
      </c>
      <c r="J133" s="8" t="s">
        <v>275</v>
      </c>
      <c r="K133" s="8" t="s">
        <v>29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8" t="s">
        <v>33</v>
      </c>
      <c r="B134" s="8" t="s">
        <v>305</v>
      </c>
      <c r="C134" s="8" t="s">
        <v>288</v>
      </c>
      <c r="D134" s="8" t="s">
        <v>288</v>
      </c>
      <c r="E134" s="9" t="s">
        <v>288</v>
      </c>
      <c r="F134" s="8" t="s">
        <v>306</v>
      </c>
      <c r="G134" s="8" t="s">
        <v>361</v>
      </c>
      <c r="H134" s="8" t="s">
        <v>259</v>
      </c>
      <c r="I134" s="8" t="s">
        <v>91</v>
      </c>
      <c r="J134" s="8" t="s">
        <v>275</v>
      </c>
      <c r="K134" s="8" t="s">
        <v>29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8" t="s">
        <v>33</v>
      </c>
      <c r="B135" s="8" t="s">
        <v>325</v>
      </c>
      <c r="C135" s="8" t="s">
        <v>288</v>
      </c>
      <c r="D135" s="8" t="s">
        <v>288</v>
      </c>
      <c r="E135" s="9" t="s">
        <v>288</v>
      </c>
      <c r="F135" s="8" t="s">
        <v>326</v>
      </c>
      <c r="G135" s="8" t="s">
        <v>361</v>
      </c>
      <c r="H135" s="8" t="s">
        <v>259</v>
      </c>
      <c r="I135" s="8" t="s">
        <v>91</v>
      </c>
      <c r="J135" s="8" t="s">
        <v>275</v>
      </c>
      <c r="K135" s="8" t="s">
        <v>29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8" t="s">
        <v>370</v>
      </c>
      <c r="B136" s="8" t="s">
        <v>67</v>
      </c>
      <c r="C136" s="8" t="s">
        <v>125</v>
      </c>
      <c r="D136" s="8" t="s">
        <v>371</v>
      </c>
      <c r="E136" s="9" t="s">
        <v>372</v>
      </c>
      <c r="F136" s="8" t="s">
        <v>373</v>
      </c>
      <c r="G136" s="8" t="s">
        <v>374</v>
      </c>
      <c r="H136" s="8" t="s">
        <v>259</v>
      </c>
      <c r="I136" s="8" t="s">
        <v>91</v>
      </c>
      <c r="J136" s="8" t="s">
        <v>275</v>
      </c>
      <c r="K136" s="8" t="s">
        <v>117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8" t="s">
        <v>375</v>
      </c>
      <c r="B137" s="8" t="s">
        <v>132</v>
      </c>
      <c r="C137" s="8" t="s">
        <v>125</v>
      </c>
      <c r="D137" s="8" t="s">
        <v>33</v>
      </c>
      <c r="E137" s="9" t="s">
        <v>33</v>
      </c>
      <c r="F137" s="8" t="s">
        <v>134</v>
      </c>
      <c r="G137" s="8" t="s">
        <v>374</v>
      </c>
      <c r="H137" s="8" t="s">
        <v>259</v>
      </c>
      <c r="I137" s="8" t="s">
        <v>91</v>
      </c>
      <c r="J137" s="8" t="s">
        <v>275</v>
      </c>
      <c r="K137" s="8" t="s">
        <v>29</v>
      </c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8" t="s">
        <v>33</v>
      </c>
      <c r="B138" s="8" t="s">
        <v>253</v>
      </c>
      <c r="C138" s="8" t="s">
        <v>254</v>
      </c>
      <c r="D138" s="8" t="s">
        <v>255</v>
      </c>
      <c r="E138" s="9" t="s">
        <v>376</v>
      </c>
      <c r="F138" s="8" t="s">
        <v>281</v>
      </c>
      <c r="G138" s="8" t="s">
        <v>374</v>
      </c>
      <c r="H138" s="8" t="s">
        <v>259</v>
      </c>
      <c r="I138" s="8" t="s">
        <v>91</v>
      </c>
      <c r="J138" s="8" t="s">
        <v>275</v>
      </c>
      <c r="K138" s="8" t="s">
        <v>29</v>
      </c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8" t="s">
        <v>377</v>
      </c>
      <c r="B139" s="8" t="s">
        <v>41</v>
      </c>
      <c r="C139" s="8" t="s">
        <v>378</v>
      </c>
      <c r="D139" s="8" t="s">
        <v>379</v>
      </c>
      <c r="E139" s="9" t="s">
        <v>33</v>
      </c>
      <c r="F139" s="8" t="s">
        <v>350</v>
      </c>
      <c r="G139" s="8" t="s">
        <v>374</v>
      </c>
      <c r="H139" s="8" t="s">
        <v>259</v>
      </c>
      <c r="I139" s="8" t="s">
        <v>91</v>
      </c>
      <c r="J139" s="8" t="s">
        <v>275</v>
      </c>
      <c r="K139" s="8" t="s">
        <v>29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8" t="s">
        <v>33</v>
      </c>
      <c r="B140" s="8" t="s">
        <v>34</v>
      </c>
      <c r="C140" s="8" t="s">
        <v>156</v>
      </c>
      <c r="D140" s="8" t="s">
        <v>157</v>
      </c>
      <c r="E140" s="9" t="s">
        <v>158</v>
      </c>
      <c r="F140" s="8" t="s">
        <v>267</v>
      </c>
      <c r="G140" s="8" t="s">
        <v>374</v>
      </c>
      <c r="H140" s="8" t="s">
        <v>259</v>
      </c>
      <c r="I140" s="8" t="s">
        <v>91</v>
      </c>
      <c r="J140" s="8" t="s">
        <v>275</v>
      </c>
      <c r="K140" s="8" t="s">
        <v>55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8" t="s">
        <v>33</v>
      </c>
      <c r="B141" s="8" t="s">
        <v>286</v>
      </c>
      <c r="C141" s="8" t="s">
        <v>287</v>
      </c>
      <c r="D141" s="8" t="s">
        <v>288</v>
      </c>
      <c r="E141" s="9" t="s">
        <v>288</v>
      </c>
      <c r="F141" s="8" t="s">
        <v>289</v>
      </c>
      <c r="G141" s="8" t="s">
        <v>374</v>
      </c>
      <c r="H141" s="8" t="s">
        <v>259</v>
      </c>
      <c r="I141" s="8" t="s">
        <v>91</v>
      </c>
      <c r="J141" s="8" t="s">
        <v>275</v>
      </c>
      <c r="K141" s="8" t="s">
        <v>29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8" t="s">
        <v>380</v>
      </c>
      <c r="B142" s="8" t="s">
        <v>290</v>
      </c>
      <c r="C142" s="8" t="s">
        <v>291</v>
      </c>
      <c r="D142" s="8" t="s">
        <v>292</v>
      </c>
      <c r="E142" s="9" t="s">
        <v>381</v>
      </c>
      <c r="F142" s="8" t="s">
        <v>293</v>
      </c>
      <c r="G142" s="8" t="s">
        <v>84</v>
      </c>
      <c r="H142" s="8" t="s">
        <v>259</v>
      </c>
      <c r="I142" s="8" t="s">
        <v>260</v>
      </c>
      <c r="J142" s="8" t="s">
        <v>294</v>
      </c>
      <c r="K142" s="8" t="s">
        <v>55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8" t="s">
        <v>33</v>
      </c>
      <c r="B143" s="8" t="s">
        <v>67</v>
      </c>
      <c r="C143" s="8" t="s">
        <v>270</v>
      </c>
      <c r="D143" s="8" t="s">
        <v>358</v>
      </c>
      <c r="E143" s="9" t="s">
        <v>382</v>
      </c>
      <c r="F143" s="8" t="s">
        <v>383</v>
      </c>
      <c r="G143" s="8" t="s">
        <v>84</v>
      </c>
      <c r="H143" s="8" t="s">
        <v>259</v>
      </c>
      <c r="I143" s="8" t="s">
        <v>260</v>
      </c>
      <c r="J143" s="8" t="s">
        <v>294</v>
      </c>
      <c r="K143" s="8" t="s">
        <v>29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8" t="s">
        <v>33</v>
      </c>
      <c r="B144" s="8" t="s">
        <v>132</v>
      </c>
      <c r="C144" s="8" t="s">
        <v>331</v>
      </c>
      <c r="D144" s="8" t="s">
        <v>332</v>
      </c>
      <c r="E144" s="9" t="s">
        <v>384</v>
      </c>
      <c r="F144" s="8" t="s">
        <v>134</v>
      </c>
      <c r="G144" s="8" t="s">
        <v>84</v>
      </c>
      <c r="H144" s="8" t="s">
        <v>259</v>
      </c>
      <c r="I144" s="8" t="s">
        <v>260</v>
      </c>
      <c r="J144" s="8" t="s">
        <v>294</v>
      </c>
      <c r="K144" s="8" t="s">
        <v>29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8" t="s">
        <v>385</v>
      </c>
      <c r="B145" s="8" t="s">
        <v>253</v>
      </c>
      <c r="C145" s="8" t="s">
        <v>254</v>
      </c>
      <c r="D145" s="8" t="s">
        <v>255</v>
      </c>
      <c r="E145" s="9" t="s">
        <v>386</v>
      </c>
      <c r="F145" s="8" t="s">
        <v>281</v>
      </c>
      <c r="G145" s="8" t="s">
        <v>84</v>
      </c>
      <c r="H145" s="8" t="s">
        <v>259</v>
      </c>
      <c r="I145" s="8" t="s">
        <v>260</v>
      </c>
      <c r="J145" s="8" t="s">
        <v>294</v>
      </c>
      <c r="K145" s="8" t="s">
        <v>29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8" t="s">
        <v>33</v>
      </c>
      <c r="B146" s="8" t="s">
        <v>34</v>
      </c>
      <c r="C146" s="8" t="s">
        <v>153</v>
      </c>
      <c r="D146" s="8" t="s">
        <v>154</v>
      </c>
      <c r="E146" s="9" t="s">
        <v>387</v>
      </c>
      <c r="F146" s="8" t="s">
        <v>267</v>
      </c>
      <c r="G146" s="8" t="s">
        <v>388</v>
      </c>
      <c r="H146" s="8" t="s">
        <v>259</v>
      </c>
      <c r="I146" s="8" t="s">
        <v>91</v>
      </c>
      <c r="J146" s="8" t="s">
        <v>275</v>
      </c>
      <c r="K146" s="8" t="s">
        <v>29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8" t="s">
        <v>33</v>
      </c>
      <c r="B147" s="8" t="s">
        <v>286</v>
      </c>
      <c r="C147" s="8" t="s">
        <v>287</v>
      </c>
      <c r="D147" s="8" t="s">
        <v>288</v>
      </c>
      <c r="E147" s="9" t="s">
        <v>288</v>
      </c>
      <c r="F147" s="8" t="s">
        <v>289</v>
      </c>
      <c r="G147" s="8" t="s">
        <v>84</v>
      </c>
      <c r="H147" s="8" t="s">
        <v>259</v>
      </c>
      <c r="I147" s="8" t="s">
        <v>260</v>
      </c>
      <c r="J147" s="8" t="s">
        <v>294</v>
      </c>
      <c r="K147" s="8" t="s">
        <v>29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8" t="s">
        <v>389</v>
      </c>
      <c r="B148" s="8" t="s">
        <v>290</v>
      </c>
      <c r="C148" s="8" t="s">
        <v>291</v>
      </c>
      <c r="D148" s="8" t="s">
        <v>292</v>
      </c>
      <c r="E148" s="9" t="s">
        <v>390</v>
      </c>
      <c r="F148" s="8" t="s">
        <v>293</v>
      </c>
      <c r="G148" s="8" t="s">
        <v>84</v>
      </c>
      <c r="H148" s="8" t="s">
        <v>259</v>
      </c>
      <c r="I148" s="8" t="s">
        <v>260</v>
      </c>
      <c r="J148" s="8" t="s">
        <v>294</v>
      </c>
      <c r="K148" s="8" t="s">
        <v>29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8" t="s">
        <v>33</v>
      </c>
      <c r="B149" s="8" t="s">
        <v>167</v>
      </c>
      <c r="C149" s="8" t="s">
        <v>296</v>
      </c>
      <c r="D149" s="8" t="s">
        <v>391</v>
      </c>
      <c r="E149" s="9" t="s">
        <v>392</v>
      </c>
      <c r="F149" s="8" t="s">
        <v>322</v>
      </c>
      <c r="G149" s="8" t="s">
        <v>393</v>
      </c>
      <c r="H149" s="8" t="s">
        <v>259</v>
      </c>
      <c r="I149" s="8" t="s">
        <v>91</v>
      </c>
      <c r="J149" s="8" t="s">
        <v>275</v>
      </c>
      <c r="K149" s="8" t="s">
        <v>29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8" t="s">
        <v>33</v>
      </c>
      <c r="B150" s="8" t="s">
        <v>301</v>
      </c>
      <c r="C150" s="8" t="s">
        <v>296</v>
      </c>
      <c r="D150" s="8" t="s">
        <v>302</v>
      </c>
      <c r="E150" s="9" t="s">
        <v>394</v>
      </c>
      <c r="F150" s="8" t="s">
        <v>395</v>
      </c>
      <c r="G150" s="8" t="s">
        <v>393</v>
      </c>
      <c r="H150" s="8" t="s">
        <v>259</v>
      </c>
      <c r="I150" s="8" t="s">
        <v>91</v>
      </c>
      <c r="J150" s="8" t="s">
        <v>275</v>
      </c>
      <c r="K150" s="8" t="s">
        <v>29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8" t="s">
        <v>33</v>
      </c>
      <c r="B151" s="8" t="s">
        <v>305</v>
      </c>
      <c r="C151" s="8" t="s">
        <v>288</v>
      </c>
      <c r="D151" s="8" t="s">
        <v>288</v>
      </c>
      <c r="E151" s="9" t="s">
        <v>288</v>
      </c>
      <c r="F151" s="8" t="s">
        <v>306</v>
      </c>
      <c r="G151" s="8" t="s">
        <v>393</v>
      </c>
      <c r="H151" s="8" t="s">
        <v>259</v>
      </c>
      <c r="I151" s="8" t="s">
        <v>91</v>
      </c>
      <c r="J151" s="8" t="s">
        <v>275</v>
      </c>
      <c r="K151" s="8" t="s">
        <v>29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8" t="s">
        <v>33</v>
      </c>
      <c r="B152" s="8" t="s">
        <v>325</v>
      </c>
      <c r="C152" s="8" t="s">
        <v>288</v>
      </c>
      <c r="D152" s="8" t="s">
        <v>288</v>
      </c>
      <c r="E152" s="9" t="s">
        <v>288</v>
      </c>
      <c r="F152" s="8" t="s">
        <v>326</v>
      </c>
      <c r="G152" s="8" t="s">
        <v>393</v>
      </c>
      <c r="H152" s="8" t="s">
        <v>259</v>
      </c>
      <c r="I152" s="8" t="s">
        <v>91</v>
      </c>
      <c r="J152" s="8" t="s">
        <v>275</v>
      </c>
      <c r="K152" s="8" t="s">
        <v>29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8" t="s">
        <v>396</v>
      </c>
      <c r="B153" s="8" t="s">
        <v>67</v>
      </c>
      <c r="C153" s="8" t="s">
        <v>270</v>
      </c>
      <c r="D153" s="8" t="s">
        <v>358</v>
      </c>
      <c r="E153" s="9" t="s">
        <v>397</v>
      </c>
      <c r="F153" s="8" t="s">
        <v>398</v>
      </c>
      <c r="G153" s="8" t="s">
        <v>399</v>
      </c>
      <c r="H153" s="8" t="s">
        <v>259</v>
      </c>
      <c r="I153" s="8" t="s">
        <v>91</v>
      </c>
      <c r="J153" s="8" t="s">
        <v>400</v>
      </c>
      <c r="K153" s="8" t="s">
        <v>29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8" t="s">
        <v>401</v>
      </c>
      <c r="B154" s="8" t="s">
        <v>132</v>
      </c>
      <c r="C154" s="8" t="s">
        <v>331</v>
      </c>
      <c r="D154" s="8" t="s">
        <v>332</v>
      </c>
      <c r="E154" s="9" t="s">
        <v>402</v>
      </c>
      <c r="F154" s="8" t="s">
        <v>134</v>
      </c>
      <c r="G154" s="8" t="s">
        <v>399</v>
      </c>
      <c r="H154" s="8" t="s">
        <v>259</v>
      </c>
      <c r="I154" s="8" t="s">
        <v>91</v>
      </c>
      <c r="J154" s="8" t="s">
        <v>400</v>
      </c>
      <c r="K154" s="8" t="s">
        <v>29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8" t="s">
        <v>403</v>
      </c>
      <c r="B155" s="8" t="s">
        <v>253</v>
      </c>
      <c r="C155" s="8" t="s">
        <v>254</v>
      </c>
      <c r="D155" s="8" t="s">
        <v>255</v>
      </c>
      <c r="E155" s="9" t="s">
        <v>404</v>
      </c>
      <c r="F155" s="8" t="s">
        <v>281</v>
      </c>
      <c r="G155" s="8" t="s">
        <v>399</v>
      </c>
      <c r="H155" s="8" t="s">
        <v>259</v>
      </c>
      <c r="I155" s="8" t="s">
        <v>91</v>
      </c>
      <c r="J155" s="8" t="s">
        <v>400</v>
      </c>
      <c r="K155" s="8" t="s">
        <v>29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8" t="s">
        <v>405</v>
      </c>
      <c r="B156" s="8" t="s">
        <v>34</v>
      </c>
      <c r="C156" s="8" t="s">
        <v>35</v>
      </c>
      <c r="D156" s="8" t="s">
        <v>316</v>
      </c>
      <c r="E156" s="9" t="s">
        <v>317</v>
      </c>
      <c r="F156" s="8" t="s">
        <v>267</v>
      </c>
      <c r="G156" s="8" t="s">
        <v>399</v>
      </c>
      <c r="H156" s="8" t="s">
        <v>259</v>
      </c>
      <c r="I156" s="8" t="s">
        <v>91</v>
      </c>
      <c r="J156" s="8" t="s">
        <v>400</v>
      </c>
      <c r="K156" s="8" t="s">
        <v>29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8" t="s">
        <v>33</v>
      </c>
      <c r="B157" s="8" t="s">
        <v>286</v>
      </c>
      <c r="C157" s="8" t="s">
        <v>287</v>
      </c>
      <c r="D157" s="8" t="s">
        <v>288</v>
      </c>
      <c r="E157" s="9" t="s">
        <v>288</v>
      </c>
      <c r="F157" s="8" t="s">
        <v>289</v>
      </c>
      <c r="G157" s="8" t="s">
        <v>399</v>
      </c>
      <c r="H157" s="8" t="s">
        <v>259</v>
      </c>
      <c r="I157" s="8" t="s">
        <v>91</v>
      </c>
      <c r="J157" s="8" t="s">
        <v>400</v>
      </c>
      <c r="K157" s="8" t="s">
        <v>29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8" t="s">
        <v>406</v>
      </c>
      <c r="B158" s="8" t="s">
        <v>290</v>
      </c>
      <c r="C158" s="8" t="s">
        <v>291</v>
      </c>
      <c r="D158" s="8" t="s">
        <v>292</v>
      </c>
      <c r="E158" s="9" t="s">
        <v>407</v>
      </c>
      <c r="F158" s="8" t="s">
        <v>293</v>
      </c>
      <c r="G158" s="8" t="s">
        <v>84</v>
      </c>
      <c r="H158" s="8" t="s">
        <v>259</v>
      </c>
      <c r="I158" s="8" t="s">
        <v>260</v>
      </c>
      <c r="J158" s="8" t="s">
        <v>294</v>
      </c>
      <c r="K158" s="8" t="s">
        <v>55</v>
      </c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8" t="s">
        <v>33</v>
      </c>
      <c r="B159" s="8" t="s">
        <v>167</v>
      </c>
      <c r="C159" s="8" t="s">
        <v>296</v>
      </c>
      <c r="D159" s="8" t="s">
        <v>297</v>
      </c>
      <c r="E159" s="9" t="s">
        <v>408</v>
      </c>
      <c r="F159" s="8" t="s">
        <v>326</v>
      </c>
      <c r="G159" s="8" t="s">
        <v>399</v>
      </c>
      <c r="H159" s="8" t="s">
        <v>259</v>
      </c>
      <c r="I159" s="8" t="s">
        <v>91</v>
      </c>
      <c r="J159" s="8" t="s">
        <v>400</v>
      </c>
      <c r="K159" s="8" t="s">
        <v>29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8" t="s">
        <v>33</v>
      </c>
      <c r="B160" s="8" t="s">
        <v>132</v>
      </c>
      <c r="C160" s="8" t="s">
        <v>296</v>
      </c>
      <c r="D160" s="8" t="s">
        <v>302</v>
      </c>
      <c r="E160" s="9" t="s">
        <v>409</v>
      </c>
      <c r="F160" s="8" t="s">
        <v>304</v>
      </c>
      <c r="G160" s="8" t="s">
        <v>399</v>
      </c>
      <c r="H160" s="8" t="s">
        <v>259</v>
      </c>
      <c r="I160" s="8" t="s">
        <v>91</v>
      </c>
      <c r="J160" s="8" t="s">
        <v>400</v>
      </c>
      <c r="K160" s="8" t="s">
        <v>29</v>
      </c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8" t="s">
        <v>410</v>
      </c>
      <c r="B161" s="8" t="s">
        <v>67</v>
      </c>
      <c r="C161" s="8" t="s">
        <v>125</v>
      </c>
      <c r="D161" s="8" t="s">
        <v>411</v>
      </c>
      <c r="E161" s="9" t="s">
        <v>412</v>
      </c>
      <c r="F161" s="8" t="s">
        <v>413</v>
      </c>
      <c r="G161" s="8" t="s">
        <v>414</v>
      </c>
      <c r="H161" s="8" t="s">
        <v>259</v>
      </c>
      <c r="I161" s="8" t="s">
        <v>91</v>
      </c>
      <c r="J161" s="8" t="s">
        <v>400</v>
      </c>
      <c r="K161" s="8" t="s">
        <v>29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8" t="s">
        <v>33</v>
      </c>
      <c r="B162" s="8" t="s">
        <v>132</v>
      </c>
      <c r="C162" s="8" t="s">
        <v>125</v>
      </c>
      <c r="D162" s="8" t="s">
        <v>133</v>
      </c>
      <c r="E162" s="9" t="s">
        <v>415</v>
      </c>
      <c r="F162" s="8" t="s">
        <v>134</v>
      </c>
      <c r="G162" s="8" t="s">
        <v>414</v>
      </c>
      <c r="H162" s="8" t="s">
        <v>259</v>
      </c>
      <c r="I162" s="8" t="s">
        <v>91</v>
      </c>
      <c r="J162" s="8" t="s">
        <v>400</v>
      </c>
      <c r="K162" s="8" t="s">
        <v>29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8" t="s">
        <v>33</v>
      </c>
      <c r="B163" s="8" t="s">
        <v>253</v>
      </c>
      <c r="C163" s="8" t="s">
        <v>254</v>
      </c>
      <c r="D163" s="8" t="s">
        <v>255</v>
      </c>
      <c r="E163" s="9" t="s">
        <v>416</v>
      </c>
      <c r="F163" s="8" t="s">
        <v>281</v>
      </c>
      <c r="G163" s="8" t="s">
        <v>414</v>
      </c>
      <c r="H163" s="8" t="s">
        <v>259</v>
      </c>
      <c r="I163" s="8" t="s">
        <v>91</v>
      </c>
      <c r="J163" s="8" t="s">
        <v>400</v>
      </c>
      <c r="K163" s="8" t="s">
        <v>29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8" t="s">
        <v>33</v>
      </c>
      <c r="B164" s="8" t="s">
        <v>34</v>
      </c>
      <c r="C164" s="8" t="s">
        <v>153</v>
      </c>
      <c r="D164" s="8" t="s">
        <v>154</v>
      </c>
      <c r="E164" s="9" t="s">
        <v>417</v>
      </c>
      <c r="F164" s="8" t="s">
        <v>267</v>
      </c>
      <c r="G164" s="8" t="s">
        <v>414</v>
      </c>
      <c r="H164" s="8" t="s">
        <v>259</v>
      </c>
      <c r="I164" s="8" t="s">
        <v>91</v>
      </c>
      <c r="J164" s="8" t="s">
        <v>400</v>
      </c>
      <c r="K164" s="8" t="s">
        <v>29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8" t="s">
        <v>33</v>
      </c>
      <c r="B165" s="8" t="s">
        <v>286</v>
      </c>
      <c r="C165" s="8" t="s">
        <v>287</v>
      </c>
      <c r="D165" s="8" t="s">
        <v>288</v>
      </c>
      <c r="E165" s="9" t="s">
        <v>288</v>
      </c>
      <c r="F165" s="8" t="s">
        <v>289</v>
      </c>
      <c r="G165" s="8" t="s">
        <v>414</v>
      </c>
      <c r="H165" s="8" t="s">
        <v>259</v>
      </c>
      <c r="I165" s="8" t="s">
        <v>91</v>
      </c>
      <c r="J165" s="8" t="s">
        <v>400</v>
      </c>
      <c r="K165" s="8" t="s">
        <v>29</v>
      </c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8" t="s">
        <v>418</v>
      </c>
      <c r="B166" s="8" t="s">
        <v>290</v>
      </c>
      <c r="C166" s="8" t="s">
        <v>291</v>
      </c>
      <c r="D166" s="8" t="s">
        <v>292</v>
      </c>
      <c r="E166" s="9" t="s">
        <v>419</v>
      </c>
      <c r="F166" s="8" t="s">
        <v>420</v>
      </c>
      <c r="G166" s="8" t="s">
        <v>84</v>
      </c>
      <c r="H166" s="8" t="s">
        <v>259</v>
      </c>
      <c r="I166" s="8" t="s">
        <v>260</v>
      </c>
      <c r="J166" s="8" t="s">
        <v>294</v>
      </c>
      <c r="K166" s="8" t="s">
        <v>55</v>
      </c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8" t="s">
        <v>421</v>
      </c>
      <c r="B167" s="8" t="s">
        <v>74</v>
      </c>
      <c r="C167" s="8" t="s">
        <v>136</v>
      </c>
      <c r="D167" s="8" t="s">
        <v>33</v>
      </c>
      <c r="E167" s="9" t="s">
        <v>33</v>
      </c>
      <c r="F167" s="8" t="s">
        <v>422</v>
      </c>
      <c r="G167" s="8" t="s">
        <v>414</v>
      </c>
      <c r="H167" s="8" t="s">
        <v>259</v>
      </c>
      <c r="I167" s="8" t="s">
        <v>91</v>
      </c>
      <c r="J167" s="8" t="s">
        <v>400</v>
      </c>
      <c r="K167" s="8" t="s">
        <v>29</v>
      </c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8" t="s">
        <v>33</v>
      </c>
      <c r="B168" s="8" t="s">
        <v>167</v>
      </c>
      <c r="C168" s="8" t="s">
        <v>296</v>
      </c>
      <c r="D168" s="8" t="s">
        <v>297</v>
      </c>
      <c r="E168" s="9" t="s">
        <v>423</v>
      </c>
      <c r="F168" s="8" t="s">
        <v>326</v>
      </c>
      <c r="G168" s="8" t="s">
        <v>414</v>
      </c>
      <c r="H168" s="8" t="s">
        <v>259</v>
      </c>
      <c r="I168" s="8" t="s">
        <v>91</v>
      </c>
      <c r="J168" s="8" t="s">
        <v>400</v>
      </c>
      <c r="K168" s="8" t="s">
        <v>29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8" t="s">
        <v>33</v>
      </c>
      <c r="B169" s="8" t="s">
        <v>132</v>
      </c>
      <c r="C169" s="8" t="s">
        <v>296</v>
      </c>
      <c r="D169" s="8" t="s">
        <v>323</v>
      </c>
      <c r="E169" s="9" t="s">
        <v>424</v>
      </c>
      <c r="F169" s="8" t="s">
        <v>304</v>
      </c>
      <c r="G169" s="8" t="s">
        <v>414</v>
      </c>
      <c r="H169" s="8" t="s">
        <v>259</v>
      </c>
      <c r="I169" s="8" t="s">
        <v>91</v>
      </c>
      <c r="J169" s="8" t="s">
        <v>400</v>
      </c>
      <c r="K169" s="8" t="s">
        <v>29</v>
      </c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8" t="s">
        <v>425</v>
      </c>
      <c r="B170" s="8" t="s">
        <v>67</v>
      </c>
      <c r="C170" s="8" t="s">
        <v>125</v>
      </c>
      <c r="D170" s="8" t="s">
        <v>411</v>
      </c>
      <c r="E170" s="9" t="s">
        <v>426</v>
      </c>
      <c r="F170" s="8" t="s">
        <v>413</v>
      </c>
      <c r="G170" s="8" t="s">
        <v>427</v>
      </c>
      <c r="H170" s="8" t="s">
        <v>259</v>
      </c>
      <c r="I170" s="8" t="s">
        <v>91</v>
      </c>
      <c r="J170" s="8" t="s">
        <v>400</v>
      </c>
      <c r="K170" s="8" t="s">
        <v>29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8" t="s">
        <v>428</v>
      </c>
      <c r="B171" s="8" t="s">
        <v>132</v>
      </c>
      <c r="C171" s="8" t="s">
        <v>125</v>
      </c>
      <c r="D171" s="8" t="s">
        <v>133</v>
      </c>
      <c r="E171" s="9" t="s">
        <v>429</v>
      </c>
      <c r="F171" s="8" t="s">
        <v>134</v>
      </c>
      <c r="G171" s="8" t="s">
        <v>427</v>
      </c>
      <c r="H171" s="8" t="s">
        <v>259</v>
      </c>
      <c r="I171" s="8" t="s">
        <v>91</v>
      </c>
      <c r="J171" s="8" t="s">
        <v>400</v>
      </c>
      <c r="K171" s="8" t="s">
        <v>29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8" t="s">
        <v>430</v>
      </c>
      <c r="B172" s="8" t="s">
        <v>253</v>
      </c>
      <c r="C172" s="8" t="s">
        <v>254</v>
      </c>
      <c r="D172" s="8" t="s">
        <v>255</v>
      </c>
      <c r="E172" s="9" t="s">
        <v>431</v>
      </c>
      <c r="F172" s="8" t="s">
        <v>281</v>
      </c>
      <c r="G172" s="8" t="s">
        <v>427</v>
      </c>
      <c r="H172" s="8" t="s">
        <v>259</v>
      </c>
      <c r="I172" s="8" t="s">
        <v>91</v>
      </c>
      <c r="J172" s="8" t="s">
        <v>400</v>
      </c>
      <c r="K172" s="8" t="s">
        <v>29</v>
      </c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8" t="s">
        <v>33</v>
      </c>
      <c r="B173" s="8" t="s">
        <v>34</v>
      </c>
      <c r="C173" s="8" t="s">
        <v>153</v>
      </c>
      <c r="D173" s="8" t="s">
        <v>154</v>
      </c>
      <c r="E173" s="9" t="s">
        <v>432</v>
      </c>
      <c r="F173" s="8" t="s">
        <v>267</v>
      </c>
      <c r="G173" s="8" t="s">
        <v>427</v>
      </c>
      <c r="H173" s="8" t="s">
        <v>259</v>
      </c>
      <c r="I173" s="8" t="s">
        <v>91</v>
      </c>
      <c r="J173" s="8" t="s">
        <v>400</v>
      </c>
      <c r="K173" s="8" t="s">
        <v>29</v>
      </c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8" t="s">
        <v>33</v>
      </c>
      <c r="B174" s="8" t="s">
        <v>286</v>
      </c>
      <c r="C174" s="8" t="s">
        <v>287</v>
      </c>
      <c r="D174" s="8" t="s">
        <v>288</v>
      </c>
      <c r="E174" s="9" t="s">
        <v>288</v>
      </c>
      <c r="F174" s="8" t="s">
        <v>289</v>
      </c>
      <c r="G174" s="8" t="s">
        <v>427</v>
      </c>
      <c r="H174" s="8" t="s">
        <v>259</v>
      </c>
      <c r="I174" s="8" t="s">
        <v>91</v>
      </c>
      <c r="J174" s="8" t="s">
        <v>400</v>
      </c>
      <c r="K174" s="8" t="s">
        <v>29</v>
      </c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8" t="s">
        <v>433</v>
      </c>
      <c r="B175" s="8" t="s">
        <v>290</v>
      </c>
      <c r="C175" s="8" t="s">
        <v>291</v>
      </c>
      <c r="D175" s="8" t="s">
        <v>292</v>
      </c>
      <c r="E175" s="9" t="s">
        <v>33</v>
      </c>
      <c r="F175" s="8" t="s">
        <v>293</v>
      </c>
      <c r="G175" s="8" t="s">
        <v>84</v>
      </c>
      <c r="H175" s="8" t="s">
        <v>259</v>
      </c>
      <c r="I175" s="8" t="s">
        <v>260</v>
      </c>
      <c r="J175" s="8" t="s">
        <v>294</v>
      </c>
      <c r="K175" s="8" t="s">
        <v>55</v>
      </c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8" t="s">
        <v>434</v>
      </c>
      <c r="B176" s="8" t="s">
        <v>74</v>
      </c>
      <c r="C176" s="8" t="s">
        <v>435</v>
      </c>
      <c r="D176" s="8" t="s">
        <v>33</v>
      </c>
      <c r="E176" s="9" t="s">
        <v>33</v>
      </c>
      <c r="F176" s="8" t="s">
        <v>422</v>
      </c>
      <c r="G176" s="8" t="s">
        <v>427</v>
      </c>
      <c r="H176" s="8" t="s">
        <v>259</v>
      </c>
      <c r="I176" s="8" t="s">
        <v>91</v>
      </c>
      <c r="J176" s="8" t="s">
        <v>400</v>
      </c>
      <c r="K176" s="8" t="s">
        <v>29</v>
      </c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8" t="s">
        <v>33</v>
      </c>
      <c r="B177" s="8" t="s">
        <v>167</v>
      </c>
      <c r="C177" s="8" t="s">
        <v>296</v>
      </c>
      <c r="D177" s="8" t="s">
        <v>297</v>
      </c>
      <c r="E177" s="9" t="s">
        <v>436</v>
      </c>
      <c r="F177" s="8" t="s">
        <v>299</v>
      </c>
      <c r="G177" s="8" t="s">
        <v>427</v>
      </c>
      <c r="H177" s="8" t="s">
        <v>259</v>
      </c>
      <c r="I177" s="8" t="s">
        <v>91</v>
      </c>
      <c r="J177" s="8" t="s">
        <v>400</v>
      </c>
      <c r="K177" s="8" t="s">
        <v>29</v>
      </c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8" t="s">
        <v>33</v>
      </c>
      <c r="B178" s="8" t="s">
        <v>132</v>
      </c>
      <c r="C178" s="8" t="s">
        <v>296</v>
      </c>
      <c r="D178" s="8" t="s">
        <v>437</v>
      </c>
      <c r="E178" s="9" t="s">
        <v>438</v>
      </c>
      <c r="F178" s="8" t="s">
        <v>304</v>
      </c>
      <c r="G178" s="8" t="s">
        <v>427</v>
      </c>
      <c r="H178" s="8" t="s">
        <v>259</v>
      </c>
      <c r="I178" s="8" t="s">
        <v>91</v>
      </c>
      <c r="J178" s="8" t="s">
        <v>400</v>
      </c>
      <c r="K178" s="8" t="s">
        <v>29</v>
      </c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8" t="s">
        <v>33</v>
      </c>
      <c r="B179" s="8" t="s">
        <v>305</v>
      </c>
      <c r="C179" s="8" t="s">
        <v>288</v>
      </c>
      <c r="D179" s="8" t="s">
        <v>288</v>
      </c>
      <c r="E179" s="9" t="s">
        <v>288</v>
      </c>
      <c r="F179" s="8" t="s">
        <v>306</v>
      </c>
      <c r="G179" s="8" t="s">
        <v>427</v>
      </c>
      <c r="H179" s="8" t="s">
        <v>259</v>
      </c>
      <c r="I179" s="8" t="s">
        <v>91</v>
      </c>
      <c r="J179" s="8" t="s">
        <v>400</v>
      </c>
      <c r="K179" s="8" t="s">
        <v>29</v>
      </c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8" t="s">
        <v>33</v>
      </c>
      <c r="B180" s="8" t="s">
        <v>325</v>
      </c>
      <c r="C180" s="8" t="s">
        <v>288</v>
      </c>
      <c r="D180" s="8" t="s">
        <v>288</v>
      </c>
      <c r="E180" s="9" t="s">
        <v>288</v>
      </c>
      <c r="F180" s="8" t="s">
        <v>326</v>
      </c>
      <c r="G180" s="8" t="s">
        <v>427</v>
      </c>
      <c r="H180" s="8" t="s">
        <v>259</v>
      </c>
      <c r="I180" s="8" t="s">
        <v>91</v>
      </c>
      <c r="J180" s="8" t="s">
        <v>400</v>
      </c>
      <c r="K180" s="8" t="s">
        <v>29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8" t="s">
        <v>33</v>
      </c>
      <c r="B181" s="8" t="s">
        <v>67</v>
      </c>
      <c r="C181" s="8" t="s">
        <v>270</v>
      </c>
      <c r="D181" s="8" t="s">
        <v>358</v>
      </c>
      <c r="E181" s="9" t="s">
        <v>439</v>
      </c>
      <c r="F181" s="8" t="s">
        <v>398</v>
      </c>
      <c r="G181" s="8" t="s">
        <v>440</v>
      </c>
      <c r="H181" s="8" t="s">
        <v>259</v>
      </c>
      <c r="I181" s="8" t="s">
        <v>91</v>
      </c>
      <c r="J181" s="8" t="s">
        <v>400</v>
      </c>
      <c r="K181" s="8" t="s">
        <v>29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8" t="s">
        <v>33</v>
      </c>
      <c r="B182" s="8" t="s">
        <v>132</v>
      </c>
      <c r="C182" s="8" t="s">
        <v>362</v>
      </c>
      <c r="D182" s="8" t="s">
        <v>441</v>
      </c>
      <c r="E182" s="9" t="s">
        <v>442</v>
      </c>
      <c r="F182" s="8" t="s">
        <v>134</v>
      </c>
      <c r="G182" s="8" t="s">
        <v>440</v>
      </c>
      <c r="H182" s="8" t="s">
        <v>259</v>
      </c>
      <c r="I182" s="8" t="s">
        <v>91</v>
      </c>
      <c r="J182" s="8" t="s">
        <v>400</v>
      </c>
      <c r="K182" s="8" t="s">
        <v>29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8" t="s">
        <v>33</v>
      </c>
      <c r="B183" s="8" t="s">
        <v>253</v>
      </c>
      <c r="C183" s="8" t="s">
        <v>254</v>
      </c>
      <c r="D183" s="8" t="s">
        <v>255</v>
      </c>
      <c r="E183" s="9" t="s">
        <v>443</v>
      </c>
      <c r="F183" s="8" t="s">
        <v>281</v>
      </c>
      <c r="G183" s="8" t="s">
        <v>440</v>
      </c>
      <c r="H183" s="8" t="s">
        <v>259</v>
      </c>
      <c r="I183" s="8" t="s">
        <v>91</v>
      </c>
      <c r="J183" s="8" t="s">
        <v>400</v>
      </c>
      <c r="K183" s="8" t="s">
        <v>29</v>
      </c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8" t="s">
        <v>444</v>
      </c>
      <c r="B184" s="8" t="s">
        <v>34</v>
      </c>
      <c r="C184" s="8" t="s">
        <v>153</v>
      </c>
      <c r="D184" s="8" t="s">
        <v>154</v>
      </c>
      <c r="E184" s="9" t="s">
        <v>445</v>
      </c>
      <c r="F184" s="8" t="s">
        <v>267</v>
      </c>
      <c r="G184" s="8" t="s">
        <v>440</v>
      </c>
      <c r="H184" s="8" t="s">
        <v>259</v>
      </c>
      <c r="I184" s="8" t="s">
        <v>91</v>
      </c>
      <c r="J184" s="8" t="s">
        <v>400</v>
      </c>
      <c r="K184" s="8" t="s">
        <v>29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8" t="s">
        <v>33</v>
      </c>
      <c r="B185" s="8" t="s">
        <v>286</v>
      </c>
      <c r="C185" s="8" t="s">
        <v>287</v>
      </c>
      <c r="D185" s="8" t="s">
        <v>288</v>
      </c>
      <c r="E185" s="9" t="s">
        <v>288</v>
      </c>
      <c r="F185" s="8" t="s">
        <v>289</v>
      </c>
      <c r="G185" s="8" t="s">
        <v>440</v>
      </c>
      <c r="H185" s="8" t="s">
        <v>259</v>
      </c>
      <c r="I185" s="8" t="s">
        <v>91</v>
      </c>
      <c r="J185" s="8" t="s">
        <v>400</v>
      </c>
      <c r="K185" s="8" t="s">
        <v>29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8" t="s">
        <v>33</v>
      </c>
      <c r="B186" s="8" t="s">
        <v>167</v>
      </c>
      <c r="C186" s="8" t="s">
        <v>296</v>
      </c>
      <c r="D186" s="8" t="s">
        <v>297</v>
      </c>
      <c r="E186" s="9" t="s">
        <v>446</v>
      </c>
      <c r="F186" s="8" t="s">
        <v>299</v>
      </c>
      <c r="G186" s="8" t="s">
        <v>440</v>
      </c>
      <c r="H186" s="8" t="s">
        <v>259</v>
      </c>
      <c r="I186" s="8" t="s">
        <v>91</v>
      </c>
      <c r="J186" s="8" t="s">
        <v>400</v>
      </c>
      <c r="K186" s="8" t="s">
        <v>29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8" t="s">
        <v>33</v>
      </c>
      <c r="B187" s="8" t="s">
        <v>132</v>
      </c>
      <c r="C187" s="8" t="s">
        <v>296</v>
      </c>
      <c r="D187" s="8" t="s">
        <v>323</v>
      </c>
      <c r="E187" s="9" t="s">
        <v>447</v>
      </c>
      <c r="F187" s="8" t="s">
        <v>304</v>
      </c>
      <c r="G187" s="8" t="s">
        <v>440</v>
      </c>
      <c r="H187" s="8" t="s">
        <v>259</v>
      </c>
      <c r="I187" s="8" t="s">
        <v>91</v>
      </c>
      <c r="J187" s="8" t="s">
        <v>400</v>
      </c>
      <c r="K187" s="8" t="s">
        <v>29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8" t="s">
        <v>33</v>
      </c>
      <c r="B188" s="8" t="s">
        <v>305</v>
      </c>
      <c r="C188" s="8" t="s">
        <v>288</v>
      </c>
      <c r="D188" s="8" t="s">
        <v>288</v>
      </c>
      <c r="E188" s="9" t="s">
        <v>288</v>
      </c>
      <c r="F188" s="8" t="s">
        <v>306</v>
      </c>
      <c r="G188" s="8" t="s">
        <v>440</v>
      </c>
      <c r="H188" s="8" t="s">
        <v>259</v>
      </c>
      <c r="I188" s="8" t="s">
        <v>91</v>
      </c>
      <c r="J188" s="8" t="s">
        <v>400</v>
      </c>
      <c r="K188" s="8" t="s">
        <v>29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8" t="s">
        <v>33</v>
      </c>
      <c r="B189" s="8" t="s">
        <v>325</v>
      </c>
      <c r="C189" s="8" t="s">
        <v>288</v>
      </c>
      <c r="D189" s="8" t="s">
        <v>288</v>
      </c>
      <c r="E189" s="9" t="s">
        <v>288</v>
      </c>
      <c r="F189" s="8" t="s">
        <v>326</v>
      </c>
      <c r="G189" s="8" t="s">
        <v>440</v>
      </c>
      <c r="H189" s="8" t="s">
        <v>259</v>
      </c>
      <c r="I189" s="8" t="s">
        <v>91</v>
      </c>
      <c r="J189" s="8" t="s">
        <v>400</v>
      </c>
      <c r="K189" s="8" t="s">
        <v>29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8" t="s">
        <v>448</v>
      </c>
      <c r="B190" s="8" t="s">
        <v>67</v>
      </c>
      <c r="C190" s="8" t="s">
        <v>270</v>
      </c>
      <c r="D190" s="8" t="s">
        <v>308</v>
      </c>
      <c r="E190" s="9" t="s">
        <v>449</v>
      </c>
      <c r="F190" s="8" t="s">
        <v>310</v>
      </c>
      <c r="G190" s="8" t="s">
        <v>450</v>
      </c>
      <c r="H190" s="8" t="s">
        <v>259</v>
      </c>
      <c r="I190" s="8" t="s">
        <v>91</v>
      </c>
      <c r="J190" s="8" t="s">
        <v>400</v>
      </c>
      <c r="K190" s="8" t="s">
        <v>29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8" t="s">
        <v>33</v>
      </c>
      <c r="B191" s="8" t="s">
        <v>132</v>
      </c>
      <c r="C191" s="8" t="s">
        <v>270</v>
      </c>
      <c r="D191" s="8" t="s">
        <v>332</v>
      </c>
      <c r="E191" s="9" t="s">
        <v>451</v>
      </c>
      <c r="F191" s="8" t="s">
        <v>134</v>
      </c>
      <c r="G191" s="8" t="s">
        <v>450</v>
      </c>
      <c r="H191" s="8" t="s">
        <v>259</v>
      </c>
      <c r="I191" s="8" t="s">
        <v>91</v>
      </c>
      <c r="J191" s="8" t="s">
        <v>400</v>
      </c>
      <c r="K191" s="8" t="s">
        <v>29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8" t="s">
        <v>33</v>
      </c>
      <c r="B192" s="8" t="s">
        <v>253</v>
      </c>
      <c r="C192" s="8" t="s">
        <v>254</v>
      </c>
      <c r="D192" s="8" t="s">
        <v>255</v>
      </c>
      <c r="E192" s="9" t="s">
        <v>452</v>
      </c>
      <c r="F192" s="8" t="s">
        <v>281</v>
      </c>
      <c r="G192" s="8" t="s">
        <v>450</v>
      </c>
      <c r="H192" s="8" t="s">
        <v>259</v>
      </c>
      <c r="I192" s="8" t="s">
        <v>91</v>
      </c>
      <c r="J192" s="8" t="s">
        <v>400</v>
      </c>
      <c r="K192" s="8" t="s">
        <v>29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8" t="s">
        <v>33</v>
      </c>
      <c r="B193" s="8" t="s">
        <v>34</v>
      </c>
      <c r="C193" s="8" t="s">
        <v>153</v>
      </c>
      <c r="D193" s="8" t="s">
        <v>154</v>
      </c>
      <c r="E193" s="9" t="s">
        <v>453</v>
      </c>
      <c r="F193" s="8" t="s">
        <v>267</v>
      </c>
      <c r="G193" s="8" t="s">
        <v>450</v>
      </c>
      <c r="H193" s="8" t="s">
        <v>259</v>
      </c>
      <c r="I193" s="8" t="s">
        <v>91</v>
      </c>
      <c r="J193" s="8" t="s">
        <v>400</v>
      </c>
      <c r="K193" s="8" t="s">
        <v>29</v>
      </c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8" t="s">
        <v>33</v>
      </c>
      <c r="B194" s="8" t="s">
        <v>286</v>
      </c>
      <c r="C194" s="8" t="s">
        <v>287</v>
      </c>
      <c r="D194" s="8" t="s">
        <v>288</v>
      </c>
      <c r="E194" s="9" t="s">
        <v>288</v>
      </c>
      <c r="F194" s="8" t="s">
        <v>289</v>
      </c>
      <c r="G194" s="8" t="s">
        <v>450</v>
      </c>
      <c r="H194" s="8" t="s">
        <v>259</v>
      </c>
      <c r="I194" s="8" t="s">
        <v>91</v>
      </c>
      <c r="J194" s="8" t="s">
        <v>400</v>
      </c>
      <c r="K194" s="8" t="s">
        <v>29</v>
      </c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8" t="s">
        <v>33</v>
      </c>
      <c r="B195" s="8" t="s">
        <v>290</v>
      </c>
      <c r="C195" s="8" t="s">
        <v>291</v>
      </c>
      <c r="D195" s="8" t="s">
        <v>292</v>
      </c>
      <c r="E195" s="9" t="s">
        <v>33</v>
      </c>
      <c r="F195" s="8" t="s">
        <v>293</v>
      </c>
      <c r="G195" s="8" t="s">
        <v>84</v>
      </c>
      <c r="H195" s="8" t="s">
        <v>259</v>
      </c>
      <c r="I195" s="8" t="s">
        <v>260</v>
      </c>
      <c r="J195" s="8" t="s">
        <v>294</v>
      </c>
      <c r="K195" s="8" t="s">
        <v>55</v>
      </c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8" t="s">
        <v>33</v>
      </c>
      <c r="B196" s="8" t="s">
        <v>167</v>
      </c>
      <c r="C196" s="8" t="s">
        <v>296</v>
      </c>
      <c r="D196" s="8" t="s">
        <v>297</v>
      </c>
      <c r="E196" s="9" t="s">
        <v>454</v>
      </c>
      <c r="F196" s="8" t="s">
        <v>299</v>
      </c>
      <c r="G196" s="8" t="s">
        <v>450</v>
      </c>
      <c r="H196" s="8" t="s">
        <v>259</v>
      </c>
      <c r="I196" s="8" t="s">
        <v>91</v>
      </c>
      <c r="J196" s="8" t="s">
        <v>400</v>
      </c>
      <c r="K196" s="8" t="s">
        <v>29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8" t="s">
        <v>33</v>
      </c>
      <c r="B197" s="8" t="s">
        <v>132</v>
      </c>
      <c r="C197" s="8" t="s">
        <v>296</v>
      </c>
      <c r="D197" s="8" t="s">
        <v>302</v>
      </c>
      <c r="E197" s="9" t="s">
        <v>455</v>
      </c>
      <c r="F197" s="8" t="s">
        <v>304</v>
      </c>
      <c r="G197" s="8" t="s">
        <v>450</v>
      </c>
      <c r="H197" s="8" t="s">
        <v>259</v>
      </c>
      <c r="I197" s="8" t="s">
        <v>91</v>
      </c>
      <c r="J197" s="8" t="s">
        <v>400</v>
      </c>
      <c r="K197" s="8" t="s">
        <v>29</v>
      </c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8" t="s">
        <v>456</v>
      </c>
      <c r="B198" s="8" t="s">
        <v>67</v>
      </c>
      <c r="C198" s="8" t="s">
        <v>125</v>
      </c>
      <c r="D198" s="8" t="s">
        <v>411</v>
      </c>
      <c r="E198" s="9" t="s">
        <v>457</v>
      </c>
      <c r="F198" s="8" t="s">
        <v>458</v>
      </c>
      <c r="G198" s="8" t="s">
        <v>459</v>
      </c>
      <c r="H198" s="8" t="s">
        <v>259</v>
      </c>
      <c r="I198" s="8" t="s">
        <v>91</v>
      </c>
      <c r="J198" s="8" t="s">
        <v>400</v>
      </c>
      <c r="K198" s="8" t="s">
        <v>117</v>
      </c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8" t="s">
        <v>33</v>
      </c>
      <c r="B199" s="8" t="s">
        <v>132</v>
      </c>
      <c r="C199" s="8" t="s">
        <v>125</v>
      </c>
      <c r="D199" s="8" t="s">
        <v>460</v>
      </c>
      <c r="E199" s="9" t="s">
        <v>461</v>
      </c>
      <c r="F199" s="8" t="s">
        <v>134</v>
      </c>
      <c r="G199" s="8" t="s">
        <v>459</v>
      </c>
      <c r="H199" s="8" t="s">
        <v>259</v>
      </c>
      <c r="I199" s="8" t="s">
        <v>91</v>
      </c>
      <c r="J199" s="8" t="s">
        <v>400</v>
      </c>
      <c r="K199" s="8" t="s">
        <v>29</v>
      </c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8" t="s">
        <v>462</v>
      </c>
      <c r="B200" s="8" t="s">
        <v>253</v>
      </c>
      <c r="C200" s="8" t="s">
        <v>254</v>
      </c>
      <c r="D200" s="8" t="s">
        <v>255</v>
      </c>
      <c r="E200" s="9" t="s">
        <v>463</v>
      </c>
      <c r="F200" s="8" t="s">
        <v>281</v>
      </c>
      <c r="G200" s="8" t="s">
        <v>459</v>
      </c>
      <c r="H200" s="8" t="s">
        <v>259</v>
      </c>
      <c r="I200" s="8" t="s">
        <v>91</v>
      </c>
      <c r="J200" s="8" t="s">
        <v>400</v>
      </c>
      <c r="K200" s="8" t="s">
        <v>29</v>
      </c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8" t="s">
        <v>33</v>
      </c>
      <c r="B201" s="8" t="s">
        <v>34</v>
      </c>
      <c r="C201" s="8" t="s">
        <v>156</v>
      </c>
      <c r="D201" s="8" t="s">
        <v>157</v>
      </c>
      <c r="E201" s="9" t="s">
        <v>158</v>
      </c>
      <c r="F201" s="8" t="s">
        <v>267</v>
      </c>
      <c r="G201" s="8" t="s">
        <v>459</v>
      </c>
      <c r="H201" s="8" t="s">
        <v>259</v>
      </c>
      <c r="I201" s="8" t="s">
        <v>91</v>
      </c>
      <c r="J201" s="8" t="s">
        <v>400</v>
      </c>
      <c r="K201" s="8" t="s">
        <v>29</v>
      </c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8" t="s">
        <v>33</v>
      </c>
      <c r="B202" s="8" t="s">
        <v>286</v>
      </c>
      <c r="C202" s="8" t="s">
        <v>287</v>
      </c>
      <c r="D202" s="8" t="s">
        <v>288</v>
      </c>
      <c r="E202" s="9" t="s">
        <v>288</v>
      </c>
      <c r="F202" s="8" t="s">
        <v>289</v>
      </c>
      <c r="G202" s="8" t="s">
        <v>459</v>
      </c>
      <c r="H202" s="8" t="s">
        <v>259</v>
      </c>
      <c r="I202" s="8" t="s">
        <v>91</v>
      </c>
      <c r="J202" s="8" t="s">
        <v>400</v>
      </c>
      <c r="K202" s="8" t="s">
        <v>29</v>
      </c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8" t="s">
        <v>33</v>
      </c>
      <c r="B203" s="8" t="s">
        <v>290</v>
      </c>
      <c r="C203" s="8" t="s">
        <v>291</v>
      </c>
      <c r="D203" s="8" t="s">
        <v>292</v>
      </c>
      <c r="E203" s="9" t="s">
        <v>464</v>
      </c>
      <c r="F203" s="8" t="s">
        <v>293</v>
      </c>
      <c r="G203" s="8" t="s">
        <v>459</v>
      </c>
      <c r="H203" s="8" t="s">
        <v>259</v>
      </c>
      <c r="I203" s="8" t="s">
        <v>91</v>
      </c>
      <c r="J203" s="8" t="s">
        <v>400</v>
      </c>
      <c r="K203" s="8" t="s">
        <v>29</v>
      </c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8" t="s">
        <v>465</v>
      </c>
      <c r="B204" s="8" t="s">
        <v>74</v>
      </c>
      <c r="C204" s="8" t="s">
        <v>466</v>
      </c>
      <c r="D204" s="8" t="s">
        <v>467</v>
      </c>
      <c r="E204" s="9" t="s">
        <v>468</v>
      </c>
      <c r="F204" s="8" t="s">
        <v>422</v>
      </c>
      <c r="G204" s="8" t="s">
        <v>459</v>
      </c>
      <c r="H204" s="8" t="s">
        <v>259</v>
      </c>
      <c r="I204" s="8" t="s">
        <v>91</v>
      </c>
      <c r="J204" s="8" t="s">
        <v>400</v>
      </c>
      <c r="K204" s="8" t="s">
        <v>29</v>
      </c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8" t="s">
        <v>33</v>
      </c>
      <c r="B205" s="8" t="s">
        <v>167</v>
      </c>
      <c r="C205" s="8" t="s">
        <v>296</v>
      </c>
      <c r="D205" s="8" t="s">
        <v>297</v>
      </c>
      <c r="E205" s="9" t="s">
        <v>469</v>
      </c>
      <c r="F205" s="8" t="s">
        <v>299</v>
      </c>
      <c r="G205" s="8" t="s">
        <v>459</v>
      </c>
      <c r="H205" s="8" t="s">
        <v>259</v>
      </c>
      <c r="I205" s="8" t="s">
        <v>91</v>
      </c>
      <c r="J205" s="8" t="s">
        <v>400</v>
      </c>
      <c r="K205" s="8" t="s">
        <v>29</v>
      </c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8" t="s">
        <v>33</v>
      </c>
      <c r="B206" s="8" t="s">
        <v>132</v>
      </c>
      <c r="C206" s="8" t="s">
        <v>296</v>
      </c>
      <c r="D206" s="8" t="s">
        <v>323</v>
      </c>
      <c r="E206" s="9" t="s">
        <v>470</v>
      </c>
      <c r="F206" s="8" t="s">
        <v>304</v>
      </c>
      <c r="G206" s="8" t="s">
        <v>459</v>
      </c>
      <c r="H206" s="8" t="s">
        <v>259</v>
      </c>
      <c r="I206" s="8" t="s">
        <v>91</v>
      </c>
      <c r="J206" s="8" t="s">
        <v>400</v>
      </c>
      <c r="K206" s="8" t="s">
        <v>29</v>
      </c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8" t="s">
        <v>33</v>
      </c>
      <c r="B207" s="8" t="s">
        <v>305</v>
      </c>
      <c r="C207" s="8" t="s">
        <v>288</v>
      </c>
      <c r="D207" s="8" t="s">
        <v>288</v>
      </c>
      <c r="E207" s="9" t="s">
        <v>288</v>
      </c>
      <c r="F207" s="8" t="s">
        <v>306</v>
      </c>
      <c r="G207" s="8" t="s">
        <v>459</v>
      </c>
      <c r="H207" s="8" t="s">
        <v>259</v>
      </c>
      <c r="I207" s="8" t="s">
        <v>91</v>
      </c>
      <c r="J207" s="8" t="s">
        <v>400</v>
      </c>
      <c r="K207" s="8" t="s">
        <v>29</v>
      </c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8" t="s">
        <v>33</v>
      </c>
      <c r="B208" s="8" t="s">
        <v>325</v>
      </c>
      <c r="C208" s="8" t="s">
        <v>288</v>
      </c>
      <c r="D208" s="8" t="s">
        <v>288</v>
      </c>
      <c r="E208" s="9" t="s">
        <v>288</v>
      </c>
      <c r="F208" s="8" t="s">
        <v>326</v>
      </c>
      <c r="G208" s="8" t="s">
        <v>459</v>
      </c>
      <c r="H208" s="8" t="s">
        <v>259</v>
      </c>
      <c r="I208" s="8" t="s">
        <v>91</v>
      </c>
      <c r="J208" s="8" t="s">
        <v>400</v>
      </c>
      <c r="K208" s="8" t="s">
        <v>29</v>
      </c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8" t="s">
        <v>33</v>
      </c>
      <c r="B209" s="8" t="s">
        <v>67</v>
      </c>
      <c r="C209" s="8" t="s">
        <v>270</v>
      </c>
      <c r="D209" s="8" t="s">
        <v>358</v>
      </c>
      <c r="E209" s="9" t="s">
        <v>471</v>
      </c>
      <c r="F209" s="8" t="s">
        <v>398</v>
      </c>
      <c r="G209" s="8" t="s">
        <v>472</v>
      </c>
      <c r="H209" s="8" t="s">
        <v>259</v>
      </c>
      <c r="I209" s="8" t="s">
        <v>91</v>
      </c>
      <c r="J209" s="8" t="s">
        <v>400</v>
      </c>
      <c r="K209" s="8" t="s">
        <v>29</v>
      </c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8" t="s">
        <v>33</v>
      </c>
      <c r="B210" s="8" t="s">
        <v>132</v>
      </c>
      <c r="C210" s="8" t="s">
        <v>473</v>
      </c>
      <c r="D210" s="8" t="s">
        <v>332</v>
      </c>
      <c r="E210" s="9" t="s">
        <v>474</v>
      </c>
      <c r="F210" s="8" t="s">
        <v>134</v>
      </c>
      <c r="G210" s="8" t="s">
        <v>472</v>
      </c>
      <c r="H210" s="8" t="s">
        <v>259</v>
      </c>
      <c r="I210" s="8" t="s">
        <v>91</v>
      </c>
      <c r="J210" s="8" t="s">
        <v>400</v>
      </c>
      <c r="K210" s="8" t="s">
        <v>29</v>
      </c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8" t="s">
        <v>475</v>
      </c>
      <c r="B211" s="8" t="s">
        <v>253</v>
      </c>
      <c r="C211" s="8" t="s">
        <v>254</v>
      </c>
      <c r="D211" s="8" t="s">
        <v>255</v>
      </c>
      <c r="E211" s="9" t="s">
        <v>476</v>
      </c>
      <c r="F211" s="8" t="s">
        <v>281</v>
      </c>
      <c r="G211" s="8" t="s">
        <v>472</v>
      </c>
      <c r="H211" s="8" t="s">
        <v>259</v>
      </c>
      <c r="I211" s="8" t="s">
        <v>91</v>
      </c>
      <c r="J211" s="8" t="s">
        <v>400</v>
      </c>
      <c r="K211" s="8" t="s">
        <v>29</v>
      </c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8" t="s">
        <v>477</v>
      </c>
      <c r="B212" s="8" t="s">
        <v>34</v>
      </c>
      <c r="C212" s="8" t="s">
        <v>156</v>
      </c>
      <c r="D212" s="8" t="s">
        <v>157</v>
      </c>
      <c r="E212" s="9" t="s">
        <v>158</v>
      </c>
      <c r="F212" s="8" t="s">
        <v>267</v>
      </c>
      <c r="G212" s="8" t="s">
        <v>472</v>
      </c>
      <c r="H212" s="8" t="s">
        <v>259</v>
      </c>
      <c r="I212" s="8" t="s">
        <v>91</v>
      </c>
      <c r="J212" s="8" t="s">
        <v>400</v>
      </c>
      <c r="K212" s="8" t="s">
        <v>29</v>
      </c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8" t="s">
        <v>33</v>
      </c>
      <c r="B213" s="8" t="s">
        <v>286</v>
      </c>
      <c r="C213" s="8" t="s">
        <v>287</v>
      </c>
      <c r="D213" s="8" t="s">
        <v>288</v>
      </c>
      <c r="E213" s="9" t="s">
        <v>288</v>
      </c>
      <c r="F213" s="8" t="s">
        <v>289</v>
      </c>
      <c r="G213" s="8" t="s">
        <v>472</v>
      </c>
      <c r="H213" s="8" t="s">
        <v>259</v>
      </c>
      <c r="I213" s="8" t="s">
        <v>91</v>
      </c>
      <c r="J213" s="8" t="s">
        <v>400</v>
      </c>
      <c r="K213" s="8" t="s">
        <v>29</v>
      </c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8" t="s">
        <v>478</v>
      </c>
      <c r="B214" s="8" t="s">
        <v>290</v>
      </c>
      <c r="C214" s="8" t="s">
        <v>291</v>
      </c>
      <c r="D214" s="8" t="s">
        <v>292</v>
      </c>
      <c r="E214" s="9" t="s">
        <v>479</v>
      </c>
      <c r="F214" s="8" t="s">
        <v>293</v>
      </c>
      <c r="G214" s="8" t="s">
        <v>84</v>
      </c>
      <c r="H214" s="8" t="s">
        <v>259</v>
      </c>
      <c r="I214" s="8" t="s">
        <v>260</v>
      </c>
      <c r="J214" s="8" t="s">
        <v>294</v>
      </c>
      <c r="K214" s="8" t="s">
        <v>55</v>
      </c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8" t="s">
        <v>480</v>
      </c>
      <c r="B215" s="8" t="s">
        <v>98</v>
      </c>
      <c r="C215" s="8" t="s">
        <v>48</v>
      </c>
      <c r="D215" s="8" t="s">
        <v>481</v>
      </c>
      <c r="E215" s="9" t="s">
        <v>482</v>
      </c>
      <c r="F215" s="8" t="s">
        <v>483</v>
      </c>
      <c r="G215" s="8" t="s">
        <v>472</v>
      </c>
      <c r="H215" s="8" t="s">
        <v>259</v>
      </c>
      <c r="I215" s="8" t="s">
        <v>91</v>
      </c>
      <c r="J215" s="8" t="s">
        <v>400</v>
      </c>
      <c r="K215" s="8" t="s">
        <v>117</v>
      </c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8" t="s">
        <v>484</v>
      </c>
      <c r="B216" s="8" t="s">
        <v>74</v>
      </c>
      <c r="C216" s="8" t="s">
        <v>435</v>
      </c>
      <c r="D216" s="8" t="s">
        <v>33</v>
      </c>
      <c r="E216" s="9" t="s">
        <v>33</v>
      </c>
      <c r="F216" s="8" t="s">
        <v>422</v>
      </c>
      <c r="G216" s="8" t="s">
        <v>472</v>
      </c>
      <c r="H216" s="8" t="s">
        <v>259</v>
      </c>
      <c r="I216" s="8" t="s">
        <v>91</v>
      </c>
      <c r="J216" s="8" t="s">
        <v>400</v>
      </c>
      <c r="K216" s="8" t="s">
        <v>29</v>
      </c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8" t="s">
        <v>33</v>
      </c>
      <c r="B217" s="8" t="s">
        <v>167</v>
      </c>
      <c r="C217" s="8" t="s">
        <v>197</v>
      </c>
      <c r="D217" s="8" t="s">
        <v>485</v>
      </c>
      <c r="E217" s="9" t="s">
        <v>486</v>
      </c>
      <c r="F217" s="8" t="s">
        <v>487</v>
      </c>
      <c r="G217" s="8" t="s">
        <v>472</v>
      </c>
      <c r="H217" s="8" t="s">
        <v>259</v>
      </c>
      <c r="I217" s="8" t="s">
        <v>91</v>
      </c>
      <c r="J217" s="8" t="s">
        <v>400</v>
      </c>
      <c r="K217" s="8" t="s">
        <v>29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8" t="s">
        <v>33</v>
      </c>
      <c r="B218" s="8" t="s">
        <v>132</v>
      </c>
      <c r="C218" s="8" t="s">
        <v>488</v>
      </c>
      <c r="D218" s="8" t="s">
        <v>288</v>
      </c>
      <c r="E218" s="9" t="s">
        <v>288</v>
      </c>
      <c r="F218" s="8" t="s">
        <v>304</v>
      </c>
      <c r="G218" s="8" t="s">
        <v>472</v>
      </c>
      <c r="H218" s="8" t="s">
        <v>259</v>
      </c>
      <c r="I218" s="8" t="s">
        <v>91</v>
      </c>
      <c r="J218" s="8" t="s">
        <v>400</v>
      </c>
      <c r="K218" s="8" t="s">
        <v>29</v>
      </c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8" t="s">
        <v>33</v>
      </c>
      <c r="B219" s="8" t="s">
        <v>67</v>
      </c>
      <c r="C219" s="8" t="s">
        <v>125</v>
      </c>
      <c r="D219" s="8" t="s">
        <v>411</v>
      </c>
      <c r="E219" s="9" t="s">
        <v>33</v>
      </c>
      <c r="F219" s="8" t="s">
        <v>413</v>
      </c>
      <c r="G219" s="8" t="s">
        <v>489</v>
      </c>
      <c r="H219" s="8" t="s">
        <v>259</v>
      </c>
      <c r="I219" s="8" t="s">
        <v>260</v>
      </c>
      <c r="J219" s="8" t="s">
        <v>490</v>
      </c>
      <c r="K219" s="8" t="s">
        <v>29</v>
      </c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8" t="s">
        <v>33</v>
      </c>
      <c r="B220" s="8" t="s">
        <v>132</v>
      </c>
      <c r="C220" s="8" t="s">
        <v>125</v>
      </c>
      <c r="D220" s="8" t="s">
        <v>133</v>
      </c>
      <c r="E220" s="9" t="s">
        <v>33</v>
      </c>
      <c r="F220" s="8" t="s">
        <v>134</v>
      </c>
      <c r="G220" s="8" t="s">
        <v>489</v>
      </c>
      <c r="H220" s="8" t="s">
        <v>259</v>
      </c>
      <c r="I220" s="8" t="s">
        <v>260</v>
      </c>
      <c r="J220" s="8" t="s">
        <v>490</v>
      </c>
      <c r="K220" s="8" t="s">
        <v>29</v>
      </c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8" t="s">
        <v>33</v>
      </c>
      <c r="B221" s="8" t="s">
        <v>253</v>
      </c>
      <c r="C221" s="8" t="s">
        <v>254</v>
      </c>
      <c r="D221" s="8" t="s">
        <v>255</v>
      </c>
      <c r="E221" s="9" t="s">
        <v>33</v>
      </c>
      <c r="F221" s="8" t="s">
        <v>281</v>
      </c>
      <c r="G221" s="8" t="s">
        <v>489</v>
      </c>
      <c r="H221" s="8" t="s">
        <v>259</v>
      </c>
      <c r="I221" s="8" t="s">
        <v>260</v>
      </c>
      <c r="J221" s="8" t="s">
        <v>490</v>
      </c>
      <c r="K221" s="8" t="s">
        <v>29</v>
      </c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8" t="s">
        <v>491</v>
      </c>
      <c r="B222" s="8" t="s">
        <v>34</v>
      </c>
      <c r="C222" s="8" t="s">
        <v>125</v>
      </c>
      <c r="D222" s="8" t="s">
        <v>492</v>
      </c>
      <c r="E222" s="9" t="s">
        <v>33</v>
      </c>
      <c r="F222" s="8" t="s">
        <v>267</v>
      </c>
      <c r="G222" s="8" t="s">
        <v>489</v>
      </c>
      <c r="H222" s="8" t="s">
        <v>259</v>
      </c>
      <c r="I222" s="8" t="s">
        <v>260</v>
      </c>
      <c r="J222" s="8" t="s">
        <v>490</v>
      </c>
      <c r="K222" s="8" t="s">
        <v>29</v>
      </c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8" t="s">
        <v>33</v>
      </c>
      <c r="B223" s="8" t="s">
        <v>286</v>
      </c>
      <c r="C223" s="8" t="s">
        <v>287</v>
      </c>
      <c r="D223" s="8" t="s">
        <v>288</v>
      </c>
      <c r="E223" s="9" t="s">
        <v>288</v>
      </c>
      <c r="F223" s="8" t="s">
        <v>289</v>
      </c>
      <c r="G223" s="8" t="s">
        <v>489</v>
      </c>
      <c r="H223" s="8" t="s">
        <v>259</v>
      </c>
      <c r="I223" s="8" t="s">
        <v>260</v>
      </c>
      <c r="J223" s="8" t="s">
        <v>490</v>
      </c>
      <c r="K223" s="8" t="s">
        <v>29</v>
      </c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8" t="s">
        <v>33</v>
      </c>
      <c r="B224" s="8" t="s">
        <v>74</v>
      </c>
      <c r="C224" s="8" t="s">
        <v>466</v>
      </c>
      <c r="D224" s="8" t="s">
        <v>467</v>
      </c>
      <c r="E224" s="9" t="s">
        <v>33</v>
      </c>
      <c r="F224" s="8" t="s">
        <v>422</v>
      </c>
      <c r="G224" s="8" t="s">
        <v>489</v>
      </c>
      <c r="H224" s="8" t="s">
        <v>259</v>
      </c>
      <c r="I224" s="8" t="s">
        <v>260</v>
      </c>
      <c r="J224" s="8" t="s">
        <v>490</v>
      </c>
      <c r="K224" s="8" t="s">
        <v>29</v>
      </c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8" t="s">
        <v>493</v>
      </c>
      <c r="B225" s="8" t="s">
        <v>74</v>
      </c>
      <c r="C225" s="8" t="s">
        <v>33</v>
      </c>
      <c r="D225" s="8" t="s">
        <v>33</v>
      </c>
      <c r="E225" s="9" t="s">
        <v>33</v>
      </c>
      <c r="F225" s="8" t="s">
        <v>422</v>
      </c>
      <c r="G225" s="8" t="s">
        <v>489</v>
      </c>
      <c r="H225" s="8" t="s">
        <v>259</v>
      </c>
      <c r="I225" s="8" t="s">
        <v>260</v>
      </c>
      <c r="J225" s="8" t="s">
        <v>490</v>
      </c>
      <c r="K225" s="8" t="s">
        <v>29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8" t="s">
        <v>494</v>
      </c>
      <c r="B226" s="8" t="s">
        <v>67</v>
      </c>
      <c r="C226" s="8" t="s">
        <v>270</v>
      </c>
      <c r="D226" s="8" t="s">
        <v>308</v>
      </c>
      <c r="E226" s="9" t="s">
        <v>495</v>
      </c>
      <c r="F226" s="8" t="s">
        <v>496</v>
      </c>
      <c r="G226" s="8" t="s">
        <v>489</v>
      </c>
      <c r="H226" s="8" t="s">
        <v>259</v>
      </c>
      <c r="I226" s="8" t="s">
        <v>260</v>
      </c>
      <c r="J226" s="8" t="s">
        <v>490</v>
      </c>
      <c r="K226" s="8" t="s">
        <v>29</v>
      </c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8" t="s">
        <v>497</v>
      </c>
      <c r="B227" s="8" t="s">
        <v>132</v>
      </c>
      <c r="C227" s="8" t="s">
        <v>270</v>
      </c>
      <c r="D227" s="8" t="s">
        <v>277</v>
      </c>
      <c r="E227" s="9" t="s">
        <v>498</v>
      </c>
      <c r="F227" s="8" t="s">
        <v>134</v>
      </c>
      <c r="G227" s="8" t="s">
        <v>489</v>
      </c>
      <c r="H227" s="8" t="s">
        <v>259</v>
      </c>
      <c r="I227" s="8" t="s">
        <v>260</v>
      </c>
      <c r="J227" s="8" t="s">
        <v>490</v>
      </c>
      <c r="K227" s="8" t="s">
        <v>29</v>
      </c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8" t="s">
        <v>33</v>
      </c>
      <c r="B228" s="8" t="s">
        <v>34</v>
      </c>
      <c r="C228" s="8" t="s">
        <v>153</v>
      </c>
      <c r="D228" s="8" t="s">
        <v>154</v>
      </c>
      <c r="E228" s="9" t="s">
        <v>499</v>
      </c>
      <c r="F228" s="8" t="s">
        <v>267</v>
      </c>
      <c r="G228" s="8" t="s">
        <v>500</v>
      </c>
      <c r="H228" s="8" t="s">
        <v>259</v>
      </c>
      <c r="I228" s="8" t="s">
        <v>260</v>
      </c>
      <c r="J228" s="8" t="s">
        <v>490</v>
      </c>
      <c r="K228" s="8" t="s">
        <v>29</v>
      </c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8" t="s">
        <v>33</v>
      </c>
      <c r="B229" s="8" t="s">
        <v>286</v>
      </c>
      <c r="C229" s="8" t="s">
        <v>287</v>
      </c>
      <c r="D229" s="8" t="s">
        <v>33</v>
      </c>
      <c r="E229" s="9" t="s">
        <v>33</v>
      </c>
      <c r="F229" s="8" t="s">
        <v>289</v>
      </c>
      <c r="G229" s="8" t="s">
        <v>500</v>
      </c>
      <c r="H229" s="8" t="s">
        <v>259</v>
      </c>
      <c r="I229" s="8" t="s">
        <v>260</v>
      </c>
      <c r="J229" s="8" t="s">
        <v>490</v>
      </c>
      <c r="K229" s="8" t="s">
        <v>29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8"/>
      <c r="B230" s="8" t="s">
        <v>290</v>
      </c>
      <c r="C230" s="8" t="s">
        <v>291</v>
      </c>
      <c r="D230" s="8" t="s">
        <v>292</v>
      </c>
      <c r="E230" s="9" t="s">
        <v>501</v>
      </c>
      <c r="F230" s="8" t="s">
        <v>293</v>
      </c>
      <c r="G230" s="8" t="s">
        <v>500</v>
      </c>
      <c r="H230" s="8" t="s">
        <v>259</v>
      </c>
      <c r="I230" s="8" t="s">
        <v>260</v>
      </c>
      <c r="J230" s="8" t="s">
        <v>490</v>
      </c>
      <c r="K230" s="8" t="s">
        <v>29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8" t="s">
        <v>502</v>
      </c>
      <c r="B231" s="8" t="s">
        <v>98</v>
      </c>
      <c r="C231" s="8" t="s">
        <v>223</v>
      </c>
      <c r="D231" s="8" t="s">
        <v>503</v>
      </c>
      <c r="E231" s="9" t="s">
        <v>504</v>
      </c>
      <c r="F231" s="8" t="s">
        <v>505</v>
      </c>
      <c r="G231" s="8" t="s">
        <v>500</v>
      </c>
      <c r="H231" s="8" t="s">
        <v>259</v>
      </c>
      <c r="I231" s="8" t="s">
        <v>260</v>
      </c>
      <c r="J231" s="8" t="s">
        <v>490</v>
      </c>
      <c r="K231" s="8" t="s">
        <v>29</v>
      </c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8" t="s">
        <v>33</v>
      </c>
      <c r="B232" s="8" t="s">
        <v>67</v>
      </c>
      <c r="C232" s="8" t="s">
        <v>270</v>
      </c>
      <c r="D232" s="8" t="s">
        <v>308</v>
      </c>
      <c r="E232" s="9" t="s">
        <v>506</v>
      </c>
      <c r="F232" s="8" t="s">
        <v>507</v>
      </c>
      <c r="G232" s="8" t="s">
        <v>508</v>
      </c>
      <c r="H232" s="8" t="s">
        <v>259</v>
      </c>
      <c r="I232" s="8" t="s">
        <v>91</v>
      </c>
      <c r="J232" s="8" t="s">
        <v>275</v>
      </c>
      <c r="K232" s="8" t="s">
        <v>29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8" t="s">
        <v>33</v>
      </c>
      <c r="B233" s="8" t="s">
        <v>132</v>
      </c>
      <c r="C233" s="8" t="s">
        <v>473</v>
      </c>
      <c r="D233" s="8" t="s">
        <v>509</v>
      </c>
      <c r="E233" s="9" t="s">
        <v>510</v>
      </c>
      <c r="F233" s="8" t="s">
        <v>134</v>
      </c>
      <c r="G233" s="8" t="s">
        <v>508</v>
      </c>
      <c r="H233" s="8" t="s">
        <v>259</v>
      </c>
      <c r="I233" s="8" t="s">
        <v>91</v>
      </c>
      <c r="J233" s="8" t="s">
        <v>275</v>
      </c>
      <c r="K233" s="8" t="s">
        <v>29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8" t="s">
        <v>511</v>
      </c>
      <c r="B234" s="8" t="s">
        <v>253</v>
      </c>
      <c r="C234" s="8" t="s">
        <v>254</v>
      </c>
      <c r="D234" s="8" t="s">
        <v>255</v>
      </c>
      <c r="E234" s="9" t="s">
        <v>512</v>
      </c>
      <c r="F234" s="8" t="s">
        <v>281</v>
      </c>
      <c r="G234" s="8" t="s">
        <v>508</v>
      </c>
      <c r="H234" s="8" t="s">
        <v>259</v>
      </c>
      <c r="I234" s="8" t="s">
        <v>91</v>
      </c>
      <c r="J234" s="8" t="s">
        <v>275</v>
      </c>
      <c r="K234" s="8" t="s">
        <v>29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8" t="s">
        <v>513</v>
      </c>
      <c r="B235" s="8" t="s">
        <v>41</v>
      </c>
      <c r="C235" s="8" t="s">
        <v>153</v>
      </c>
      <c r="D235" s="8" t="s">
        <v>348</v>
      </c>
      <c r="E235" s="9" t="s">
        <v>514</v>
      </c>
      <c r="F235" s="8" t="s">
        <v>350</v>
      </c>
      <c r="G235" s="8" t="s">
        <v>508</v>
      </c>
      <c r="H235" s="8" t="s">
        <v>259</v>
      </c>
      <c r="I235" s="8" t="s">
        <v>91</v>
      </c>
      <c r="J235" s="8" t="s">
        <v>275</v>
      </c>
      <c r="K235" s="8" t="s">
        <v>29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8" t="s">
        <v>33</v>
      </c>
      <c r="B236" s="8" t="s">
        <v>34</v>
      </c>
      <c r="C236" s="8" t="s">
        <v>153</v>
      </c>
      <c r="D236" s="8" t="s">
        <v>154</v>
      </c>
      <c r="E236" s="9" t="s">
        <v>515</v>
      </c>
      <c r="F236" s="8" t="s">
        <v>267</v>
      </c>
      <c r="G236" s="8" t="s">
        <v>508</v>
      </c>
      <c r="H236" s="8" t="s">
        <v>259</v>
      </c>
      <c r="I236" s="8" t="s">
        <v>91</v>
      </c>
      <c r="J236" s="8" t="s">
        <v>275</v>
      </c>
      <c r="K236" s="8" t="s">
        <v>29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8" t="s">
        <v>33</v>
      </c>
      <c r="B237" s="8" t="s">
        <v>286</v>
      </c>
      <c r="C237" s="8" t="s">
        <v>287</v>
      </c>
      <c r="D237" s="8" t="s">
        <v>288</v>
      </c>
      <c r="E237" s="9" t="s">
        <v>288</v>
      </c>
      <c r="F237" s="8" t="s">
        <v>289</v>
      </c>
      <c r="G237" s="8" t="s">
        <v>508</v>
      </c>
      <c r="H237" s="8" t="s">
        <v>259</v>
      </c>
      <c r="I237" s="8" t="s">
        <v>91</v>
      </c>
      <c r="J237" s="8" t="s">
        <v>275</v>
      </c>
      <c r="K237" s="8" t="s">
        <v>29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8" t="s">
        <v>33</v>
      </c>
      <c r="B238" s="8" t="s">
        <v>290</v>
      </c>
      <c r="C238" s="8" t="s">
        <v>291</v>
      </c>
      <c r="D238" s="8" t="s">
        <v>292</v>
      </c>
      <c r="E238" s="9" t="s">
        <v>516</v>
      </c>
      <c r="F238" s="8" t="s">
        <v>293</v>
      </c>
      <c r="G238" s="8" t="s">
        <v>508</v>
      </c>
      <c r="H238" s="8" t="s">
        <v>259</v>
      </c>
      <c r="I238" s="8" t="s">
        <v>91</v>
      </c>
      <c r="J238" s="8" t="s">
        <v>275</v>
      </c>
      <c r="K238" s="8" t="s">
        <v>29</v>
      </c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8" t="s">
        <v>517</v>
      </c>
      <c r="B239" s="8" t="s">
        <v>67</v>
      </c>
      <c r="C239" s="8" t="s">
        <v>270</v>
      </c>
      <c r="D239" s="8" t="s">
        <v>358</v>
      </c>
      <c r="E239" s="9" t="s">
        <v>518</v>
      </c>
      <c r="F239" s="8" t="s">
        <v>398</v>
      </c>
      <c r="G239" s="8" t="s">
        <v>388</v>
      </c>
      <c r="H239" s="8" t="s">
        <v>259</v>
      </c>
      <c r="I239" s="8" t="s">
        <v>91</v>
      </c>
      <c r="J239" s="8" t="s">
        <v>275</v>
      </c>
      <c r="K239" s="8" t="s">
        <v>29</v>
      </c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8" t="s">
        <v>519</v>
      </c>
      <c r="B240" s="8" t="s">
        <v>132</v>
      </c>
      <c r="C240" s="8" t="s">
        <v>473</v>
      </c>
      <c r="D240" s="8" t="s">
        <v>520</v>
      </c>
      <c r="E240" s="9" t="s">
        <v>521</v>
      </c>
      <c r="F240" s="8" t="s">
        <v>134</v>
      </c>
      <c r="G240" s="8" t="s">
        <v>388</v>
      </c>
      <c r="H240" s="8" t="s">
        <v>259</v>
      </c>
      <c r="I240" s="8" t="s">
        <v>91</v>
      </c>
      <c r="J240" s="8" t="s">
        <v>275</v>
      </c>
      <c r="K240" s="8" t="s">
        <v>29</v>
      </c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8" t="s">
        <v>33</v>
      </c>
      <c r="B241" s="8" t="s">
        <v>253</v>
      </c>
      <c r="C241" s="8" t="s">
        <v>254</v>
      </c>
      <c r="D241" s="8" t="s">
        <v>255</v>
      </c>
      <c r="E241" s="9" t="s">
        <v>522</v>
      </c>
      <c r="F241" s="8" t="s">
        <v>281</v>
      </c>
      <c r="G241" s="8" t="s">
        <v>388</v>
      </c>
      <c r="H241" s="8" t="s">
        <v>259</v>
      </c>
      <c r="I241" s="8" t="s">
        <v>91</v>
      </c>
      <c r="J241" s="8" t="s">
        <v>275</v>
      </c>
      <c r="K241" s="8" t="s">
        <v>29</v>
      </c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8" t="s">
        <v>523</v>
      </c>
      <c r="B242" s="8" t="s">
        <v>34</v>
      </c>
      <c r="C242" s="8" t="s">
        <v>153</v>
      </c>
      <c r="D242" s="8" t="s">
        <v>154</v>
      </c>
      <c r="E242" s="9" t="s">
        <v>524</v>
      </c>
      <c r="F242" s="8" t="s">
        <v>267</v>
      </c>
      <c r="G242" s="8" t="s">
        <v>84</v>
      </c>
      <c r="H242" s="8" t="s">
        <v>259</v>
      </c>
      <c r="I242" s="8" t="s">
        <v>260</v>
      </c>
      <c r="J242" s="8" t="s">
        <v>294</v>
      </c>
      <c r="K242" s="8" t="s">
        <v>55</v>
      </c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8" t="s">
        <v>525</v>
      </c>
      <c r="B243" s="8" t="s">
        <v>34</v>
      </c>
      <c r="C243" s="8" t="s">
        <v>153</v>
      </c>
      <c r="D243" s="8" t="s">
        <v>154</v>
      </c>
      <c r="E243" s="9" t="s">
        <v>337</v>
      </c>
      <c r="F243" s="8" t="s">
        <v>267</v>
      </c>
      <c r="G243" s="8" t="s">
        <v>388</v>
      </c>
      <c r="H243" s="8" t="s">
        <v>259</v>
      </c>
      <c r="I243" s="8" t="s">
        <v>91</v>
      </c>
      <c r="J243" s="8" t="s">
        <v>275</v>
      </c>
      <c r="K243" s="8" t="s">
        <v>29</v>
      </c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8" t="s">
        <v>33</v>
      </c>
      <c r="B244" s="8" t="s">
        <v>286</v>
      </c>
      <c r="C244" s="8" t="s">
        <v>287</v>
      </c>
      <c r="D244" s="8" t="s">
        <v>288</v>
      </c>
      <c r="E244" s="9" t="s">
        <v>288</v>
      </c>
      <c r="F244" s="8" t="s">
        <v>289</v>
      </c>
      <c r="G244" s="8" t="s">
        <v>388</v>
      </c>
      <c r="H244" s="8" t="s">
        <v>259</v>
      </c>
      <c r="I244" s="8" t="s">
        <v>91</v>
      </c>
      <c r="J244" s="8" t="s">
        <v>275</v>
      </c>
      <c r="K244" s="8" t="s">
        <v>29</v>
      </c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8" t="s">
        <v>33</v>
      </c>
      <c r="B245" s="8" t="s">
        <v>290</v>
      </c>
      <c r="C245" s="8" t="s">
        <v>291</v>
      </c>
      <c r="D245" s="8" t="s">
        <v>292</v>
      </c>
      <c r="E245" s="9" t="s">
        <v>526</v>
      </c>
      <c r="F245" s="8" t="s">
        <v>293</v>
      </c>
      <c r="G245" s="8" t="s">
        <v>388</v>
      </c>
      <c r="H245" s="8" t="s">
        <v>259</v>
      </c>
      <c r="I245" s="8" t="s">
        <v>91</v>
      </c>
      <c r="J245" s="8" t="s">
        <v>275</v>
      </c>
      <c r="K245" s="8" t="s">
        <v>29</v>
      </c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8" t="s">
        <v>33</v>
      </c>
      <c r="B246" s="8" t="s">
        <v>167</v>
      </c>
      <c r="C246" s="8" t="s">
        <v>296</v>
      </c>
      <c r="D246" s="8" t="s">
        <v>391</v>
      </c>
      <c r="E246" s="9" t="s">
        <v>527</v>
      </c>
      <c r="F246" s="8" t="s">
        <v>299</v>
      </c>
      <c r="G246" s="8" t="s">
        <v>388</v>
      </c>
      <c r="H246" s="8" t="s">
        <v>259</v>
      </c>
      <c r="I246" s="8" t="s">
        <v>91</v>
      </c>
      <c r="J246" s="8" t="s">
        <v>275</v>
      </c>
      <c r="K246" s="8" t="s">
        <v>29</v>
      </c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8" t="s">
        <v>33</v>
      </c>
      <c r="B247" s="8" t="s">
        <v>301</v>
      </c>
      <c r="C247" s="8" t="s">
        <v>296</v>
      </c>
      <c r="D247" s="8" t="s">
        <v>323</v>
      </c>
      <c r="E247" s="9" t="s">
        <v>528</v>
      </c>
      <c r="F247" s="8" t="s">
        <v>304</v>
      </c>
      <c r="G247" s="8" t="s">
        <v>388</v>
      </c>
      <c r="H247" s="8" t="s">
        <v>259</v>
      </c>
      <c r="I247" s="8" t="s">
        <v>91</v>
      </c>
      <c r="J247" s="8" t="s">
        <v>275</v>
      </c>
      <c r="K247" s="8" t="s">
        <v>29</v>
      </c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8" t="s">
        <v>33</v>
      </c>
      <c r="B248" s="8" t="s">
        <v>305</v>
      </c>
      <c r="C248" s="8" t="s">
        <v>288</v>
      </c>
      <c r="D248" s="8" t="s">
        <v>288</v>
      </c>
      <c r="E248" s="9" t="s">
        <v>288</v>
      </c>
      <c r="F248" s="8" t="s">
        <v>306</v>
      </c>
      <c r="G248" s="8" t="s">
        <v>388</v>
      </c>
      <c r="H248" s="8" t="s">
        <v>259</v>
      </c>
      <c r="I248" s="8" t="s">
        <v>91</v>
      </c>
      <c r="J248" s="8" t="s">
        <v>275</v>
      </c>
      <c r="K248" s="8" t="s">
        <v>29</v>
      </c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8" t="s">
        <v>33</v>
      </c>
      <c r="B249" s="8" t="s">
        <v>325</v>
      </c>
      <c r="C249" s="8" t="s">
        <v>288</v>
      </c>
      <c r="D249" s="8" t="s">
        <v>288</v>
      </c>
      <c r="E249" s="9" t="s">
        <v>288</v>
      </c>
      <c r="F249" s="8" t="s">
        <v>326</v>
      </c>
      <c r="G249" s="8" t="s">
        <v>388</v>
      </c>
      <c r="H249" s="8" t="s">
        <v>259</v>
      </c>
      <c r="I249" s="8" t="s">
        <v>91</v>
      </c>
      <c r="J249" s="8" t="s">
        <v>275</v>
      </c>
      <c r="K249" s="8" t="s">
        <v>29</v>
      </c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8" t="s">
        <v>529</v>
      </c>
      <c r="B250" s="8" t="s">
        <v>67</v>
      </c>
      <c r="C250" s="8" t="s">
        <v>270</v>
      </c>
      <c r="D250" s="8" t="s">
        <v>530</v>
      </c>
      <c r="E250" s="9" t="s">
        <v>531</v>
      </c>
      <c r="F250" s="8" t="s">
        <v>532</v>
      </c>
      <c r="G250" s="8" t="s">
        <v>533</v>
      </c>
      <c r="H250" s="12" t="s">
        <v>259</v>
      </c>
      <c r="I250" s="12" t="s">
        <v>91</v>
      </c>
      <c r="J250" s="11" t="s">
        <v>400</v>
      </c>
      <c r="K250" s="8" t="s">
        <v>29</v>
      </c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8" t="s">
        <v>534</v>
      </c>
      <c r="B251" s="8" t="s">
        <v>132</v>
      </c>
      <c r="C251" s="8" t="s">
        <v>270</v>
      </c>
      <c r="D251" s="8" t="s">
        <v>441</v>
      </c>
      <c r="E251" s="9" t="s">
        <v>535</v>
      </c>
      <c r="F251" s="8" t="s">
        <v>134</v>
      </c>
      <c r="G251" s="8" t="s">
        <v>533</v>
      </c>
      <c r="H251" s="12" t="s">
        <v>259</v>
      </c>
      <c r="I251" s="12" t="s">
        <v>91</v>
      </c>
      <c r="J251" s="11" t="s">
        <v>400</v>
      </c>
      <c r="K251" s="8" t="s">
        <v>29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8" t="s">
        <v>33</v>
      </c>
      <c r="B252" s="8" t="s">
        <v>253</v>
      </c>
      <c r="C252" s="8" t="s">
        <v>536</v>
      </c>
      <c r="D252" s="8" t="s">
        <v>255</v>
      </c>
      <c r="E252" s="9" t="s">
        <v>537</v>
      </c>
      <c r="F252" s="8" t="s">
        <v>281</v>
      </c>
      <c r="G252" s="8" t="s">
        <v>533</v>
      </c>
      <c r="H252" s="12" t="s">
        <v>259</v>
      </c>
      <c r="I252" s="12" t="s">
        <v>91</v>
      </c>
      <c r="J252" s="11" t="s">
        <v>400</v>
      </c>
      <c r="K252" s="8" t="s">
        <v>29</v>
      </c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8" t="s">
        <v>538</v>
      </c>
      <c r="B253" s="8" t="s">
        <v>34</v>
      </c>
      <c r="C253" s="8" t="s">
        <v>125</v>
      </c>
      <c r="D253" s="8" t="s">
        <v>492</v>
      </c>
      <c r="E253" s="9" t="s">
        <v>539</v>
      </c>
      <c r="F253" s="8" t="s">
        <v>267</v>
      </c>
      <c r="G253" s="8" t="s">
        <v>533</v>
      </c>
      <c r="H253" s="12" t="s">
        <v>259</v>
      </c>
      <c r="I253" s="12" t="s">
        <v>91</v>
      </c>
      <c r="J253" s="11" t="s">
        <v>400</v>
      </c>
      <c r="K253" s="8" t="s">
        <v>29</v>
      </c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8" t="s">
        <v>33</v>
      </c>
      <c r="B254" s="8" t="s">
        <v>286</v>
      </c>
      <c r="C254" s="8" t="s">
        <v>287</v>
      </c>
      <c r="D254" s="8" t="s">
        <v>288</v>
      </c>
      <c r="E254" s="9" t="s">
        <v>288</v>
      </c>
      <c r="F254" s="8" t="s">
        <v>289</v>
      </c>
      <c r="G254" s="8" t="s">
        <v>533</v>
      </c>
      <c r="H254" s="12" t="s">
        <v>259</v>
      </c>
      <c r="I254" s="12" t="s">
        <v>91</v>
      </c>
      <c r="J254" s="11" t="s">
        <v>400</v>
      </c>
      <c r="K254" s="8" t="s">
        <v>29</v>
      </c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8" t="s">
        <v>540</v>
      </c>
      <c r="B255" s="8" t="s">
        <v>98</v>
      </c>
      <c r="C255" s="8" t="s">
        <v>99</v>
      </c>
      <c r="D255" s="8" t="s">
        <v>541</v>
      </c>
      <c r="E255" s="9" t="s">
        <v>542</v>
      </c>
      <c r="F255" s="8" t="s">
        <v>543</v>
      </c>
      <c r="G255" s="8" t="s">
        <v>533</v>
      </c>
      <c r="H255" s="12" t="s">
        <v>259</v>
      </c>
      <c r="I255" s="12" t="s">
        <v>91</v>
      </c>
      <c r="J255" s="11" t="s">
        <v>400</v>
      </c>
      <c r="K255" s="8" t="s">
        <v>29</v>
      </c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8" t="s">
        <v>33</v>
      </c>
      <c r="B256" s="8" t="s">
        <v>74</v>
      </c>
      <c r="C256" s="8" t="s">
        <v>435</v>
      </c>
      <c r="D256" s="8" t="s">
        <v>288</v>
      </c>
      <c r="E256" s="9" t="s">
        <v>288</v>
      </c>
      <c r="F256" s="8" t="s">
        <v>544</v>
      </c>
      <c r="G256" s="8" t="s">
        <v>533</v>
      </c>
      <c r="H256" s="12" t="s">
        <v>259</v>
      </c>
      <c r="I256" s="12" t="s">
        <v>91</v>
      </c>
      <c r="J256" s="11" t="s">
        <v>400</v>
      </c>
      <c r="K256" s="8" t="s">
        <v>29</v>
      </c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8" t="s">
        <v>33</v>
      </c>
      <c r="B257" s="8" t="s">
        <v>290</v>
      </c>
      <c r="C257" s="8" t="s">
        <v>156</v>
      </c>
      <c r="D257" s="8" t="s">
        <v>545</v>
      </c>
      <c r="E257" s="9" t="s">
        <v>33</v>
      </c>
      <c r="F257" s="8" t="s">
        <v>420</v>
      </c>
      <c r="G257" s="8" t="s">
        <v>533</v>
      </c>
      <c r="H257" s="13" t="s">
        <v>259</v>
      </c>
      <c r="I257" s="13" t="s">
        <v>91</v>
      </c>
      <c r="J257" s="8" t="s">
        <v>400</v>
      </c>
      <c r="K257" s="8" t="s">
        <v>29</v>
      </c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8" t="s">
        <v>33</v>
      </c>
      <c r="B258" s="8" t="s">
        <v>167</v>
      </c>
      <c r="C258" s="8" t="s">
        <v>296</v>
      </c>
      <c r="D258" s="8" t="s">
        <v>546</v>
      </c>
      <c r="E258" s="9" t="s">
        <v>547</v>
      </c>
      <c r="F258" s="8" t="s">
        <v>548</v>
      </c>
      <c r="G258" s="8" t="s">
        <v>533</v>
      </c>
      <c r="H258" s="12" t="s">
        <v>259</v>
      </c>
      <c r="I258" s="12" t="s">
        <v>91</v>
      </c>
      <c r="J258" s="11" t="s">
        <v>400</v>
      </c>
      <c r="K258" s="8" t="s">
        <v>29</v>
      </c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8" t="s">
        <v>33</v>
      </c>
      <c r="B259" s="8" t="s">
        <v>132</v>
      </c>
      <c r="C259" s="8" t="s">
        <v>296</v>
      </c>
      <c r="D259" s="8" t="s">
        <v>302</v>
      </c>
      <c r="E259" s="9" t="s">
        <v>33</v>
      </c>
      <c r="F259" s="8" t="s">
        <v>304</v>
      </c>
      <c r="G259" s="8" t="s">
        <v>533</v>
      </c>
      <c r="H259" s="12" t="s">
        <v>259</v>
      </c>
      <c r="I259" s="12" t="s">
        <v>91</v>
      </c>
      <c r="J259" s="11" t="s">
        <v>400</v>
      </c>
      <c r="K259" s="8" t="s">
        <v>29</v>
      </c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8" t="s">
        <v>33</v>
      </c>
      <c r="B260" s="8" t="s">
        <v>305</v>
      </c>
      <c r="C260" s="8" t="s">
        <v>288</v>
      </c>
      <c r="D260" s="8" t="s">
        <v>288</v>
      </c>
      <c r="E260" s="9" t="s">
        <v>288</v>
      </c>
      <c r="F260" s="8" t="s">
        <v>306</v>
      </c>
      <c r="G260" s="8" t="s">
        <v>533</v>
      </c>
      <c r="H260" s="12" t="s">
        <v>259</v>
      </c>
      <c r="I260" s="12" t="s">
        <v>91</v>
      </c>
      <c r="J260" s="11" t="s">
        <v>400</v>
      </c>
      <c r="K260" s="8" t="s">
        <v>29</v>
      </c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8" t="s">
        <v>33</v>
      </c>
      <c r="B261" s="8" t="s">
        <v>325</v>
      </c>
      <c r="C261" s="8" t="s">
        <v>288</v>
      </c>
      <c r="D261" s="8" t="s">
        <v>288</v>
      </c>
      <c r="E261" s="9" t="s">
        <v>288</v>
      </c>
      <c r="F261" s="8" t="s">
        <v>326</v>
      </c>
      <c r="G261" s="8" t="s">
        <v>533</v>
      </c>
      <c r="H261" s="12" t="s">
        <v>259</v>
      </c>
      <c r="I261" s="12" t="s">
        <v>91</v>
      </c>
      <c r="J261" s="11" t="s">
        <v>400</v>
      </c>
      <c r="K261" s="8" t="s">
        <v>29</v>
      </c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8" t="s">
        <v>33</v>
      </c>
      <c r="B262" s="8" t="s">
        <v>67</v>
      </c>
      <c r="C262" s="8" t="s">
        <v>270</v>
      </c>
      <c r="D262" s="8" t="s">
        <v>271</v>
      </c>
      <c r="E262" s="9" t="s">
        <v>33</v>
      </c>
      <c r="F262" s="8" t="s">
        <v>549</v>
      </c>
      <c r="G262" s="8" t="s">
        <v>550</v>
      </c>
      <c r="H262" s="12" t="s">
        <v>259</v>
      </c>
      <c r="I262" s="12" t="s">
        <v>91</v>
      </c>
      <c r="J262" s="11" t="s">
        <v>275</v>
      </c>
      <c r="K262" s="8" t="s">
        <v>29</v>
      </c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8" t="s">
        <v>33</v>
      </c>
      <c r="B263" s="8" t="s">
        <v>132</v>
      </c>
      <c r="C263" s="8" t="s">
        <v>270</v>
      </c>
      <c r="D263" s="8" t="s">
        <v>441</v>
      </c>
      <c r="E263" s="9" t="s">
        <v>33</v>
      </c>
      <c r="F263" s="8" t="s">
        <v>134</v>
      </c>
      <c r="G263" s="8" t="s">
        <v>550</v>
      </c>
      <c r="H263" s="12" t="s">
        <v>259</v>
      </c>
      <c r="I263" s="12" t="s">
        <v>91</v>
      </c>
      <c r="J263" s="11" t="s">
        <v>275</v>
      </c>
      <c r="K263" s="8" t="s">
        <v>29</v>
      </c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8" t="s">
        <v>33</v>
      </c>
      <c r="B264" s="8" t="s">
        <v>253</v>
      </c>
      <c r="C264" s="8" t="s">
        <v>536</v>
      </c>
      <c r="D264" s="8" t="s">
        <v>255</v>
      </c>
      <c r="E264" s="9" t="s">
        <v>33</v>
      </c>
      <c r="F264" s="8" t="s">
        <v>281</v>
      </c>
      <c r="G264" s="8" t="s">
        <v>550</v>
      </c>
      <c r="H264" s="12" t="s">
        <v>259</v>
      </c>
      <c r="I264" s="12" t="s">
        <v>91</v>
      </c>
      <c r="J264" s="11" t="s">
        <v>275</v>
      </c>
      <c r="K264" s="8" t="s">
        <v>29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8" t="s">
        <v>33</v>
      </c>
      <c r="B265" s="8" t="s">
        <v>34</v>
      </c>
      <c r="C265" s="8" t="s">
        <v>125</v>
      </c>
      <c r="D265" s="8" t="s">
        <v>36</v>
      </c>
      <c r="E265" s="9" t="s">
        <v>33</v>
      </c>
      <c r="F265" s="8" t="s">
        <v>267</v>
      </c>
      <c r="G265" s="8" t="s">
        <v>550</v>
      </c>
      <c r="H265" s="12" t="s">
        <v>259</v>
      </c>
      <c r="I265" s="12" t="s">
        <v>91</v>
      </c>
      <c r="J265" s="11" t="s">
        <v>275</v>
      </c>
      <c r="K265" s="8" t="s">
        <v>55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8" t="s">
        <v>33</v>
      </c>
      <c r="B266" s="8" t="s">
        <v>286</v>
      </c>
      <c r="C266" s="8" t="s">
        <v>287</v>
      </c>
      <c r="D266" s="8" t="s">
        <v>288</v>
      </c>
      <c r="E266" s="9" t="s">
        <v>288</v>
      </c>
      <c r="F266" s="8" t="s">
        <v>289</v>
      </c>
      <c r="G266" s="8" t="s">
        <v>550</v>
      </c>
      <c r="H266" s="12" t="s">
        <v>259</v>
      </c>
      <c r="I266" s="12" t="s">
        <v>91</v>
      </c>
      <c r="J266" s="11" t="s">
        <v>275</v>
      </c>
      <c r="K266" s="8" t="s">
        <v>29</v>
      </c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8" t="s">
        <v>33</v>
      </c>
      <c r="B267" s="8" t="s">
        <v>290</v>
      </c>
      <c r="C267" s="8" t="s">
        <v>291</v>
      </c>
      <c r="D267" s="8" t="s">
        <v>292</v>
      </c>
      <c r="E267" s="9" t="s">
        <v>33</v>
      </c>
      <c r="F267" s="8" t="s">
        <v>293</v>
      </c>
      <c r="G267" s="8" t="s">
        <v>550</v>
      </c>
      <c r="H267" s="13" t="s">
        <v>259</v>
      </c>
      <c r="I267" s="13" t="s">
        <v>91</v>
      </c>
      <c r="J267" s="8" t="s">
        <v>275</v>
      </c>
      <c r="K267" s="8" t="s">
        <v>55</v>
      </c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8" t="s">
        <v>33</v>
      </c>
      <c r="B268" s="11" t="s">
        <v>67</v>
      </c>
      <c r="C268" s="11" t="s">
        <v>270</v>
      </c>
      <c r="D268" s="11" t="s">
        <v>551</v>
      </c>
      <c r="E268" s="9" t="s">
        <v>552</v>
      </c>
      <c r="F268" s="8" t="s">
        <v>553</v>
      </c>
      <c r="G268" s="11" t="s">
        <v>554</v>
      </c>
      <c r="H268" s="11" t="s">
        <v>259</v>
      </c>
      <c r="I268" s="11" t="s">
        <v>260</v>
      </c>
      <c r="J268" s="8" t="s">
        <v>555</v>
      </c>
      <c r="K268" s="8" t="s">
        <v>29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8" t="s">
        <v>33</v>
      </c>
      <c r="B269" s="8" t="s">
        <v>228</v>
      </c>
      <c r="C269" s="8" t="s">
        <v>270</v>
      </c>
      <c r="D269" s="8" t="s">
        <v>556</v>
      </c>
      <c r="E269" s="9" t="s">
        <v>557</v>
      </c>
      <c r="F269" s="8" t="s">
        <v>558</v>
      </c>
      <c r="G269" s="11" t="s">
        <v>554</v>
      </c>
      <c r="H269" s="11" t="s">
        <v>259</v>
      </c>
      <c r="I269" s="11" t="s">
        <v>260</v>
      </c>
      <c r="J269" s="8" t="s">
        <v>555</v>
      </c>
      <c r="K269" s="8" t="s">
        <v>29</v>
      </c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8" t="s">
        <v>33</v>
      </c>
      <c r="B270" s="8" t="s">
        <v>34</v>
      </c>
      <c r="C270" s="14" t="s">
        <v>35</v>
      </c>
      <c r="D270" s="8" t="s">
        <v>559</v>
      </c>
      <c r="E270" s="9" t="s">
        <v>317</v>
      </c>
      <c r="F270" s="8" t="s">
        <v>267</v>
      </c>
      <c r="G270" s="11" t="s">
        <v>554</v>
      </c>
      <c r="H270" s="11" t="s">
        <v>259</v>
      </c>
      <c r="I270" s="11" t="s">
        <v>260</v>
      </c>
      <c r="J270" s="8" t="s">
        <v>555</v>
      </c>
      <c r="K270" s="8" t="s">
        <v>29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8" t="s">
        <v>33</v>
      </c>
      <c r="B271" s="8" t="s">
        <v>41</v>
      </c>
      <c r="C271" s="14" t="s">
        <v>139</v>
      </c>
      <c r="D271" s="8" t="s">
        <v>560</v>
      </c>
      <c r="E271" s="9" t="s">
        <v>561</v>
      </c>
      <c r="F271" s="8" t="s">
        <v>350</v>
      </c>
      <c r="G271" s="11" t="s">
        <v>554</v>
      </c>
      <c r="H271" s="11" t="s">
        <v>259</v>
      </c>
      <c r="I271" s="11" t="s">
        <v>260</v>
      </c>
      <c r="J271" s="8" t="s">
        <v>555</v>
      </c>
      <c r="K271" s="8" t="s">
        <v>29</v>
      </c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8" t="s">
        <v>33</v>
      </c>
      <c r="B272" s="8" t="s">
        <v>98</v>
      </c>
      <c r="C272" s="14" t="s">
        <v>48</v>
      </c>
      <c r="D272" s="11" t="s">
        <v>562</v>
      </c>
      <c r="E272" s="11" t="s">
        <v>563</v>
      </c>
      <c r="F272" s="11" t="s">
        <v>543</v>
      </c>
      <c r="G272" s="11" t="s">
        <v>554</v>
      </c>
      <c r="H272" s="11" t="s">
        <v>259</v>
      </c>
      <c r="I272" s="11" t="s">
        <v>260</v>
      </c>
      <c r="J272" s="8" t="s">
        <v>555</v>
      </c>
      <c r="K272" s="8" t="s">
        <v>29</v>
      </c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8" t="s">
        <v>33</v>
      </c>
      <c r="B273" s="8" t="s">
        <v>253</v>
      </c>
      <c r="C273" s="14" t="s">
        <v>254</v>
      </c>
      <c r="D273" s="8" t="s">
        <v>255</v>
      </c>
      <c r="E273" s="9" t="s">
        <v>564</v>
      </c>
      <c r="F273" s="8" t="s">
        <v>33</v>
      </c>
      <c r="G273" s="14" t="s">
        <v>554</v>
      </c>
      <c r="H273" s="11" t="s">
        <v>259</v>
      </c>
      <c r="I273" s="11" t="s">
        <v>260</v>
      </c>
      <c r="J273" s="8" t="s">
        <v>555</v>
      </c>
      <c r="K273" s="8" t="s">
        <v>29</v>
      </c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8" t="s">
        <v>33</v>
      </c>
      <c r="B274" s="8" t="s">
        <v>286</v>
      </c>
      <c r="C274" s="8" t="s">
        <v>288</v>
      </c>
      <c r="D274" s="8" t="s">
        <v>288</v>
      </c>
      <c r="E274" s="8" t="s">
        <v>288</v>
      </c>
      <c r="F274" s="11" t="s">
        <v>33</v>
      </c>
      <c r="G274" s="11" t="s">
        <v>554</v>
      </c>
      <c r="H274" s="11" t="s">
        <v>259</v>
      </c>
      <c r="I274" s="11" t="s">
        <v>260</v>
      </c>
      <c r="J274" s="8" t="s">
        <v>555</v>
      </c>
      <c r="K274" s="8" t="s">
        <v>29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8" t="s">
        <v>33</v>
      </c>
      <c r="B275" s="11" t="s">
        <v>67</v>
      </c>
      <c r="C275" s="11" t="s">
        <v>270</v>
      </c>
      <c r="D275" s="11" t="s">
        <v>551</v>
      </c>
      <c r="E275" s="8" t="s">
        <v>565</v>
      </c>
      <c r="F275" s="8" t="s">
        <v>553</v>
      </c>
      <c r="G275" s="11" t="s">
        <v>566</v>
      </c>
      <c r="H275" s="11" t="s">
        <v>259</v>
      </c>
      <c r="I275" s="11" t="s">
        <v>260</v>
      </c>
      <c r="J275" s="8" t="s">
        <v>555</v>
      </c>
      <c r="K275" s="8" t="s">
        <v>29</v>
      </c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8" t="s">
        <v>33</v>
      </c>
      <c r="B276" s="8" t="s">
        <v>228</v>
      </c>
      <c r="C276" s="11" t="s">
        <v>270</v>
      </c>
      <c r="D276" s="8" t="s">
        <v>556</v>
      </c>
      <c r="E276" s="9" t="s">
        <v>557</v>
      </c>
      <c r="F276" s="11" t="s">
        <v>558</v>
      </c>
      <c r="G276" s="11" t="s">
        <v>566</v>
      </c>
      <c r="H276" s="11" t="s">
        <v>259</v>
      </c>
      <c r="I276" s="11" t="s">
        <v>260</v>
      </c>
      <c r="J276" s="8" t="s">
        <v>555</v>
      </c>
      <c r="K276" s="8" t="s">
        <v>29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8" t="s">
        <v>33</v>
      </c>
      <c r="B277" s="8" t="s">
        <v>34</v>
      </c>
      <c r="C277" s="11" t="s">
        <v>139</v>
      </c>
      <c r="D277" s="8" t="s">
        <v>567</v>
      </c>
      <c r="E277" s="8" t="s">
        <v>568</v>
      </c>
      <c r="F277" s="11" t="s">
        <v>267</v>
      </c>
      <c r="G277" s="11" t="s">
        <v>566</v>
      </c>
      <c r="H277" s="11" t="s">
        <v>259</v>
      </c>
      <c r="I277" s="11" t="s">
        <v>260</v>
      </c>
      <c r="J277" s="8" t="s">
        <v>555</v>
      </c>
      <c r="K277" s="8" t="s">
        <v>29</v>
      </c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8" t="s">
        <v>33</v>
      </c>
      <c r="B278" s="8" t="s">
        <v>41</v>
      </c>
      <c r="C278" s="8" t="s">
        <v>35</v>
      </c>
      <c r="D278" s="8">
        <v>1576.0</v>
      </c>
      <c r="E278" s="14">
        <v>6.5819247915E10</v>
      </c>
      <c r="F278" s="11" t="s">
        <v>350</v>
      </c>
      <c r="G278" s="11" t="s">
        <v>566</v>
      </c>
      <c r="H278" s="11" t="s">
        <v>259</v>
      </c>
      <c r="I278" s="11" t="s">
        <v>260</v>
      </c>
      <c r="J278" s="8" t="s">
        <v>555</v>
      </c>
      <c r="K278" s="8" t="s">
        <v>29</v>
      </c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8" t="s">
        <v>33</v>
      </c>
      <c r="B279" s="8" t="s">
        <v>98</v>
      </c>
      <c r="C279" s="8" t="s">
        <v>99</v>
      </c>
      <c r="D279" s="8" t="s">
        <v>569</v>
      </c>
      <c r="E279" s="14" t="s">
        <v>570</v>
      </c>
      <c r="F279" s="8" t="s">
        <v>543</v>
      </c>
      <c r="G279" s="11" t="s">
        <v>566</v>
      </c>
      <c r="H279" s="11" t="s">
        <v>259</v>
      </c>
      <c r="I279" s="11" t="s">
        <v>260</v>
      </c>
      <c r="J279" s="8" t="s">
        <v>555</v>
      </c>
      <c r="K279" s="8" t="s">
        <v>29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8" t="s">
        <v>33</v>
      </c>
      <c r="B280" s="8" t="s">
        <v>253</v>
      </c>
      <c r="C280" s="8" t="s">
        <v>254</v>
      </c>
      <c r="D280" s="8" t="s">
        <v>255</v>
      </c>
      <c r="E280" s="9" t="s">
        <v>564</v>
      </c>
      <c r="F280" s="8" t="s">
        <v>571</v>
      </c>
      <c r="G280" s="11" t="s">
        <v>566</v>
      </c>
      <c r="H280" s="11" t="s">
        <v>259</v>
      </c>
      <c r="I280" s="11" t="s">
        <v>260</v>
      </c>
      <c r="J280" s="8" t="s">
        <v>555</v>
      </c>
      <c r="K280" s="8" t="s">
        <v>29</v>
      </c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8" t="s">
        <v>33</v>
      </c>
      <c r="B281" s="8" t="s">
        <v>286</v>
      </c>
      <c r="C281" s="8" t="s">
        <v>288</v>
      </c>
      <c r="D281" s="8" t="s">
        <v>288</v>
      </c>
      <c r="E281" s="14" t="s">
        <v>288</v>
      </c>
      <c r="F281" s="8" t="s">
        <v>572</v>
      </c>
      <c r="G281" s="11" t="s">
        <v>566</v>
      </c>
      <c r="H281" s="11" t="s">
        <v>259</v>
      </c>
      <c r="I281" s="11" t="s">
        <v>260</v>
      </c>
      <c r="J281" s="8" t="s">
        <v>555</v>
      </c>
      <c r="K281" s="8" t="s">
        <v>29</v>
      </c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8" t="s">
        <v>33</v>
      </c>
      <c r="B282" s="11" t="s">
        <v>67</v>
      </c>
      <c r="C282" s="8" t="s">
        <v>270</v>
      </c>
      <c r="D282" s="11" t="s">
        <v>573</v>
      </c>
      <c r="E282" s="14" t="s">
        <v>574</v>
      </c>
      <c r="F282" s="8" t="s">
        <v>575</v>
      </c>
      <c r="G282" s="8" t="s">
        <v>576</v>
      </c>
      <c r="H282" s="11" t="s">
        <v>259</v>
      </c>
      <c r="I282" s="11" t="s">
        <v>260</v>
      </c>
      <c r="J282" s="8" t="s">
        <v>555</v>
      </c>
      <c r="K282" s="8" t="s">
        <v>29</v>
      </c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8" t="s">
        <v>33</v>
      </c>
      <c r="B283" s="8" t="s">
        <v>228</v>
      </c>
      <c r="C283" s="8" t="s">
        <v>270</v>
      </c>
      <c r="D283" s="8" t="s">
        <v>556</v>
      </c>
      <c r="E283" s="9" t="s">
        <v>557</v>
      </c>
      <c r="F283" s="8" t="s">
        <v>558</v>
      </c>
      <c r="G283" s="8" t="s">
        <v>576</v>
      </c>
      <c r="H283" s="11" t="s">
        <v>259</v>
      </c>
      <c r="I283" s="11" t="s">
        <v>260</v>
      </c>
      <c r="J283" s="8" t="s">
        <v>555</v>
      </c>
      <c r="K283" s="8" t="s">
        <v>29</v>
      </c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8" t="s">
        <v>33</v>
      </c>
      <c r="B284" s="8" t="s">
        <v>34</v>
      </c>
      <c r="C284" s="8" t="s">
        <v>153</v>
      </c>
      <c r="D284" s="8" t="s">
        <v>154</v>
      </c>
      <c r="E284" s="14" t="s">
        <v>577</v>
      </c>
      <c r="F284" s="8" t="s">
        <v>267</v>
      </c>
      <c r="G284" s="8" t="s">
        <v>576</v>
      </c>
      <c r="H284" s="11" t="s">
        <v>259</v>
      </c>
      <c r="I284" s="11" t="s">
        <v>260</v>
      </c>
      <c r="J284" s="8" t="s">
        <v>555</v>
      </c>
      <c r="K284" s="8" t="s">
        <v>29</v>
      </c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8" t="s">
        <v>33</v>
      </c>
      <c r="B285" s="8" t="s">
        <v>41</v>
      </c>
      <c r="C285" s="8" t="s">
        <v>153</v>
      </c>
      <c r="D285" s="8" t="s">
        <v>348</v>
      </c>
      <c r="E285" s="14" t="s">
        <v>578</v>
      </c>
      <c r="F285" s="8" t="s">
        <v>350</v>
      </c>
      <c r="G285" s="8" t="s">
        <v>576</v>
      </c>
      <c r="H285" s="11" t="s">
        <v>259</v>
      </c>
      <c r="I285" s="11" t="s">
        <v>260</v>
      </c>
      <c r="J285" s="8" t="s">
        <v>555</v>
      </c>
      <c r="K285" s="8" t="s">
        <v>29</v>
      </c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8" t="s">
        <v>33</v>
      </c>
      <c r="B286" s="8" t="s">
        <v>98</v>
      </c>
      <c r="C286" s="8" t="s">
        <v>99</v>
      </c>
      <c r="D286" s="8" t="s">
        <v>579</v>
      </c>
      <c r="E286" s="14" t="s">
        <v>580</v>
      </c>
      <c r="F286" s="8" t="s">
        <v>581</v>
      </c>
      <c r="G286" s="8" t="s">
        <v>576</v>
      </c>
      <c r="H286" s="11" t="s">
        <v>259</v>
      </c>
      <c r="I286" s="11" t="s">
        <v>260</v>
      </c>
      <c r="J286" s="8" t="s">
        <v>555</v>
      </c>
      <c r="K286" s="8" t="s">
        <v>29</v>
      </c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8" t="s">
        <v>33</v>
      </c>
      <c r="B287" s="8" t="s">
        <v>253</v>
      </c>
      <c r="C287" s="8" t="s">
        <v>254</v>
      </c>
      <c r="D287" s="8" t="s">
        <v>255</v>
      </c>
      <c r="E287" s="9" t="s">
        <v>564</v>
      </c>
      <c r="F287" s="8" t="s">
        <v>571</v>
      </c>
      <c r="G287" s="8" t="s">
        <v>576</v>
      </c>
      <c r="H287" s="11" t="s">
        <v>259</v>
      </c>
      <c r="I287" s="11" t="s">
        <v>260</v>
      </c>
      <c r="J287" s="8" t="s">
        <v>555</v>
      </c>
      <c r="K287" s="8" t="s">
        <v>29</v>
      </c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8" t="s">
        <v>33</v>
      </c>
      <c r="B288" s="8" t="s">
        <v>286</v>
      </c>
      <c r="C288" s="8" t="s">
        <v>288</v>
      </c>
      <c r="D288" s="8" t="s">
        <v>288</v>
      </c>
      <c r="E288" s="14" t="s">
        <v>288</v>
      </c>
      <c r="F288" s="8" t="s">
        <v>572</v>
      </c>
      <c r="G288" s="8" t="s">
        <v>576</v>
      </c>
      <c r="H288" s="11" t="s">
        <v>259</v>
      </c>
      <c r="I288" s="11" t="s">
        <v>260</v>
      </c>
      <c r="J288" s="8" t="s">
        <v>555</v>
      </c>
      <c r="K288" s="8" t="s">
        <v>29</v>
      </c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8" t="s">
        <v>33</v>
      </c>
      <c r="B289" s="11" t="s">
        <v>67</v>
      </c>
      <c r="C289" s="8" t="s">
        <v>270</v>
      </c>
      <c r="D289" s="11" t="s">
        <v>551</v>
      </c>
      <c r="E289" s="14" t="s">
        <v>582</v>
      </c>
      <c r="F289" s="8" t="s">
        <v>553</v>
      </c>
      <c r="G289" s="8" t="s">
        <v>583</v>
      </c>
      <c r="H289" s="11" t="s">
        <v>259</v>
      </c>
      <c r="I289" s="11" t="s">
        <v>260</v>
      </c>
      <c r="J289" s="8" t="s">
        <v>555</v>
      </c>
      <c r="K289" s="8" t="s">
        <v>29</v>
      </c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8" t="s">
        <v>33</v>
      </c>
      <c r="B290" s="8" t="s">
        <v>228</v>
      </c>
      <c r="C290" s="8" t="s">
        <v>270</v>
      </c>
      <c r="D290" s="8" t="s">
        <v>556</v>
      </c>
      <c r="E290" s="9" t="s">
        <v>557</v>
      </c>
      <c r="F290" s="8" t="s">
        <v>558</v>
      </c>
      <c r="G290" s="8" t="s">
        <v>583</v>
      </c>
      <c r="H290" s="11" t="s">
        <v>259</v>
      </c>
      <c r="I290" s="11" t="s">
        <v>260</v>
      </c>
      <c r="J290" s="8" t="s">
        <v>555</v>
      </c>
      <c r="K290" s="8" t="s">
        <v>29</v>
      </c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8" t="s">
        <v>33</v>
      </c>
      <c r="B291" s="8" t="s">
        <v>34</v>
      </c>
      <c r="C291" s="8" t="s">
        <v>35</v>
      </c>
      <c r="D291" s="8">
        <v>1113.0</v>
      </c>
      <c r="E291" s="14" t="s">
        <v>317</v>
      </c>
      <c r="F291" s="8" t="s">
        <v>267</v>
      </c>
      <c r="G291" s="8" t="s">
        <v>583</v>
      </c>
      <c r="H291" s="11" t="s">
        <v>259</v>
      </c>
      <c r="I291" s="11" t="s">
        <v>260</v>
      </c>
      <c r="J291" s="8" t="s">
        <v>555</v>
      </c>
      <c r="K291" s="8" t="s">
        <v>29</v>
      </c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8" t="s">
        <v>33</v>
      </c>
      <c r="B292" s="8" t="s">
        <v>41</v>
      </c>
      <c r="C292" s="8" t="s">
        <v>35</v>
      </c>
      <c r="D292" s="8">
        <v>1576.0</v>
      </c>
      <c r="E292" s="14">
        <v>6.5818952317E10</v>
      </c>
      <c r="F292" s="8" t="s">
        <v>350</v>
      </c>
      <c r="G292" s="8" t="s">
        <v>583</v>
      </c>
      <c r="H292" s="11" t="s">
        <v>259</v>
      </c>
      <c r="I292" s="11" t="s">
        <v>260</v>
      </c>
      <c r="J292" s="8" t="s">
        <v>555</v>
      </c>
      <c r="K292" s="8" t="s">
        <v>29</v>
      </c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8" t="s">
        <v>33</v>
      </c>
      <c r="B293" s="8" t="s">
        <v>98</v>
      </c>
      <c r="C293" s="8" t="s">
        <v>99</v>
      </c>
      <c r="D293" s="8" t="s">
        <v>100</v>
      </c>
      <c r="E293" s="14" t="s">
        <v>584</v>
      </c>
      <c r="F293" s="8" t="s">
        <v>543</v>
      </c>
      <c r="G293" s="8" t="s">
        <v>583</v>
      </c>
      <c r="H293" s="11" t="s">
        <v>259</v>
      </c>
      <c r="I293" s="11" t="s">
        <v>260</v>
      </c>
      <c r="J293" s="8" t="s">
        <v>555</v>
      </c>
      <c r="K293" s="8" t="s">
        <v>29</v>
      </c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8" t="s">
        <v>33</v>
      </c>
      <c r="B294" s="8" t="s">
        <v>253</v>
      </c>
      <c r="C294" s="8" t="s">
        <v>254</v>
      </c>
      <c r="D294" s="8" t="s">
        <v>255</v>
      </c>
      <c r="E294" s="9" t="s">
        <v>564</v>
      </c>
      <c r="F294" s="8" t="s">
        <v>571</v>
      </c>
      <c r="G294" s="8" t="s">
        <v>583</v>
      </c>
      <c r="H294" s="11" t="s">
        <v>259</v>
      </c>
      <c r="I294" s="11" t="s">
        <v>260</v>
      </c>
      <c r="J294" s="8" t="s">
        <v>555</v>
      </c>
      <c r="K294" s="8" t="s">
        <v>29</v>
      </c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8" t="s">
        <v>33</v>
      </c>
      <c r="B295" s="8" t="s">
        <v>286</v>
      </c>
      <c r="C295" s="8" t="s">
        <v>288</v>
      </c>
      <c r="D295" s="8" t="s">
        <v>288</v>
      </c>
      <c r="E295" s="14" t="s">
        <v>288</v>
      </c>
      <c r="F295" s="8" t="s">
        <v>572</v>
      </c>
      <c r="G295" s="8" t="s">
        <v>583</v>
      </c>
      <c r="H295" s="11" t="s">
        <v>259</v>
      </c>
      <c r="I295" s="11" t="s">
        <v>260</v>
      </c>
      <c r="J295" s="8" t="s">
        <v>555</v>
      </c>
      <c r="K295" s="8" t="s">
        <v>29</v>
      </c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2" t="s">
        <v>33</v>
      </c>
      <c r="B296" s="12" t="s">
        <v>167</v>
      </c>
      <c r="C296" s="12" t="s">
        <v>296</v>
      </c>
      <c r="D296" s="12" t="s">
        <v>297</v>
      </c>
      <c r="E296" s="15"/>
      <c r="F296" s="11" t="s">
        <v>585</v>
      </c>
      <c r="G296" s="8" t="s">
        <v>583</v>
      </c>
      <c r="H296" s="11" t="s">
        <v>259</v>
      </c>
      <c r="I296" s="11" t="s">
        <v>260</v>
      </c>
      <c r="J296" s="8" t="s">
        <v>555</v>
      </c>
      <c r="K296" s="12" t="s">
        <v>29</v>
      </c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2" t="s">
        <v>33</v>
      </c>
      <c r="B297" s="12" t="s">
        <v>132</v>
      </c>
      <c r="C297" s="12" t="s">
        <v>296</v>
      </c>
      <c r="D297" s="12" t="s">
        <v>323</v>
      </c>
      <c r="E297" s="15"/>
      <c r="F297" s="12" t="s">
        <v>304</v>
      </c>
      <c r="G297" s="8" t="s">
        <v>583</v>
      </c>
      <c r="H297" s="11" t="s">
        <v>259</v>
      </c>
      <c r="I297" s="11" t="s">
        <v>260</v>
      </c>
      <c r="J297" s="8" t="s">
        <v>555</v>
      </c>
      <c r="K297" s="12" t="s">
        <v>29</v>
      </c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8" t="s">
        <v>33</v>
      </c>
      <c r="B298" s="8" t="s">
        <v>67</v>
      </c>
      <c r="C298" s="8" t="s">
        <v>270</v>
      </c>
      <c r="D298" s="8" t="s">
        <v>551</v>
      </c>
      <c r="E298" s="14" t="s">
        <v>586</v>
      </c>
      <c r="F298" s="8" t="s">
        <v>553</v>
      </c>
      <c r="G298" s="8" t="s">
        <v>587</v>
      </c>
      <c r="H298" s="11" t="s">
        <v>259</v>
      </c>
      <c r="I298" s="11" t="s">
        <v>260</v>
      </c>
      <c r="J298" s="8" t="s">
        <v>588</v>
      </c>
      <c r="K298" s="12" t="s">
        <v>29</v>
      </c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8" t="s">
        <v>33</v>
      </c>
      <c r="B299" s="8" t="s">
        <v>228</v>
      </c>
      <c r="C299" s="8" t="s">
        <v>473</v>
      </c>
      <c r="D299" s="8" t="s">
        <v>589</v>
      </c>
      <c r="E299" s="14" t="s">
        <v>590</v>
      </c>
      <c r="F299" s="8" t="s">
        <v>558</v>
      </c>
      <c r="G299" s="8" t="s">
        <v>587</v>
      </c>
      <c r="H299" s="11" t="s">
        <v>259</v>
      </c>
      <c r="I299" s="11" t="s">
        <v>260</v>
      </c>
      <c r="J299" s="8" t="s">
        <v>588</v>
      </c>
      <c r="K299" s="12" t="s">
        <v>29</v>
      </c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8" t="s">
        <v>33</v>
      </c>
      <c r="B300" s="8" t="s">
        <v>98</v>
      </c>
      <c r="C300" s="8" t="s">
        <v>48</v>
      </c>
      <c r="D300" s="8" t="s">
        <v>591</v>
      </c>
      <c r="E300" s="14" t="s">
        <v>592</v>
      </c>
      <c r="F300" s="8" t="s">
        <v>543</v>
      </c>
      <c r="G300" s="8" t="s">
        <v>587</v>
      </c>
      <c r="H300" s="11" t="s">
        <v>259</v>
      </c>
      <c r="I300" s="11" t="s">
        <v>260</v>
      </c>
      <c r="J300" s="8" t="s">
        <v>588</v>
      </c>
      <c r="K300" s="12" t="s">
        <v>29</v>
      </c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8" t="s">
        <v>33</v>
      </c>
      <c r="B301" s="8" t="s">
        <v>34</v>
      </c>
      <c r="C301" s="8" t="s">
        <v>153</v>
      </c>
      <c r="D301" s="8" t="s">
        <v>154</v>
      </c>
      <c r="E301" s="14" t="s">
        <v>593</v>
      </c>
      <c r="F301" s="8" t="s">
        <v>267</v>
      </c>
      <c r="G301" s="8" t="s">
        <v>587</v>
      </c>
      <c r="H301" s="11" t="s">
        <v>259</v>
      </c>
      <c r="I301" s="11" t="s">
        <v>260</v>
      </c>
      <c r="J301" s="8" t="s">
        <v>588</v>
      </c>
      <c r="K301" s="12" t="s">
        <v>29</v>
      </c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8" t="s">
        <v>33</v>
      </c>
      <c r="B302" s="8" t="s">
        <v>253</v>
      </c>
      <c r="C302" s="8" t="s">
        <v>254</v>
      </c>
      <c r="D302" s="8" t="s">
        <v>255</v>
      </c>
      <c r="E302" s="9" t="s">
        <v>564</v>
      </c>
      <c r="F302" s="8" t="s">
        <v>571</v>
      </c>
      <c r="G302" s="8" t="s">
        <v>587</v>
      </c>
      <c r="H302" s="11" t="s">
        <v>259</v>
      </c>
      <c r="I302" s="11" t="s">
        <v>260</v>
      </c>
      <c r="J302" s="8" t="s">
        <v>588</v>
      </c>
      <c r="K302" s="12" t="s">
        <v>29</v>
      </c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8" t="s">
        <v>33</v>
      </c>
      <c r="B303" s="8" t="s">
        <v>286</v>
      </c>
      <c r="C303" s="8" t="s">
        <v>288</v>
      </c>
      <c r="D303" s="8" t="s">
        <v>288</v>
      </c>
      <c r="E303" s="14" t="s">
        <v>288</v>
      </c>
      <c r="F303" s="8" t="s">
        <v>572</v>
      </c>
      <c r="G303" s="8" t="s">
        <v>587</v>
      </c>
      <c r="H303" s="11" t="s">
        <v>259</v>
      </c>
      <c r="I303" s="11" t="s">
        <v>260</v>
      </c>
      <c r="J303" s="8" t="s">
        <v>588</v>
      </c>
      <c r="K303" s="12" t="s">
        <v>29</v>
      </c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8" t="s">
        <v>33</v>
      </c>
      <c r="B304" s="8" t="s">
        <v>67</v>
      </c>
      <c r="C304" s="8" t="s">
        <v>270</v>
      </c>
      <c r="D304" s="8" t="s">
        <v>551</v>
      </c>
      <c r="E304" s="14" t="s">
        <v>594</v>
      </c>
      <c r="F304" s="8" t="s">
        <v>553</v>
      </c>
      <c r="G304" s="8" t="s">
        <v>595</v>
      </c>
      <c r="H304" s="11" t="s">
        <v>259</v>
      </c>
      <c r="I304" s="11" t="s">
        <v>260</v>
      </c>
      <c r="J304" s="8" t="s">
        <v>588</v>
      </c>
      <c r="K304" s="12" t="s">
        <v>29</v>
      </c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8" t="s">
        <v>33</v>
      </c>
      <c r="B305" s="8" t="s">
        <v>228</v>
      </c>
      <c r="C305" s="8" t="s">
        <v>473</v>
      </c>
      <c r="D305" s="8" t="s">
        <v>596</v>
      </c>
      <c r="E305" s="14" t="s">
        <v>597</v>
      </c>
      <c r="F305" s="8" t="s">
        <v>558</v>
      </c>
      <c r="G305" s="8" t="s">
        <v>595</v>
      </c>
      <c r="H305" s="11" t="s">
        <v>259</v>
      </c>
      <c r="I305" s="11" t="s">
        <v>260</v>
      </c>
      <c r="J305" s="8" t="s">
        <v>588</v>
      </c>
      <c r="K305" s="12" t="s">
        <v>29</v>
      </c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8" t="s">
        <v>33</v>
      </c>
      <c r="B306" s="8" t="s">
        <v>98</v>
      </c>
      <c r="C306" s="8" t="s">
        <v>99</v>
      </c>
      <c r="D306" s="8" t="s">
        <v>598</v>
      </c>
      <c r="E306" s="14" t="s">
        <v>599</v>
      </c>
      <c r="F306" s="8" t="s">
        <v>543</v>
      </c>
      <c r="G306" s="8" t="s">
        <v>595</v>
      </c>
      <c r="H306" s="11" t="s">
        <v>259</v>
      </c>
      <c r="I306" s="11" t="s">
        <v>260</v>
      </c>
      <c r="J306" s="8" t="s">
        <v>588</v>
      </c>
      <c r="K306" s="12" t="s">
        <v>29</v>
      </c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8" t="s">
        <v>33</v>
      </c>
      <c r="B307" s="8" t="s">
        <v>34</v>
      </c>
      <c r="C307" s="8" t="s">
        <v>153</v>
      </c>
      <c r="D307" s="8" t="s">
        <v>154</v>
      </c>
      <c r="E307" s="14" t="s">
        <v>600</v>
      </c>
      <c r="F307" s="8" t="s">
        <v>267</v>
      </c>
      <c r="G307" s="8" t="s">
        <v>595</v>
      </c>
      <c r="H307" s="11" t="s">
        <v>259</v>
      </c>
      <c r="I307" s="11" t="s">
        <v>260</v>
      </c>
      <c r="J307" s="8" t="s">
        <v>588</v>
      </c>
      <c r="K307" s="12" t="s">
        <v>29</v>
      </c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8" t="s">
        <v>33</v>
      </c>
      <c r="B308" s="8" t="s">
        <v>253</v>
      </c>
      <c r="C308" s="8" t="s">
        <v>254</v>
      </c>
      <c r="D308" s="8" t="s">
        <v>255</v>
      </c>
      <c r="E308" s="9" t="s">
        <v>564</v>
      </c>
      <c r="F308" s="8" t="s">
        <v>571</v>
      </c>
      <c r="G308" s="8" t="s">
        <v>595</v>
      </c>
      <c r="H308" s="11" t="s">
        <v>259</v>
      </c>
      <c r="I308" s="11" t="s">
        <v>260</v>
      </c>
      <c r="J308" s="8" t="s">
        <v>588</v>
      </c>
      <c r="K308" s="12" t="s">
        <v>29</v>
      </c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8" t="s">
        <v>33</v>
      </c>
      <c r="B309" s="8" t="s">
        <v>286</v>
      </c>
      <c r="C309" s="8" t="s">
        <v>288</v>
      </c>
      <c r="D309" s="8" t="s">
        <v>288</v>
      </c>
      <c r="E309" s="14" t="s">
        <v>288</v>
      </c>
      <c r="F309" s="8" t="s">
        <v>572</v>
      </c>
      <c r="G309" s="8" t="s">
        <v>595</v>
      </c>
      <c r="H309" s="11" t="s">
        <v>259</v>
      </c>
      <c r="I309" s="11" t="s">
        <v>260</v>
      </c>
      <c r="J309" s="8" t="s">
        <v>588</v>
      </c>
      <c r="K309" s="12" t="s">
        <v>29</v>
      </c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8" t="s">
        <v>33</v>
      </c>
      <c r="B310" s="8" t="s">
        <v>167</v>
      </c>
      <c r="C310" s="8" t="s">
        <v>296</v>
      </c>
      <c r="D310" s="8" t="s">
        <v>297</v>
      </c>
      <c r="E310" s="9"/>
      <c r="F310" s="8" t="s">
        <v>585</v>
      </c>
      <c r="G310" s="8" t="s">
        <v>595</v>
      </c>
      <c r="H310" s="12" t="s">
        <v>259</v>
      </c>
      <c r="I310" s="11" t="s">
        <v>260</v>
      </c>
      <c r="J310" s="8" t="s">
        <v>588</v>
      </c>
      <c r="K310" s="12" t="s">
        <v>29</v>
      </c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8" t="s">
        <v>33</v>
      </c>
      <c r="B311" s="8" t="s">
        <v>132</v>
      </c>
      <c r="C311" s="8" t="s">
        <v>296</v>
      </c>
      <c r="D311" s="8" t="s">
        <v>323</v>
      </c>
      <c r="E311" s="9"/>
      <c r="F311" s="8" t="s">
        <v>304</v>
      </c>
      <c r="G311" s="8" t="s">
        <v>595</v>
      </c>
      <c r="H311" s="12" t="s">
        <v>259</v>
      </c>
      <c r="I311" s="11" t="s">
        <v>260</v>
      </c>
      <c r="J311" s="8" t="s">
        <v>588</v>
      </c>
      <c r="K311" s="12" t="s">
        <v>29</v>
      </c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8" t="s">
        <v>33</v>
      </c>
      <c r="B312" s="8" t="s">
        <v>67</v>
      </c>
      <c r="C312" s="8" t="s">
        <v>270</v>
      </c>
      <c r="D312" s="8" t="s">
        <v>551</v>
      </c>
      <c r="E312" s="14" t="s">
        <v>601</v>
      </c>
      <c r="F312" s="8" t="s">
        <v>553</v>
      </c>
      <c r="G312" s="8" t="s">
        <v>602</v>
      </c>
      <c r="H312" s="11" t="s">
        <v>259</v>
      </c>
      <c r="I312" s="11" t="s">
        <v>260</v>
      </c>
      <c r="J312" s="8" t="s">
        <v>588</v>
      </c>
      <c r="K312" s="12" t="s">
        <v>29</v>
      </c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8" t="s">
        <v>33</v>
      </c>
      <c r="B313" s="8" t="s">
        <v>228</v>
      </c>
      <c r="C313" s="8" t="s">
        <v>473</v>
      </c>
      <c r="D313" s="8" t="s">
        <v>603</v>
      </c>
      <c r="E313" s="14" t="s">
        <v>604</v>
      </c>
      <c r="F313" s="8" t="s">
        <v>558</v>
      </c>
      <c r="G313" s="8" t="s">
        <v>602</v>
      </c>
      <c r="H313" s="11" t="s">
        <v>259</v>
      </c>
      <c r="I313" s="11" t="s">
        <v>260</v>
      </c>
      <c r="J313" s="8" t="s">
        <v>588</v>
      </c>
      <c r="K313" s="12" t="s">
        <v>29</v>
      </c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8" t="s">
        <v>33</v>
      </c>
      <c r="B314" s="8" t="s">
        <v>98</v>
      </c>
      <c r="C314" s="8" t="s">
        <v>99</v>
      </c>
      <c r="D314" s="8" t="s">
        <v>100</v>
      </c>
      <c r="E314" s="14" t="s">
        <v>605</v>
      </c>
      <c r="F314" s="8" t="s">
        <v>543</v>
      </c>
      <c r="G314" s="8" t="s">
        <v>602</v>
      </c>
      <c r="H314" s="11" t="s">
        <v>259</v>
      </c>
      <c r="I314" s="11" t="s">
        <v>260</v>
      </c>
      <c r="J314" s="8" t="s">
        <v>588</v>
      </c>
      <c r="K314" s="12" t="s">
        <v>29</v>
      </c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8" t="s">
        <v>33</v>
      </c>
      <c r="B315" s="8" t="s">
        <v>34</v>
      </c>
      <c r="C315" s="8" t="s">
        <v>153</v>
      </c>
      <c r="D315" s="8" t="s">
        <v>154</v>
      </c>
      <c r="E315" s="14" t="s">
        <v>606</v>
      </c>
      <c r="F315" s="8" t="s">
        <v>267</v>
      </c>
      <c r="G315" s="8" t="s">
        <v>602</v>
      </c>
      <c r="H315" s="11" t="s">
        <v>259</v>
      </c>
      <c r="I315" s="11" t="s">
        <v>260</v>
      </c>
      <c r="J315" s="8" t="s">
        <v>588</v>
      </c>
      <c r="K315" s="12" t="s">
        <v>29</v>
      </c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8" t="s">
        <v>33</v>
      </c>
      <c r="B316" s="8" t="s">
        <v>253</v>
      </c>
      <c r="C316" s="8" t="s">
        <v>254</v>
      </c>
      <c r="D316" s="8" t="s">
        <v>255</v>
      </c>
      <c r="E316" s="14" t="s">
        <v>564</v>
      </c>
      <c r="F316" s="8" t="s">
        <v>571</v>
      </c>
      <c r="G316" s="8" t="s">
        <v>602</v>
      </c>
      <c r="H316" s="11" t="s">
        <v>259</v>
      </c>
      <c r="I316" s="11" t="s">
        <v>260</v>
      </c>
      <c r="J316" s="8" t="s">
        <v>588</v>
      </c>
      <c r="K316" s="12" t="s">
        <v>29</v>
      </c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8" t="s">
        <v>33</v>
      </c>
      <c r="B317" s="8" t="s">
        <v>286</v>
      </c>
      <c r="C317" s="8" t="s">
        <v>288</v>
      </c>
      <c r="D317" s="8" t="s">
        <v>288</v>
      </c>
      <c r="E317" s="14" t="s">
        <v>288</v>
      </c>
      <c r="F317" s="8" t="s">
        <v>572</v>
      </c>
      <c r="G317" s="8" t="s">
        <v>602</v>
      </c>
      <c r="H317" s="11" t="s">
        <v>259</v>
      </c>
      <c r="I317" s="11" t="s">
        <v>260</v>
      </c>
      <c r="J317" s="8" t="s">
        <v>588</v>
      </c>
      <c r="K317" s="12" t="s">
        <v>29</v>
      </c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8" t="s">
        <v>33</v>
      </c>
      <c r="B318" s="8" t="s">
        <v>167</v>
      </c>
      <c r="C318" s="8" t="s">
        <v>296</v>
      </c>
      <c r="D318" s="8" t="s">
        <v>297</v>
      </c>
      <c r="E318" s="9" t="s">
        <v>607</v>
      </c>
      <c r="F318" s="8" t="s">
        <v>585</v>
      </c>
      <c r="G318" s="8" t="s">
        <v>602</v>
      </c>
      <c r="H318" s="12" t="s">
        <v>259</v>
      </c>
      <c r="I318" s="11" t="s">
        <v>260</v>
      </c>
      <c r="J318" s="8" t="s">
        <v>588</v>
      </c>
      <c r="K318" s="12" t="s">
        <v>29</v>
      </c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8" t="s">
        <v>33</v>
      </c>
      <c r="B319" s="8" t="s">
        <v>132</v>
      </c>
      <c r="C319" s="8" t="s">
        <v>296</v>
      </c>
      <c r="D319" s="8" t="s">
        <v>323</v>
      </c>
      <c r="E319" s="9" t="s">
        <v>608</v>
      </c>
      <c r="F319" s="8" t="s">
        <v>304</v>
      </c>
      <c r="G319" s="8" t="s">
        <v>602</v>
      </c>
      <c r="H319" s="12" t="s">
        <v>259</v>
      </c>
      <c r="I319" s="11" t="s">
        <v>260</v>
      </c>
      <c r="J319" s="8" t="s">
        <v>588</v>
      </c>
      <c r="K319" s="12" t="s">
        <v>29</v>
      </c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8" t="s">
        <v>33</v>
      </c>
      <c r="B320" s="8" t="s">
        <v>67</v>
      </c>
      <c r="C320" s="8" t="s">
        <v>125</v>
      </c>
      <c r="D320" s="8" t="s">
        <v>609</v>
      </c>
      <c r="E320" s="14" t="s">
        <v>33</v>
      </c>
      <c r="F320" s="8" t="s">
        <v>610</v>
      </c>
      <c r="G320" s="8" t="s">
        <v>611</v>
      </c>
      <c r="H320" s="11" t="s">
        <v>259</v>
      </c>
      <c r="I320" s="11" t="s">
        <v>260</v>
      </c>
      <c r="J320" s="8" t="s">
        <v>588</v>
      </c>
      <c r="K320" s="12" t="s">
        <v>29</v>
      </c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8" t="s">
        <v>33</v>
      </c>
      <c r="B321" s="8" t="s">
        <v>132</v>
      </c>
      <c r="C321" s="8" t="s">
        <v>125</v>
      </c>
      <c r="D321" s="8" t="s">
        <v>612</v>
      </c>
      <c r="E321" s="14" t="s">
        <v>33</v>
      </c>
      <c r="F321" s="8" t="s">
        <v>613</v>
      </c>
      <c r="G321" s="8" t="s">
        <v>611</v>
      </c>
      <c r="H321" s="11" t="s">
        <v>259</v>
      </c>
      <c r="I321" s="11" t="s">
        <v>260</v>
      </c>
      <c r="J321" s="8" t="s">
        <v>588</v>
      </c>
      <c r="K321" s="12" t="s">
        <v>29</v>
      </c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8" t="s">
        <v>33</v>
      </c>
      <c r="B322" s="8" t="s">
        <v>34</v>
      </c>
      <c r="C322" s="8" t="s">
        <v>288</v>
      </c>
      <c r="D322" s="8" t="s">
        <v>288</v>
      </c>
      <c r="E322" s="14" t="s">
        <v>288</v>
      </c>
      <c r="F322" s="8" t="s">
        <v>267</v>
      </c>
      <c r="G322" s="8" t="s">
        <v>611</v>
      </c>
      <c r="H322" s="11" t="s">
        <v>259</v>
      </c>
      <c r="I322" s="11" t="s">
        <v>260</v>
      </c>
      <c r="J322" s="8" t="s">
        <v>588</v>
      </c>
      <c r="K322" s="12" t="s">
        <v>29</v>
      </c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8" t="s">
        <v>33</v>
      </c>
      <c r="B323" s="8" t="s">
        <v>253</v>
      </c>
      <c r="C323" s="8" t="s">
        <v>254</v>
      </c>
      <c r="D323" s="8" t="s">
        <v>255</v>
      </c>
      <c r="E323" s="14" t="s">
        <v>614</v>
      </c>
      <c r="F323" s="8" t="s">
        <v>571</v>
      </c>
      <c r="G323" s="8" t="s">
        <v>611</v>
      </c>
      <c r="H323" s="11" t="s">
        <v>259</v>
      </c>
      <c r="I323" s="11" t="s">
        <v>260</v>
      </c>
      <c r="J323" s="8" t="s">
        <v>588</v>
      </c>
      <c r="K323" s="12" t="s">
        <v>29</v>
      </c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8" t="s">
        <v>33</v>
      </c>
      <c r="B324" s="8" t="s">
        <v>74</v>
      </c>
      <c r="C324" s="8" t="s">
        <v>615</v>
      </c>
      <c r="D324" s="8" t="s">
        <v>288</v>
      </c>
      <c r="E324" s="8" t="s">
        <v>288</v>
      </c>
      <c r="F324" s="8" t="s">
        <v>616</v>
      </c>
      <c r="G324" s="8" t="s">
        <v>611</v>
      </c>
      <c r="H324" s="11" t="s">
        <v>259</v>
      </c>
      <c r="I324" s="11" t="s">
        <v>260</v>
      </c>
      <c r="J324" s="8" t="s">
        <v>588</v>
      </c>
      <c r="K324" s="12" t="s">
        <v>29</v>
      </c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8" t="s">
        <v>33</v>
      </c>
      <c r="B325" s="8" t="s">
        <v>286</v>
      </c>
      <c r="C325" s="8" t="s">
        <v>288</v>
      </c>
      <c r="D325" s="8" t="s">
        <v>288</v>
      </c>
      <c r="E325" s="8" t="s">
        <v>288</v>
      </c>
      <c r="F325" s="8" t="s">
        <v>572</v>
      </c>
      <c r="G325" s="8" t="s">
        <v>611</v>
      </c>
      <c r="H325" s="11" t="s">
        <v>259</v>
      </c>
      <c r="I325" s="11" t="s">
        <v>260</v>
      </c>
      <c r="J325" s="8" t="s">
        <v>588</v>
      </c>
      <c r="K325" s="12" t="s">
        <v>29</v>
      </c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8" t="s">
        <v>33</v>
      </c>
      <c r="B326" s="8" t="s">
        <v>167</v>
      </c>
      <c r="C326" s="8" t="s">
        <v>296</v>
      </c>
      <c r="D326" s="8" t="s">
        <v>297</v>
      </c>
      <c r="E326" s="9" t="s">
        <v>617</v>
      </c>
      <c r="F326" s="8" t="s">
        <v>585</v>
      </c>
      <c r="G326" s="8" t="s">
        <v>611</v>
      </c>
      <c r="H326" s="12" t="s">
        <v>259</v>
      </c>
      <c r="I326" s="11" t="s">
        <v>260</v>
      </c>
      <c r="J326" s="8" t="s">
        <v>588</v>
      </c>
      <c r="K326" s="12" t="s">
        <v>29</v>
      </c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8" t="s">
        <v>33</v>
      </c>
      <c r="B327" s="8" t="s">
        <v>132</v>
      </c>
      <c r="C327" s="8" t="s">
        <v>296</v>
      </c>
      <c r="D327" s="8" t="s">
        <v>323</v>
      </c>
      <c r="E327" s="9"/>
      <c r="F327" s="8" t="s">
        <v>304</v>
      </c>
      <c r="G327" s="8" t="s">
        <v>611</v>
      </c>
      <c r="H327" s="12" t="s">
        <v>259</v>
      </c>
      <c r="I327" s="11" t="s">
        <v>260</v>
      </c>
      <c r="J327" s="8" t="s">
        <v>588</v>
      </c>
      <c r="K327" s="12" t="s">
        <v>29</v>
      </c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8" t="s">
        <v>33</v>
      </c>
      <c r="B328" s="8" t="s">
        <v>618</v>
      </c>
      <c r="C328" s="8" t="s">
        <v>619</v>
      </c>
      <c r="D328" s="8" t="s">
        <v>620</v>
      </c>
      <c r="E328" s="14" t="s">
        <v>33</v>
      </c>
      <c r="F328" s="8" t="s">
        <v>621</v>
      </c>
      <c r="G328" s="8" t="s">
        <v>264</v>
      </c>
      <c r="H328" s="11" t="s">
        <v>259</v>
      </c>
      <c r="I328" s="11" t="s">
        <v>260</v>
      </c>
      <c r="J328" s="8" t="s">
        <v>588</v>
      </c>
      <c r="K328" s="12" t="s">
        <v>29</v>
      </c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8" t="s">
        <v>622</v>
      </c>
      <c r="B329" s="8" t="s">
        <v>67</v>
      </c>
      <c r="C329" s="8" t="s">
        <v>270</v>
      </c>
      <c r="D329" s="8" t="s">
        <v>308</v>
      </c>
      <c r="E329" s="9" t="s">
        <v>623</v>
      </c>
      <c r="F329" s="8" t="s">
        <v>398</v>
      </c>
      <c r="G329" s="8" t="s">
        <v>264</v>
      </c>
      <c r="H329" s="11" t="s">
        <v>259</v>
      </c>
      <c r="I329" s="11" t="s">
        <v>260</v>
      </c>
      <c r="J329" s="11" t="s">
        <v>261</v>
      </c>
      <c r="K329" s="8" t="s">
        <v>29</v>
      </c>
      <c r="L329" s="10"/>
      <c r="M329" s="10"/>
      <c r="N329" s="10"/>
      <c r="O329" s="10"/>
      <c r="P329" s="11" t="s">
        <v>265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8" t="s">
        <v>624</v>
      </c>
      <c r="B330" s="8" t="s">
        <v>132</v>
      </c>
      <c r="C330" s="8" t="s">
        <v>270</v>
      </c>
      <c r="D330" s="8" t="s">
        <v>332</v>
      </c>
      <c r="E330" s="9" t="s">
        <v>625</v>
      </c>
      <c r="F330" s="8" t="s">
        <v>134</v>
      </c>
      <c r="G330" s="8" t="s">
        <v>264</v>
      </c>
      <c r="H330" s="11" t="s">
        <v>259</v>
      </c>
      <c r="I330" s="11" t="s">
        <v>260</v>
      </c>
      <c r="J330" s="11" t="s">
        <v>261</v>
      </c>
      <c r="K330" s="8" t="s">
        <v>29</v>
      </c>
      <c r="L330" s="10"/>
      <c r="M330" s="10"/>
      <c r="N330" s="10"/>
      <c r="O330" s="10"/>
      <c r="P330" s="11" t="s">
        <v>265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8" t="s">
        <v>626</v>
      </c>
      <c r="B331" s="8" t="s">
        <v>34</v>
      </c>
      <c r="C331" s="8" t="s">
        <v>627</v>
      </c>
      <c r="D331" s="8" t="s">
        <v>154</v>
      </c>
      <c r="E331" s="9" t="s">
        <v>628</v>
      </c>
      <c r="F331" s="8" t="s">
        <v>267</v>
      </c>
      <c r="G331" s="8" t="s">
        <v>629</v>
      </c>
      <c r="H331" s="11" t="s">
        <v>259</v>
      </c>
      <c r="I331" s="11" t="s">
        <v>260</v>
      </c>
      <c r="J331" s="11" t="s">
        <v>261</v>
      </c>
      <c r="K331" s="8" t="s">
        <v>29</v>
      </c>
      <c r="L331" s="10"/>
      <c r="M331" s="10"/>
      <c r="N331" s="10"/>
      <c r="O331" s="10"/>
      <c r="P331" s="11" t="s">
        <v>630</v>
      </c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8" t="s">
        <v>631</v>
      </c>
      <c r="B332" s="8" t="s">
        <v>253</v>
      </c>
      <c r="C332" s="8" t="s">
        <v>254</v>
      </c>
      <c r="D332" s="8" t="s">
        <v>255</v>
      </c>
      <c r="E332" s="9" t="s">
        <v>632</v>
      </c>
      <c r="F332" s="8" t="s">
        <v>281</v>
      </c>
      <c r="G332" s="8" t="s">
        <v>629</v>
      </c>
      <c r="H332" s="11" t="s">
        <v>259</v>
      </c>
      <c r="I332" s="11" t="s">
        <v>260</v>
      </c>
      <c r="J332" s="11" t="s">
        <v>261</v>
      </c>
      <c r="K332" s="8" t="s">
        <v>29</v>
      </c>
      <c r="L332" s="10"/>
      <c r="M332" s="10"/>
      <c r="N332" s="10"/>
      <c r="O332" s="10"/>
      <c r="P332" s="11" t="s">
        <v>630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8" t="s">
        <v>33</v>
      </c>
      <c r="B333" s="8" t="s">
        <v>67</v>
      </c>
      <c r="C333" s="8" t="s">
        <v>270</v>
      </c>
      <c r="D333" s="8" t="s">
        <v>358</v>
      </c>
      <c r="E333" s="9" t="s">
        <v>633</v>
      </c>
      <c r="F333" s="8" t="s">
        <v>398</v>
      </c>
      <c r="G333" s="8" t="s">
        <v>634</v>
      </c>
      <c r="H333" s="11" t="s">
        <v>259</v>
      </c>
      <c r="I333" s="11" t="s">
        <v>27</v>
      </c>
      <c r="J333" s="11" t="s">
        <v>635</v>
      </c>
      <c r="K333" s="8" t="s">
        <v>29</v>
      </c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8" t="s">
        <v>636</v>
      </c>
      <c r="B334" s="8" t="s">
        <v>132</v>
      </c>
      <c r="C334" s="8" t="s">
        <v>270</v>
      </c>
      <c r="D334" s="8" t="s">
        <v>332</v>
      </c>
      <c r="E334" s="9" t="s">
        <v>637</v>
      </c>
      <c r="F334" s="8" t="s">
        <v>134</v>
      </c>
      <c r="G334" s="8" t="s">
        <v>634</v>
      </c>
      <c r="H334" s="11" t="s">
        <v>259</v>
      </c>
      <c r="I334" s="11" t="s">
        <v>27</v>
      </c>
      <c r="J334" s="11" t="s">
        <v>635</v>
      </c>
      <c r="K334" s="8" t="s">
        <v>29</v>
      </c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B335" s="8" t="s">
        <v>34</v>
      </c>
      <c r="C335" s="8" t="s">
        <v>627</v>
      </c>
      <c r="D335" s="8" t="s">
        <v>154</v>
      </c>
      <c r="E335" s="9" t="s">
        <v>638</v>
      </c>
      <c r="F335" s="8" t="s">
        <v>267</v>
      </c>
      <c r="G335" s="8" t="s">
        <v>634</v>
      </c>
      <c r="H335" s="11" t="s">
        <v>259</v>
      </c>
      <c r="I335" s="11" t="s">
        <v>27</v>
      </c>
      <c r="J335" s="11" t="s">
        <v>635</v>
      </c>
      <c r="K335" s="8" t="s">
        <v>29</v>
      </c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8" t="s">
        <v>639</v>
      </c>
      <c r="B336" s="8" t="s">
        <v>253</v>
      </c>
      <c r="C336" s="8" t="s">
        <v>254</v>
      </c>
      <c r="D336" s="8" t="s">
        <v>255</v>
      </c>
      <c r="E336" s="9" t="s">
        <v>640</v>
      </c>
      <c r="F336" s="8" t="s">
        <v>281</v>
      </c>
      <c r="G336" s="8" t="s">
        <v>634</v>
      </c>
      <c r="H336" s="11" t="s">
        <v>259</v>
      </c>
      <c r="I336" s="11" t="s">
        <v>27</v>
      </c>
      <c r="J336" s="11" t="s">
        <v>635</v>
      </c>
      <c r="K336" s="8" t="s">
        <v>29</v>
      </c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8" t="s">
        <v>33</v>
      </c>
      <c r="B337" s="8" t="s">
        <v>67</v>
      </c>
      <c r="C337" s="8" t="s">
        <v>270</v>
      </c>
      <c r="D337" s="8" t="s">
        <v>358</v>
      </c>
      <c r="E337" s="9" t="s">
        <v>552</v>
      </c>
      <c r="F337" s="8" t="s">
        <v>398</v>
      </c>
      <c r="G337" s="8" t="s">
        <v>641</v>
      </c>
      <c r="H337" s="11" t="s">
        <v>259</v>
      </c>
      <c r="I337" s="11" t="s">
        <v>27</v>
      </c>
      <c r="J337" s="11" t="s">
        <v>635</v>
      </c>
      <c r="K337" s="8" t="s">
        <v>29</v>
      </c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8" t="s">
        <v>33</v>
      </c>
      <c r="B338" s="8" t="s">
        <v>132</v>
      </c>
      <c r="C338" s="8" t="s">
        <v>473</v>
      </c>
      <c r="D338" s="8" t="s">
        <v>332</v>
      </c>
      <c r="E338" s="9" t="s">
        <v>642</v>
      </c>
      <c r="F338" s="8" t="s">
        <v>134</v>
      </c>
      <c r="G338" s="8" t="s">
        <v>641</v>
      </c>
      <c r="H338" s="11" t="s">
        <v>259</v>
      </c>
      <c r="I338" s="11" t="s">
        <v>27</v>
      </c>
      <c r="J338" s="11" t="s">
        <v>635</v>
      </c>
      <c r="K338" s="8" t="s">
        <v>29</v>
      </c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8" t="s">
        <v>33</v>
      </c>
      <c r="B339" s="8" t="s">
        <v>34</v>
      </c>
      <c r="C339" s="8" t="s">
        <v>627</v>
      </c>
      <c r="D339" s="8" t="s">
        <v>154</v>
      </c>
      <c r="E339" s="9" t="s">
        <v>643</v>
      </c>
      <c r="F339" s="8" t="s">
        <v>267</v>
      </c>
      <c r="G339" s="8" t="s">
        <v>641</v>
      </c>
      <c r="H339" s="11" t="s">
        <v>259</v>
      </c>
      <c r="I339" s="11" t="s">
        <v>27</v>
      </c>
      <c r="J339" s="11" t="s">
        <v>635</v>
      </c>
      <c r="K339" s="8" t="s">
        <v>29</v>
      </c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8" t="s">
        <v>33</v>
      </c>
      <c r="B340" s="8" t="s">
        <v>253</v>
      </c>
      <c r="C340" s="8" t="s">
        <v>254</v>
      </c>
      <c r="D340" s="8" t="s">
        <v>255</v>
      </c>
      <c r="E340" s="9" t="s">
        <v>644</v>
      </c>
      <c r="F340" s="8" t="s">
        <v>281</v>
      </c>
      <c r="G340" s="8" t="s">
        <v>641</v>
      </c>
      <c r="H340" s="11" t="s">
        <v>259</v>
      </c>
      <c r="I340" s="11" t="s">
        <v>27</v>
      </c>
      <c r="J340" s="11" t="s">
        <v>635</v>
      </c>
      <c r="K340" s="8" t="s">
        <v>29</v>
      </c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8" t="s">
        <v>33</v>
      </c>
      <c r="B341" s="8" t="s">
        <v>67</v>
      </c>
      <c r="C341" s="8" t="s">
        <v>270</v>
      </c>
      <c r="D341" s="8" t="s">
        <v>308</v>
      </c>
      <c r="E341" s="9" t="s">
        <v>645</v>
      </c>
      <c r="F341" s="8" t="s">
        <v>398</v>
      </c>
      <c r="G341" s="8" t="s">
        <v>646</v>
      </c>
      <c r="H341" s="11" t="s">
        <v>259</v>
      </c>
      <c r="I341" s="11" t="s">
        <v>27</v>
      </c>
      <c r="J341" s="11" t="s">
        <v>635</v>
      </c>
      <c r="K341" s="8" t="s">
        <v>29</v>
      </c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8" t="s">
        <v>33</v>
      </c>
      <c r="B342" s="8" t="s">
        <v>132</v>
      </c>
      <c r="C342" s="8" t="s">
        <v>270</v>
      </c>
      <c r="D342" s="8" t="s">
        <v>332</v>
      </c>
      <c r="E342" s="9" t="s">
        <v>647</v>
      </c>
      <c r="F342" s="8" t="s">
        <v>134</v>
      </c>
      <c r="G342" s="8" t="s">
        <v>646</v>
      </c>
      <c r="H342" s="11" t="s">
        <v>259</v>
      </c>
      <c r="I342" s="11" t="s">
        <v>27</v>
      </c>
      <c r="J342" s="11" t="s">
        <v>635</v>
      </c>
      <c r="K342" s="8" t="s">
        <v>29</v>
      </c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8" t="s">
        <v>648</v>
      </c>
      <c r="B343" s="8" t="s">
        <v>34</v>
      </c>
      <c r="C343" s="8" t="s">
        <v>627</v>
      </c>
      <c r="D343" s="8" t="s">
        <v>154</v>
      </c>
      <c r="E343" s="9" t="s">
        <v>649</v>
      </c>
      <c r="F343" s="8" t="s">
        <v>267</v>
      </c>
      <c r="G343" s="8" t="s">
        <v>646</v>
      </c>
      <c r="H343" s="11" t="s">
        <v>259</v>
      </c>
      <c r="I343" s="11" t="s">
        <v>27</v>
      </c>
      <c r="J343" s="11" t="s">
        <v>635</v>
      </c>
      <c r="K343" s="8" t="s">
        <v>29</v>
      </c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8" t="s">
        <v>650</v>
      </c>
      <c r="B344" s="8" t="s">
        <v>253</v>
      </c>
      <c r="C344" s="8" t="s">
        <v>254</v>
      </c>
      <c r="D344" s="8" t="s">
        <v>255</v>
      </c>
      <c r="E344" s="9" t="s">
        <v>651</v>
      </c>
      <c r="F344" s="8" t="s">
        <v>281</v>
      </c>
      <c r="G344" s="8" t="s">
        <v>646</v>
      </c>
      <c r="H344" s="11" t="s">
        <v>259</v>
      </c>
      <c r="I344" s="11" t="s">
        <v>27</v>
      </c>
      <c r="J344" s="11" t="s">
        <v>635</v>
      </c>
      <c r="K344" s="8" t="s">
        <v>29</v>
      </c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8" t="s">
        <v>33</v>
      </c>
      <c r="B345" s="8" t="s">
        <v>67</v>
      </c>
      <c r="C345" s="8" t="s">
        <v>270</v>
      </c>
      <c r="D345" s="8" t="s">
        <v>308</v>
      </c>
      <c r="E345" s="9" t="s">
        <v>652</v>
      </c>
      <c r="F345" s="8" t="s">
        <v>398</v>
      </c>
      <c r="G345" s="8" t="s">
        <v>653</v>
      </c>
      <c r="H345" s="11" t="s">
        <v>259</v>
      </c>
      <c r="I345" s="11" t="s">
        <v>27</v>
      </c>
      <c r="J345" s="11" t="s">
        <v>635</v>
      </c>
      <c r="K345" s="8" t="s">
        <v>29</v>
      </c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8" t="s">
        <v>33</v>
      </c>
      <c r="B346" s="8" t="s">
        <v>132</v>
      </c>
      <c r="C346" s="8" t="s">
        <v>270</v>
      </c>
      <c r="D346" s="8" t="s">
        <v>332</v>
      </c>
      <c r="E346" s="9" t="s">
        <v>654</v>
      </c>
      <c r="F346" s="8" t="s">
        <v>134</v>
      </c>
      <c r="G346" s="8" t="s">
        <v>653</v>
      </c>
      <c r="H346" s="11" t="s">
        <v>259</v>
      </c>
      <c r="I346" s="11" t="s">
        <v>27</v>
      </c>
      <c r="J346" s="11" t="s">
        <v>635</v>
      </c>
      <c r="K346" s="8" t="s">
        <v>29</v>
      </c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8" t="s">
        <v>655</v>
      </c>
      <c r="B347" s="8" t="s">
        <v>34</v>
      </c>
      <c r="C347" s="8" t="s">
        <v>627</v>
      </c>
      <c r="D347" s="8" t="s">
        <v>154</v>
      </c>
      <c r="E347" s="9" t="s">
        <v>656</v>
      </c>
      <c r="F347" s="8" t="s">
        <v>267</v>
      </c>
      <c r="G347" s="8" t="s">
        <v>653</v>
      </c>
      <c r="H347" s="11" t="s">
        <v>259</v>
      </c>
      <c r="I347" s="11" t="s">
        <v>27</v>
      </c>
      <c r="J347" s="11" t="s">
        <v>635</v>
      </c>
      <c r="K347" s="8" t="s">
        <v>29</v>
      </c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8" t="s">
        <v>657</v>
      </c>
      <c r="B348" s="8" t="s">
        <v>253</v>
      </c>
      <c r="C348" s="8" t="s">
        <v>254</v>
      </c>
      <c r="D348" s="8" t="s">
        <v>255</v>
      </c>
      <c r="E348" s="9" t="s">
        <v>658</v>
      </c>
      <c r="F348" s="8" t="s">
        <v>281</v>
      </c>
      <c r="G348" s="8" t="s">
        <v>653</v>
      </c>
      <c r="H348" s="11" t="s">
        <v>259</v>
      </c>
      <c r="I348" s="11" t="s">
        <v>27</v>
      </c>
      <c r="J348" s="11" t="s">
        <v>635</v>
      </c>
      <c r="K348" s="8" t="s">
        <v>29</v>
      </c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8" t="s">
        <v>33</v>
      </c>
      <c r="B349" s="8" t="s">
        <v>167</v>
      </c>
      <c r="C349" s="8" t="s">
        <v>296</v>
      </c>
      <c r="D349" s="8" t="s">
        <v>297</v>
      </c>
      <c r="E349" s="9" t="s">
        <v>659</v>
      </c>
      <c r="F349" s="8" t="s">
        <v>585</v>
      </c>
      <c r="G349" s="8" t="s">
        <v>653</v>
      </c>
      <c r="H349" s="12" t="s">
        <v>259</v>
      </c>
      <c r="I349" s="11" t="s">
        <v>27</v>
      </c>
      <c r="J349" s="11" t="s">
        <v>635</v>
      </c>
      <c r="K349" s="8" t="s">
        <v>29</v>
      </c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8" t="s">
        <v>33</v>
      </c>
      <c r="B350" s="8" t="s">
        <v>132</v>
      </c>
      <c r="C350" s="8" t="s">
        <v>296</v>
      </c>
      <c r="D350" s="8" t="s">
        <v>323</v>
      </c>
      <c r="E350" s="9" t="s">
        <v>660</v>
      </c>
      <c r="F350" s="8" t="s">
        <v>304</v>
      </c>
      <c r="G350" s="8" t="s">
        <v>653</v>
      </c>
      <c r="H350" s="12" t="s">
        <v>259</v>
      </c>
      <c r="I350" s="11" t="s">
        <v>27</v>
      </c>
      <c r="J350" s="11" t="s">
        <v>635</v>
      </c>
      <c r="K350" s="8" t="s">
        <v>29</v>
      </c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>
      <c r="A351" s="8" t="s">
        <v>33</v>
      </c>
      <c r="B351" s="8" t="s">
        <v>290</v>
      </c>
      <c r="C351" s="8" t="s">
        <v>291</v>
      </c>
      <c r="D351" s="8" t="s">
        <v>292</v>
      </c>
      <c r="E351" s="9" t="s">
        <v>661</v>
      </c>
      <c r="F351" s="8" t="s">
        <v>293</v>
      </c>
      <c r="G351" s="8" t="s">
        <v>662</v>
      </c>
      <c r="H351" s="8" t="s">
        <v>259</v>
      </c>
      <c r="I351" s="8" t="s">
        <v>27</v>
      </c>
      <c r="J351" s="8" t="s">
        <v>635</v>
      </c>
      <c r="K351" s="8" t="s">
        <v>29</v>
      </c>
      <c r="L351" s="17"/>
      <c r="M351" s="17"/>
      <c r="N351" s="18"/>
      <c r="O351" s="19"/>
      <c r="P351" s="8"/>
      <c r="Q351" s="7"/>
      <c r="R351" s="7"/>
      <c r="S351" s="17"/>
      <c r="T351" s="10"/>
      <c r="U351" s="10"/>
      <c r="V351" s="10"/>
      <c r="W351" s="10"/>
      <c r="X351" s="10"/>
      <c r="Y351" s="10"/>
      <c r="Z351" s="10"/>
    </row>
    <row r="352" ht="13.5" customHeight="1">
      <c r="A352" s="8" t="s">
        <v>33</v>
      </c>
      <c r="B352" s="8" t="s">
        <v>79</v>
      </c>
      <c r="C352" s="8" t="s">
        <v>80</v>
      </c>
      <c r="D352" s="8" t="s">
        <v>109</v>
      </c>
      <c r="E352" s="9" t="s">
        <v>33</v>
      </c>
      <c r="F352" s="8" t="s">
        <v>83</v>
      </c>
      <c r="G352" s="8" t="s">
        <v>84</v>
      </c>
      <c r="H352" s="11" t="s">
        <v>259</v>
      </c>
      <c r="I352" s="11" t="s">
        <v>27</v>
      </c>
      <c r="J352" s="11" t="s">
        <v>28</v>
      </c>
      <c r="K352" s="8" t="s">
        <v>29</v>
      </c>
      <c r="L352" s="17"/>
      <c r="M352" s="17"/>
      <c r="N352" s="18"/>
      <c r="O352" s="19"/>
      <c r="P352" s="8"/>
      <c r="Q352" s="7"/>
      <c r="R352" s="7"/>
      <c r="S352" s="17"/>
      <c r="T352" s="10"/>
      <c r="U352" s="10"/>
      <c r="V352" s="10"/>
      <c r="W352" s="10"/>
      <c r="X352" s="10"/>
      <c r="Y352" s="10"/>
      <c r="Z352" s="10"/>
    </row>
    <row r="353" ht="13.5" customHeight="1">
      <c r="A353" s="8" t="s">
        <v>33</v>
      </c>
      <c r="B353" s="8" t="s">
        <v>79</v>
      </c>
      <c r="C353" s="8" t="s">
        <v>80</v>
      </c>
      <c r="D353" s="8" t="s">
        <v>109</v>
      </c>
      <c r="E353" s="9" t="s">
        <v>33</v>
      </c>
      <c r="F353" s="8" t="s">
        <v>83</v>
      </c>
      <c r="G353" s="8" t="s">
        <v>84</v>
      </c>
      <c r="H353" s="11" t="s">
        <v>259</v>
      </c>
      <c r="I353" s="11" t="s">
        <v>27</v>
      </c>
      <c r="J353" s="11" t="s">
        <v>28</v>
      </c>
      <c r="K353" s="8" t="s">
        <v>29</v>
      </c>
      <c r="L353" s="17"/>
      <c r="M353" s="17"/>
      <c r="N353" s="18"/>
      <c r="O353" s="19"/>
      <c r="P353" s="8"/>
      <c r="Q353" s="7"/>
      <c r="R353" s="7"/>
      <c r="S353" s="17"/>
      <c r="T353" s="10"/>
      <c r="U353" s="10"/>
      <c r="V353" s="10"/>
      <c r="W353" s="10"/>
      <c r="X353" s="10"/>
      <c r="Y353" s="10"/>
      <c r="Z353" s="10"/>
    </row>
    <row r="354" ht="13.5" customHeight="1">
      <c r="A354" s="8" t="s">
        <v>33</v>
      </c>
      <c r="B354" s="8" t="s">
        <v>79</v>
      </c>
      <c r="C354" s="8" t="s">
        <v>80</v>
      </c>
      <c r="D354" s="8" t="s">
        <v>109</v>
      </c>
      <c r="E354" s="9" t="s">
        <v>33</v>
      </c>
      <c r="F354" s="8" t="s">
        <v>663</v>
      </c>
      <c r="G354" s="8" t="s">
        <v>84</v>
      </c>
      <c r="H354" s="11" t="s">
        <v>259</v>
      </c>
      <c r="I354" s="11" t="s">
        <v>260</v>
      </c>
      <c r="J354" s="11" t="s">
        <v>490</v>
      </c>
      <c r="K354" s="8" t="s">
        <v>29</v>
      </c>
      <c r="L354" s="17"/>
      <c r="M354" s="17"/>
      <c r="N354" s="18"/>
      <c r="O354" s="19"/>
      <c r="P354" s="8"/>
      <c r="Q354" s="7"/>
      <c r="R354" s="7"/>
      <c r="S354" s="17"/>
      <c r="T354" s="10"/>
      <c r="U354" s="10"/>
      <c r="V354" s="10"/>
      <c r="W354" s="10"/>
      <c r="X354" s="10"/>
      <c r="Y354" s="10"/>
      <c r="Z354" s="10"/>
    </row>
    <row r="355" ht="13.5" customHeight="1">
      <c r="A355" s="8" t="s">
        <v>33</v>
      </c>
      <c r="B355" s="8" t="s">
        <v>79</v>
      </c>
      <c r="C355" s="8" t="s">
        <v>21</v>
      </c>
      <c r="D355" s="8" t="s">
        <v>664</v>
      </c>
      <c r="E355" s="9" t="s">
        <v>33</v>
      </c>
      <c r="F355" s="8" t="s">
        <v>665</v>
      </c>
      <c r="G355" s="8" t="s">
        <v>84</v>
      </c>
      <c r="H355" s="11" t="s">
        <v>666</v>
      </c>
      <c r="I355" s="11" t="s">
        <v>260</v>
      </c>
      <c r="J355" s="11" t="s">
        <v>667</v>
      </c>
      <c r="K355" s="8" t="s">
        <v>29</v>
      </c>
      <c r="L355" s="17"/>
      <c r="M355" s="17"/>
      <c r="N355" s="18"/>
      <c r="O355" s="19"/>
      <c r="P355" s="8"/>
      <c r="Q355" s="7"/>
      <c r="R355" s="7"/>
      <c r="S355" s="17"/>
      <c r="T355" s="10"/>
      <c r="U355" s="10"/>
      <c r="V355" s="10"/>
      <c r="W355" s="10"/>
      <c r="X355" s="10"/>
      <c r="Y355" s="10"/>
      <c r="Z355" s="10"/>
    </row>
    <row r="356" ht="13.5" customHeight="1">
      <c r="A356" s="8" t="s">
        <v>33</v>
      </c>
      <c r="B356" s="8" t="s">
        <v>79</v>
      </c>
      <c r="C356" s="8" t="s">
        <v>21</v>
      </c>
      <c r="D356" s="8" t="s">
        <v>668</v>
      </c>
      <c r="E356" s="9" t="s">
        <v>33</v>
      </c>
      <c r="F356" s="8" t="s">
        <v>669</v>
      </c>
      <c r="G356" s="8" t="s">
        <v>84</v>
      </c>
      <c r="H356" s="11" t="s">
        <v>670</v>
      </c>
      <c r="I356" s="11" t="s">
        <v>260</v>
      </c>
      <c r="J356" s="11" t="s">
        <v>667</v>
      </c>
      <c r="K356" s="8" t="s">
        <v>29</v>
      </c>
      <c r="L356" s="17"/>
      <c r="M356" s="17"/>
      <c r="N356" s="18"/>
      <c r="O356" s="19"/>
      <c r="P356" s="8"/>
      <c r="Q356" s="7"/>
      <c r="R356" s="7"/>
      <c r="S356" s="17"/>
      <c r="T356" s="10"/>
      <c r="U356" s="10"/>
      <c r="V356" s="10"/>
      <c r="W356" s="10"/>
      <c r="X356" s="10"/>
      <c r="Y356" s="10"/>
      <c r="Z356" s="10"/>
    </row>
    <row r="357" ht="13.5" customHeight="1">
      <c r="A357" s="13" t="s">
        <v>671</v>
      </c>
      <c r="B357" s="8" t="s">
        <v>67</v>
      </c>
      <c r="C357" s="8" t="s">
        <v>68</v>
      </c>
      <c r="D357" s="8" t="s">
        <v>672</v>
      </c>
      <c r="E357" s="9" t="s">
        <v>673</v>
      </c>
      <c r="F357" s="8" t="s">
        <v>674</v>
      </c>
      <c r="G357" s="8" t="s">
        <v>258</v>
      </c>
      <c r="H357" s="11" t="s">
        <v>259</v>
      </c>
      <c r="I357" s="11" t="s">
        <v>260</v>
      </c>
      <c r="J357" s="11" t="s">
        <v>261</v>
      </c>
      <c r="K357" s="8" t="s">
        <v>675</v>
      </c>
      <c r="L357" s="8" t="s">
        <v>676</v>
      </c>
      <c r="M357" s="20">
        <v>45310.0</v>
      </c>
      <c r="N357" s="21">
        <v>2965.5</v>
      </c>
      <c r="O357" s="22">
        <v>3200.0</v>
      </c>
      <c r="P357" s="8"/>
      <c r="Q357" s="7"/>
      <c r="R357" s="7"/>
      <c r="S357" s="17"/>
      <c r="T357" s="10"/>
      <c r="U357" s="10"/>
      <c r="V357" s="10"/>
      <c r="W357" s="10"/>
      <c r="X357" s="10"/>
      <c r="Y357" s="10"/>
      <c r="Z357" s="10"/>
    </row>
    <row r="358" ht="13.5" customHeight="1">
      <c r="A358" s="13" t="s">
        <v>677</v>
      </c>
      <c r="B358" s="8" t="s">
        <v>132</v>
      </c>
      <c r="C358" s="8" t="s">
        <v>68</v>
      </c>
      <c r="D358" s="8" t="s">
        <v>678</v>
      </c>
      <c r="E358" s="9" t="s">
        <v>679</v>
      </c>
      <c r="F358" s="8" t="s">
        <v>187</v>
      </c>
      <c r="G358" s="8" t="s">
        <v>258</v>
      </c>
      <c r="H358" s="11" t="s">
        <v>259</v>
      </c>
      <c r="I358" s="11" t="s">
        <v>260</v>
      </c>
      <c r="J358" s="11" t="s">
        <v>261</v>
      </c>
      <c r="K358" s="8" t="s">
        <v>675</v>
      </c>
      <c r="L358" s="8" t="s">
        <v>676</v>
      </c>
      <c r="M358" s="20">
        <v>45310.0</v>
      </c>
      <c r="N358" s="21">
        <v>250.0</v>
      </c>
      <c r="O358" s="22">
        <v>250.0</v>
      </c>
      <c r="P358" s="8"/>
      <c r="Q358" s="7"/>
      <c r="R358" s="7"/>
      <c r="S358" s="17"/>
      <c r="T358" s="10"/>
      <c r="U358" s="10"/>
      <c r="V358" s="10"/>
      <c r="W358" s="10"/>
      <c r="X358" s="10"/>
      <c r="Y358" s="10"/>
      <c r="Z358" s="10"/>
    </row>
    <row r="359" ht="13.5" customHeight="1">
      <c r="A359" s="13" t="s">
        <v>680</v>
      </c>
      <c r="B359" s="8" t="s">
        <v>67</v>
      </c>
      <c r="C359" s="8" t="s">
        <v>68</v>
      </c>
      <c r="D359" s="8" t="s">
        <v>672</v>
      </c>
      <c r="E359" s="9" t="s">
        <v>681</v>
      </c>
      <c r="F359" s="8" t="s">
        <v>682</v>
      </c>
      <c r="G359" s="8" t="s">
        <v>683</v>
      </c>
      <c r="H359" s="11" t="s">
        <v>670</v>
      </c>
      <c r="I359" s="11" t="s">
        <v>27</v>
      </c>
      <c r="J359" s="11" t="s">
        <v>684</v>
      </c>
      <c r="K359" s="8" t="s">
        <v>675</v>
      </c>
      <c r="L359" s="8" t="s">
        <v>676</v>
      </c>
      <c r="M359" s="20">
        <v>45310.0</v>
      </c>
      <c r="N359" s="21">
        <v>2965.5</v>
      </c>
      <c r="O359" s="22">
        <v>3200.0</v>
      </c>
      <c r="P359" s="8"/>
      <c r="Q359" s="7"/>
      <c r="R359" s="7"/>
      <c r="S359" s="17"/>
      <c r="T359" s="10"/>
      <c r="U359" s="10"/>
      <c r="V359" s="10"/>
      <c r="W359" s="10"/>
      <c r="X359" s="10"/>
      <c r="Y359" s="10"/>
      <c r="Z359" s="10"/>
    </row>
    <row r="360" ht="13.5" customHeight="1">
      <c r="A360" s="13" t="s">
        <v>685</v>
      </c>
      <c r="B360" s="8" t="s">
        <v>132</v>
      </c>
      <c r="C360" s="8" t="s">
        <v>68</v>
      </c>
      <c r="D360" s="8" t="s">
        <v>678</v>
      </c>
      <c r="E360" s="9" t="s">
        <v>686</v>
      </c>
      <c r="F360" s="8" t="s">
        <v>187</v>
      </c>
      <c r="G360" s="8" t="s">
        <v>683</v>
      </c>
      <c r="H360" s="11" t="s">
        <v>670</v>
      </c>
      <c r="I360" s="11" t="s">
        <v>27</v>
      </c>
      <c r="J360" s="11" t="s">
        <v>684</v>
      </c>
      <c r="K360" s="8" t="s">
        <v>675</v>
      </c>
      <c r="L360" s="8" t="s">
        <v>676</v>
      </c>
      <c r="M360" s="20">
        <v>45310.0</v>
      </c>
      <c r="N360" s="21">
        <v>250.0</v>
      </c>
      <c r="O360" s="22">
        <v>250.0</v>
      </c>
      <c r="P360" s="8"/>
      <c r="Q360" s="7"/>
      <c r="R360" s="7"/>
      <c r="S360" s="17"/>
      <c r="T360" s="10"/>
      <c r="U360" s="10"/>
      <c r="V360" s="10"/>
      <c r="W360" s="10"/>
      <c r="X360" s="10"/>
      <c r="Y360" s="10"/>
      <c r="Z360" s="10"/>
    </row>
    <row r="361" ht="13.5" customHeight="1">
      <c r="A361" s="13" t="s">
        <v>687</v>
      </c>
      <c r="B361" s="8" t="s">
        <v>67</v>
      </c>
      <c r="C361" s="8" t="s">
        <v>68</v>
      </c>
      <c r="D361" s="8" t="s">
        <v>672</v>
      </c>
      <c r="E361" s="9" t="s">
        <v>688</v>
      </c>
      <c r="F361" s="8" t="s">
        <v>689</v>
      </c>
      <c r="G361" s="8" t="s">
        <v>690</v>
      </c>
      <c r="H361" s="11" t="s">
        <v>670</v>
      </c>
      <c r="I361" s="11" t="s">
        <v>27</v>
      </c>
      <c r="J361" s="11" t="s">
        <v>691</v>
      </c>
      <c r="K361" s="8" t="s">
        <v>675</v>
      </c>
      <c r="L361" s="8" t="s">
        <v>676</v>
      </c>
      <c r="M361" s="20">
        <v>45310.0</v>
      </c>
      <c r="N361" s="21">
        <v>2965.5</v>
      </c>
      <c r="O361" s="22">
        <v>3360.0</v>
      </c>
      <c r="P361" s="8" t="s">
        <v>692</v>
      </c>
      <c r="Q361" s="7"/>
      <c r="R361" s="7"/>
      <c r="S361" s="17"/>
      <c r="T361" s="10"/>
      <c r="U361" s="10"/>
      <c r="V361" s="10"/>
      <c r="W361" s="10"/>
      <c r="X361" s="10"/>
      <c r="Y361" s="10"/>
      <c r="Z361" s="10"/>
    </row>
    <row r="362" ht="13.5" customHeight="1">
      <c r="A362" s="13" t="s">
        <v>693</v>
      </c>
      <c r="B362" s="8" t="s">
        <v>132</v>
      </c>
      <c r="C362" s="8" t="s">
        <v>68</v>
      </c>
      <c r="D362" s="8" t="s">
        <v>678</v>
      </c>
      <c r="E362" s="9" t="s">
        <v>694</v>
      </c>
      <c r="F362" s="8" t="s">
        <v>187</v>
      </c>
      <c r="G362" s="8" t="s">
        <v>690</v>
      </c>
      <c r="H362" s="11" t="s">
        <v>670</v>
      </c>
      <c r="I362" s="11" t="s">
        <v>27</v>
      </c>
      <c r="J362" s="11" t="s">
        <v>691</v>
      </c>
      <c r="K362" s="8" t="s">
        <v>675</v>
      </c>
      <c r="L362" s="8" t="s">
        <v>676</v>
      </c>
      <c r="M362" s="20">
        <v>45310.0</v>
      </c>
      <c r="N362" s="21">
        <v>250.0</v>
      </c>
      <c r="O362" s="22">
        <v>250.0</v>
      </c>
      <c r="P362" s="8"/>
      <c r="Q362" s="7"/>
      <c r="R362" s="7"/>
      <c r="S362" s="17"/>
      <c r="T362" s="10"/>
      <c r="U362" s="10"/>
      <c r="V362" s="10"/>
      <c r="W362" s="10"/>
      <c r="X362" s="10"/>
      <c r="Y362" s="10"/>
      <c r="Z362" s="10"/>
    </row>
    <row r="363" ht="13.5" customHeight="1">
      <c r="A363" s="13" t="s">
        <v>695</v>
      </c>
      <c r="B363" s="8" t="s">
        <v>67</v>
      </c>
      <c r="C363" s="8" t="s">
        <v>68</v>
      </c>
      <c r="D363" s="8" t="s">
        <v>672</v>
      </c>
      <c r="E363" s="9" t="s">
        <v>696</v>
      </c>
      <c r="F363" s="8" t="s">
        <v>682</v>
      </c>
      <c r="G363" s="8" t="s">
        <v>629</v>
      </c>
      <c r="H363" s="11" t="s">
        <v>259</v>
      </c>
      <c r="I363" s="11" t="s">
        <v>260</v>
      </c>
      <c r="J363" s="11" t="s">
        <v>261</v>
      </c>
      <c r="K363" s="8" t="s">
        <v>675</v>
      </c>
      <c r="L363" s="8" t="s">
        <v>676</v>
      </c>
      <c r="M363" s="20">
        <v>45310.0</v>
      </c>
      <c r="N363" s="21">
        <v>2965.5</v>
      </c>
      <c r="O363" s="22">
        <v>3200.0</v>
      </c>
      <c r="P363" s="11" t="s">
        <v>630</v>
      </c>
      <c r="Q363" s="7"/>
      <c r="R363" s="7"/>
      <c r="S363" s="17"/>
      <c r="T363" s="10"/>
      <c r="U363" s="10"/>
      <c r="V363" s="10"/>
      <c r="W363" s="10"/>
      <c r="X363" s="10"/>
      <c r="Y363" s="10"/>
      <c r="Z363" s="10"/>
    </row>
    <row r="364" ht="13.5" customHeight="1">
      <c r="A364" s="13" t="s">
        <v>697</v>
      </c>
      <c r="B364" s="8" t="s">
        <v>132</v>
      </c>
      <c r="C364" s="8" t="s">
        <v>68</v>
      </c>
      <c r="D364" s="8" t="s">
        <v>678</v>
      </c>
      <c r="E364" s="9" t="s">
        <v>698</v>
      </c>
      <c r="F364" s="8" t="s">
        <v>187</v>
      </c>
      <c r="G364" s="8" t="s">
        <v>629</v>
      </c>
      <c r="H364" s="11" t="s">
        <v>259</v>
      </c>
      <c r="I364" s="11" t="s">
        <v>260</v>
      </c>
      <c r="J364" s="11" t="s">
        <v>261</v>
      </c>
      <c r="K364" s="8" t="s">
        <v>675</v>
      </c>
      <c r="L364" s="8" t="s">
        <v>676</v>
      </c>
      <c r="M364" s="20">
        <v>45310.0</v>
      </c>
      <c r="N364" s="21">
        <v>250.0</v>
      </c>
      <c r="O364" s="22">
        <v>250.0</v>
      </c>
      <c r="P364" s="11" t="s">
        <v>630</v>
      </c>
      <c r="Q364" s="7"/>
      <c r="R364" s="7"/>
      <c r="S364" s="17"/>
      <c r="T364" s="10"/>
      <c r="U364" s="10"/>
      <c r="V364" s="10"/>
      <c r="W364" s="10"/>
      <c r="X364" s="10"/>
      <c r="Y364" s="10"/>
      <c r="Z364" s="10"/>
    </row>
    <row r="365" ht="13.5" customHeight="1">
      <c r="A365" s="13" t="s">
        <v>699</v>
      </c>
      <c r="B365" s="8" t="s">
        <v>67</v>
      </c>
      <c r="C365" s="8" t="s">
        <v>68</v>
      </c>
      <c r="D365" s="8" t="s">
        <v>672</v>
      </c>
      <c r="E365" s="9" t="s">
        <v>700</v>
      </c>
      <c r="F365" s="8" t="s">
        <v>682</v>
      </c>
      <c r="G365" s="8" t="s">
        <v>701</v>
      </c>
      <c r="H365" s="11" t="s">
        <v>666</v>
      </c>
      <c r="I365" s="11" t="s">
        <v>260</v>
      </c>
      <c r="J365" s="11" t="s">
        <v>702</v>
      </c>
      <c r="K365" s="8" t="s">
        <v>675</v>
      </c>
      <c r="L365" s="8" t="s">
        <v>676</v>
      </c>
      <c r="M365" s="20">
        <v>45310.0</v>
      </c>
      <c r="N365" s="21">
        <v>2965.5</v>
      </c>
      <c r="O365" s="22">
        <v>3200.0</v>
      </c>
      <c r="P365" s="8" t="s">
        <v>703</v>
      </c>
      <c r="Q365" s="7"/>
      <c r="R365" s="7"/>
      <c r="S365" s="17"/>
      <c r="T365" s="10"/>
      <c r="U365" s="10"/>
      <c r="V365" s="10"/>
      <c r="W365" s="10"/>
      <c r="X365" s="10"/>
      <c r="Y365" s="10"/>
      <c r="Z365" s="10"/>
    </row>
    <row r="366" ht="13.5" customHeight="1">
      <c r="A366" s="13" t="s">
        <v>704</v>
      </c>
      <c r="B366" s="8" t="s">
        <v>132</v>
      </c>
      <c r="C366" s="8" t="s">
        <v>68</v>
      </c>
      <c r="D366" s="8" t="s">
        <v>678</v>
      </c>
      <c r="E366" s="9" t="s">
        <v>705</v>
      </c>
      <c r="F366" s="8" t="s">
        <v>187</v>
      </c>
      <c r="G366" s="8" t="s">
        <v>701</v>
      </c>
      <c r="H366" s="11" t="s">
        <v>666</v>
      </c>
      <c r="I366" s="11" t="s">
        <v>260</v>
      </c>
      <c r="J366" s="11" t="s">
        <v>702</v>
      </c>
      <c r="K366" s="8" t="s">
        <v>675</v>
      </c>
      <c r="L366" s="8" t="s">
        <v>676</v>
      </c>
      <c r="M366" s="20">
        <v>45310.0</v>
      </c>
      <c r="N366" s="21">
        <v>250.0</v>
      </c>
      <c r="O366" s="22">
        <v>250.0</v>
      </c>
      <c r="P366" s="8" t="s">
        <v>703</v>
      </c>
      <c r="Q366" s="7"/>
      <c r="R366" s="7"/>
      <c r="S366" s="17"/>
      <c r="T366" s="10"/>
      <c r="U366" s="10"/>
      <c r="V366" s="10"/>
      <c r="W366" s="10"/>
      <c r="X366" s="10"/>
      <c r="Y366" s="10"/>
      <c r="Z366" s="10"/>
    </row>
    <row r="367" ht="13.5" customHeight="1">
      <c r="A367" s="13" t="s">
        <v>706</v>
      </c>
      <c r="B367" s="8" t="s">
        <v>67</v>
      </c>
      <c r="C367" s="8" t="s">
        <v>68</v>
      </c>
      <c r="D367" s="8" t="s">
        <v>672</v>
      </c>
      <c r="E367" s="9" t="s">
        <v>707</v>
      </c>
      <c r="F367" s="8" t="s">
        <v>674</v>
      </c>
      <c r="G367" s="8" t="s">
        <v>708</v>
      </c>
      <c r="H367" s="11" t="s">
        <v>259</v>
      </c>
      <c r="I367" s="11" t="s">
        <v>260</v>
      </c>
      <c r="J367" s="11" t="s">
        <v>261</v>
      </c>
      <c r="K367" s="8" t="s">
        <v>675</v>
      </c>
      <c r="L367" s="8" t="s">
        <v>676</v>
      </c>
      <c r="M367" s="20">
        <v>45310.0</v>
      </c>
      <c r="N367" s="21">
        <v>2965.5</v>
      </c>
      <c r="O367" s="22">
        <v>3200.0</v>
      </c>
      <c r="P367" s="8" t="s">
        <v>709</v>
      </c>
      <c r="Q367" s="7"/>
      <c r="R367" s="7"/>
      <c r="S367" s="17"/>
      <c r="T367" s="10"/>
      <c r="U367" s="10"/>
      <c r="V367" s="10"/>
      <c r="W367" s="10"/>
      <c r="X367" s="10"/>
      <c r="Y367" s="10"/>
      <c r="Z367" s="10"/>
    </row>
    <row r="368" ht="13.5" customHeight="1">
      <c r="A368" s="13" t="s">
        <v>710</v>
      </c>
      <c r="B368" s="8" t="s">
        <v>132</v>
      </c>
      <c r="C368" s="8" t="s">
        <v>68</v>
      </c>
      <c r="D368" s="8" t="s">
        <v>678</v>
      </c>
      <c r="E368" s="9" t="s">
        <v>711</v>
      </c>
      <c r="F368" s="8" t="s">
        <v>187</v>
      </c>
      <c r="G368" s="8" t="s">
        <v>708</v>
      </c>
      <c r="H368" s="11" t="s">
        <v>259</v>
      </c>
      <c r="I368" s="11" t="s">
        <v>260</v>
      </c>
      <c r="J368" s="11" t="s">
        <v>261</v>
      </c>
      <c r="K368" s="8" t="s">
        <v>675</v>
      </c>
      <c r="L368" s="8" t="s">
        <v>676</v>
      </c>
      <c r="M368" s="20">
        <v>45310.0</v>
      </c>
      <c r="N368" s="21">
        <v>250.0</v>
      </c>
      <c r="O368" s="22">
        <v>250.0</v>
      </c>
      <c r="P368" s="8" t="s">
        <v>709</v>
      </c>
      <c r="Q368" s="7"/>
      <c r="R368" s="7"/>
      <c r="S368" s="17"/>
      <c r="T368" s="10"/>
      <c r="U368" s="10"/>
      <c r="V368" s="10"/>
      <c r="W368" s="10"/>
      <c r="X368" s="10"/>
      <c r="Y368" s="10"/>
      <c r="Z368" s="10"/>
    </row>
    <row r="369" ht="13.5" customHeight="1">
      <c r="A369" s="13" t="s">
        <v>712</v>
      </c>
      <c r="B369" s="8" t="s">
        <v>196</v>
      </c>
      <c r="C369" s="8" t="s">
        <v>197</v>
      </c>
      <c r="D369" s="8" t="s">
        <v>198</v>
      </c>
      <c r="E369" s="9" t="s">
        <v>713</v>
      </c>
      <c r="F369" s="8" t="s">
        <v>714</v>
      </c>
      <c r="G369" s="8" t="s">
        <v>84</v>
      </c>
      <c r="H369" s="11" t="s">
        <v>259</v>
      </c>
      <c r="I369" s="11" t="s">
        <v>27</v>
      </c>
      <c r="J369" s="11" t="s">
        <v>28</v>
      </c>
      <c r="K369" s="8" t="s">
        <v>675</v>
      </c>
      <c r="L369" s="8" t="s">
        <v>676</v>
      </c>
      <c r="M369" s="20">
        <v>45310.0</v>
      </c>
      <c r="N369" s="21">
        <v>212.4</v>
      </c>
      <c r="O369" s="19"/>
      <c r="P369" s="8"/>
      <c r="Q369" s="7"/>
      <c r="R369" s="7"/>
      <c r="S369" s="17"/>
      <c r="T369" s="10"/>
      <c r="U369" s="10"/>
      <c r="V369" s="10"/>
      <c r="W369" s="10"/>
      <c r="X369" s="10"/>
      <c r="Y369" s="10"/>
      <c r="Z369" s="10"/>
    </row>
    <row r="370" ht="13.5" customHeight="1">
      <c r="A370" s="13" t="s">
        <v>715</v>
      </c>
      <c r="B370" s="8" t="s">
        <v>93</v>
      </c>
      <c r="C370" s="8" t="s">
        <v>86</v>
      </c>
      <c r="D370" s="8" t="s">
        <v>716</v>
      </c>
      <c r="E370" s="9" t="s">
        <v>717</v>
      </c>
      <c r="F370" s="8" t="s">
        <v>718</v>
      </c>
      <c r="G370" s="8" t="s">
        <v>84</v>
      </c>
      <c r="H370" s="11" t="s">
        <v>670</v>
      </c>
      <c r="I370" s="11" t="s">
        <v>260</v>
      </c>
      <c r="J370" s="11" t="s">
        <v>667</v>
      </c>
      <c r="K370" s="8" t="s">
        <v>675</v>
      </c>
      <c r="L370" s="8" t="s">
        <v>719</v>
      </c>
      <c r="M370" s="20">
        <v>45352.0</v>
      </c>
      <c r="N370" s="21">
        <v>410.87</v>
      </c>
      <c r="O370" s="19"/>
      <c r="P370" s="8"/>
      <c r="Q370" s="7"/>
      <c r="R370" s="7"/>
      <c r="S370" s="17"/>
      <c r="T370" s="10"/>
      <c r="U370" s="10"/>
      <c r="V370" s="10"/>
      <c r="W370" s="10"/>
      <c r="X370" s="10"/>
      <c r="Y370" s="10"/>
      <c r="Z370" s="10"/>
    </row>
    <row r="371" ht="13.5" customHeight="1">
      <c r="A371" s="13" t="s">
        <v>720</v>
      </c>
      <c r="B371" s="8" t="s">
        <v>721</v>
      </c>
      <c r="C371" s="8" t="s">
        <v>722</v>
      </c>
      <c r="D371" s="8" t="s">
        <v>723</v>
      </c>
      <c r="E371" s="9" t="s">
        <v>724</v>
      </c>
      <c r="F371" s="8" t="s">
        <v>725</v>
      </c>
      <c r="G371" s="8" t="s">
        <v>84</v>
      </c>
      <c r="H371" s="11" t="s">
        <v>670</v>
      </c>
      <c r="I371" s="11" t="s">
        <v>260</v>
      </c>
      <c r="J371" s="11" t="s">
        <v>667</v>
      </c>
      <c r="K371" s="8" t="s">
        <v>675</v>
      </c>
      <c r="L371" s="8" t="s">
        <v>719</v>
      </c>
      <c r="M371" s="20">
        <v>45352.0</v>
      </c>
      <c r="N371" s="21">
        <v>50.0</v>
      </c>
      <c r="O371" s="19"/>
      <c r="P371" s="8"/>
      <c r="Q371" s="7"/>
      <c r="R371" s="7"/>
      <c r="S371" s="17"/>
      <c r="T371" s="10"/>
      <c r="U371" s="10"/>
      <c r="V371" s="10"/>
      <c r="W371" s="10"/>
      <c r="X371" s="10"/>
      <c r="Y371" s="10"/>
      <c r="Z371" s="10"/>
    </row>
    <row r="372" ht="13.5" customHeight="1">
      <c r="A372" s="13" t="s">
        <v>726</v>
      </c>
      <c r="B372" s="8" t="s">
        <v>85</v>
      </c>
      <c r="C372" s="8" t="s">
        <v>86</v>
      </c>
      <c r="D372" s="8" t="s">
        <v>252</v>
      </c>
      <c r="E372" s="9" t="s">
        <v>727</v>
      </c>
      <c r="F372" s="8" t="s">
        <v>728</v>
      </c>
      <c r="G372" s="8" t="s">
        <v>84</v>
      </c>
      <c r="H372" s="11" t="s">
        <v>670</v>
      </c>
      <c r="I372" s="11" t="s">
        <v>260</v>
      </c>
      <c r="J372" s="11" t="s">
        <v>667</v>
      </c>
      <c r="K372" s="8" t="s">
        <v>675</v>
      </c>
      <c r="L372" s="8" t="s">
        <v>719</v>
      </c>
      <c r="M372" s="20">
        <v>45352.0</v>
      </c>
      <c r="N372" s="21">
        <v>410.2</v>
      </c>
      <c r="O372" s="19"/>
      <c r="P372" s="8"/>
      <c r="Q372" s="7"/>
      <c r="R372" s="7"/>
      <c r="S372" s="17"/>
      <c r="T372" s="10"/>
      <c r="U372" s="10"/>
      <c r="V372" s="10"/>
      <c r="W372" s="10"/>
      <c r="X372" s="10"/>
      <c r="Y372" s="10"/>
      <c r="Z372" s="10"/>
    </row>
    <row r="373" ht="13.5" customHeight="1">
      <c r="A373" s="13" t="s">
        <v>729</v>
      </c>
      <c r="B373" s="8" t="s">
        <v>85</v>
      </c>
      <c r="C373" s="8" t="s">
        <v>86</v>
      </c>
      <c r="D373" s="8" t="s">
        <v>252</v>
      </c>
      <c r="E373" s="9" t="s">
        <v>33</v>
      </c>
      <c r="F373" s="8" t="s">
        <v>728</v>
      </c>
      <c r="G373" s="8" t="s">
        <v>84</v>
      </c>
      <c r="H373" s="11" t="s">
        <v>670</v>
      </c>
      <c r="I373" s="11" t="s">
        <v>260</v>
      </c>
      <c r="J373" s="11" t="s">
        <v>667</v>
      </c>
      <c r="K373" s="8" t="s">
        <v>675</v>
      </c>
      <c r="L373" s="8" t="s">
        <v>719</v>
      </c>
      <c r="M373" s="20">
        <v>45352.0</v>
      </c>
      <c r="N373" s="21">
        <v>410.2</v>
      </c>
      <c r="O373" s="19"/>
      <c r="P373" s="8"/>
      <c r="Q373" s="7"/>
      <c r="R373" s="7"/>
      <c r="S373" s="17"/>
      <c r="T373" s="10"/>
      <c r="U373" s="10"/>
      <c r="V373" s="10"/>
      <c r="W373" s="10"/>
      <c r="X373" s="10"/>
      <c r="Y373" s="10"/>
      <c r="Z373" s="10"/>
    </row>
    <row r="374" ht="13.5" customHeight="1">
      <c r="A374" s="13" t="s">
        <v>730</v>
      </c>
      <c r="B374" s="8" t="s">
        <v>85</v>
      </c>
      <c r="C374" s="8" t="s">
        <v>86</v>
      </c>
      <c r="D374" s="8" t="s">
        <v>252</v>
      </c>
      <c r="E374" s="9" t="s">
        <v>33</v>
      </c>
      <c r="F374" s="8" t="s">
        <v>728</v>
      </c>
      <c r="G374" s="8" t="s">
        <v>84</v>
      </c>
      <c r="H374" s="11" t="s">
        <v>670</v>
      </c>
      <c r="I374" s="11" t="s">
        <v>260</v>
      </c>
      <c r="J374" s="11" t="s">
        <v>667</v>
      </c>
      <c r="K374" s="8" t="s">
        <v>675</v>
      </c>
      <c r="L374" s="8" t="s">
        <v>719</v>
      </c>
      <c r="M374" s="20">
        <v>45352.0</v>
      </c>
      <c r="N374" s="21">
        <v>410.2</v>
      </c>
      <c r="O374" s="19"/>
      <c r="P374" s="8"/>
      <c r="Q374" s="7"/>
      <c r="R374" s="7"/>
      <c r="S374" s="17"/>
      <c r="T374" s="10"/>
      <c r="U374" s="10"/>
      <c r="V374" s="10"/>
      <c r="W374" s="10"/>
      <c r="X374" s="10"/>
      <c r="Y374" s="10"/>
      <c r="Z374" s="10"/>
    </row>
    <row r="375" ht="13.5" customHeight="1">
      <c r="A375" s="13" t="s">
        <v>731</v>
      </c>
      <c r="B375" s="8" t="s">
        <v>85</v>
      </c>
      <c r="C375" s="8" t="s">
        <v>86</v>
      </c>
      <c r="D375" s="8" t="s">
        <v>252</v>
      </c>
      <c r="E375" s="9" t="s">
        <v>33</v>
      </c>
      <c r="F375" s="8" t="s">
        <v>728</v>
      </c>
      <c r="G375" s="8" t="s">
        <v>84</v>
      </c>
      <c r="H375" s="11" t="s">
        <v>670</v>
      </c>
      <c r="I375" s="11" t="s">
        <v>260</v>
      </c>
      <c r="J375" s="11" t="s">
        <v>667</v>
      </c>
      <c r="K375" s="8" t="s">
        <v>675</v>
      </c>
      <c r="L375" s="8" t="s">
        <v>719</v>
      </c>
      <c r="M375" s="20">
        <v>45352.0</v>
      </c>
      <c r="N375" s="21">
        <v>410.2</v>
      </c>
      <c r="O375" s="19"/>
      <c r="P375" s="8"/>
      <c r="Q375" s="7"/>
      <c r="R375" s="7"/>
      <c r="S375" s="17"/>
      <c r="T375" s="10"/>
      <c r="U375" s="10"/>
      <c r="V375" s="10"/>
      <c r="W375" s="10"/>
      <c r="X375" s="10"/>
      <c r="Y375" s="10"/>
      <c r="Z375" s="10"/>
    </row>
    <row r="376" ht="13.5" customHeight="1">
      <c r="A376" s="13" t="s">
        <v>732</v>
      </c>
      <c r="B376" s="8" t="s">
        <v>67</v>
      </c>
      <c r="C376" s="8" t="s">
        <v>68</v>
      </c>
      <c r="D376" s="8" t="s">
        <v>672</v>
      </c>
      <c r="E376" s="9" t="s">
        <v>733</v>
      </c>
      <c r="F376" s="8" t="s">
        <v>734</v>
      </c>
      <c r="G376" s="8" t="s">
        <v>735</v>
      </c>
      <c r="H376" s="11" t="s">
        <v>670</v>
      </c>
      <c r="I376" s="11" t="s">
        <v>260</v>
      </c>
      <c r="J376" s="11" t="s">
        <v>555</v>
      </c>
      <c r="K376" s="8" t="s">
        <v>675</v>
      </c>
      <c r="L376" s="23" t="s">
        <v>719</v>
      </c>
      <c r="M376" s="20">
        <v>45376.0</v>
      </c>
      <c r="N376" s="21">
        <v>2851.5</v>
      </c>
      <c r="O376" s="22">
        <v>3200.0</v>
      </c>
      <c r="P376" s="8"/>
      <c r="Q376" s="7"/>
      <c r="R376" s="7"/>
      <c r="S376" s="17"/>
      <c r="T376" s="10"/>
      <c r="U376" s="10"/>
      <c r="V376" s="10"/>
      <c r="W376" s="10"/>
      <c r="X376" s="10"/>
      <c r="Y376" s="10"/>
      <c r="Z376" s="10"/>
    </row>
    <row r="377" ht="13.5" customHeight="1">
      <c r="A377" s="13" t="s">
        <v>736</v>
      </c>
      <c r="B377" s="8" t="s">
        <v>132</v>
      </c>
      <c r="C377" s="8" t="s">
        <v>68</v>
      </c>
      <c r="D377" s="8" t="s">
        <v>678</v>
      </c>
      <c r="E377" s="9" t="s">
        <v>737</v>
      </c>
      <c r="F377" s="8" t="s">
        <v>738</v>
      </c>
      <c r="G377" s="8" t="s">
        <v>735</v>
      </c>
      <c r="H377" s="11" t="s">
        <v>670</v>
      </c>
      <c r="I377" s="11" t="s">
        <v>260</v>
      </c>
      <c r="J377" s="11" t="s">
        <v>555</v>
      </c>
      <c r="K377" s="8" t="s">
        <v>675</v>
      </c>
      <c r="L377" s="8" t="s">
        <v>719</v>
      </c>
      <c r="M377" s="20">
        <v>45376.0</v>
      </c>
      <c r="N377" s="21">
        <v>250.0</v>
      </c>
      <c r="O377" s="22">
        <v>250.0</v>
      </c>
      <c r="P377" s="8"/>
      <c r="Q377" s="7"/>
      <c r="R377" s="7"/>
      <c r="S377" s="17"/>
      <c r="T377" s="10"/>
      <c r="U377" s="10"/>
      <c r="V377" s="10"/>
      <c r="W377" s="10"/>
      <c r="X377" s="10"/>
      <c r="Y377" s="10"/>
      <c r="Z377" s="10"/>
    </row>
    <row r="378" ht="13.5" customHeight="1">
      <c r="A378" s="13" t="s">
        <v>739</v>
      </c>
      <c r="B378" s="8" t="s">
        <v>67</v>
      </c>
      <c r="C378" s="8" t="s">
        <v>68</v>
      </c>
      <c r="D378" s="8" t="s">
        <v>672</v>
      </c>
      <c r="E378" s="9" t="s">
        <v>740</v>
      </c>
      <c r="F378" s="8" t="s">
        <v>689</v>
      </c>
      <c r="G378" s="8" t="s">
        <v>741</v>
      </c>
      <c r="H378" s="11" t="s">
        <v>670</v>
      </c>
      <c r="I378" s="11" t="s">
        <v>27</v>
      </c>
      <c r="J378" s="11" t="s">
        <v>691</v>
      </c>
      <c r="K378" s="8" t="s">
        <v>675</v>
      </c>
      <c r="L378" s="8" t="s">
        <v>719</v>
      </c>
      <c r="M378" s="20">
        <v>45376.0</v>
      </c>
      <c r="N378" s="21">
        <v>2851.5</v>
      </c>
      <c r="O378" s="22">
        <v>3360.0</v>
      </c>
      <c r="P378" s="8" t="s">
        <v>692</v>
      </c>
      <c r="Q378" s="7"/>
      <c r="R378" s="7"/>
      <c r="S378" s="17"/>
      <c r="T378" s="10"/>
      <c r="U378" s="10"/>
      <c r="V378" s="10"/>
      <c r="W378" s="10"/>
      <c r="X378" s="10"/>
      <c r="Y378" s="10"/>
      <c r="Z378" s="10"/>
    </row>
    <row r="379" ht="13.5" customHeight="1">
      <c r="A379" s="13" t="s">
        <v>742</v>
      </c>
      <c r="B379" s="8" t="s">
        <v>132</v>
      </c>
      <c r="C379" s="8" t="s">
        <v>68</v>
      </c>
      <c r="D379" s="8" t="s">
        <v>678</v>
      </c>
      <c r="E379" s="9" t="s">
        <v>743</v>
      </c>
      <c r="F379" s="8" t="s">
        <v>187</v>
      </c>
      <c r="G379" s="8" t="s">
        <v>741</v>
      </c>
      <c r="H379" s="11" t="s">
        <v>670</v>
      </c>
      <c r="I379" s="11" t="s">
        <v>27</v>
      </c>
      <c r="J379" s="11" t="s">
        <v>691</v>
      </c>
      <c r="K379" s="8" t="s">
        <v>675</v>
      </c>
      <c r="L379" s="8" t="s">
        <v>719</v>
      </c>
      <c r="M379" s="20">
        <v>45376.0</v>
      </c>
      <c r="N379" s="21">
        <v>250.0</v>
      </c>
      <c r="O379" s="22">
        <v>250.0</v>
      </c>
      <c r="P379" s="8"/>
      <c r="Q379" s="7"/>
      <c r="R379" s="7"/>
      <c r="S379" s="17"/>
      <c r="T379" s="10"/>
      <c r="U379" s="10"/>
      <c r="V379" s="10"/>
      <c r="W379" s="10"/>
      <c r="X379" s="10"/>
      <c r="Y379" s="10"/>
      <c r="Z379" s="10"/>
    </row>
    <row r="380" ht="13.5" customHeight="1">
      <c r="A380" s="13" t="s">
        <v>744</v>
      </c>
      <c r="B380" s="8" t="s">
        <v>196</v>
      </c>
      <c r="C380" s="8" t="s">
        <v>197</v>
      </c>
      <c r="D380" s="8" t="s">
        <v>198</v>
      </c>
      <c r="E380" s="9" t="s">
        <v>745</v>
      </c>
      <c r="F380" s="8" t="s">
        <v>714</v>
      </c>
      <c r="G380" s="8" t="s">
        <v>84</v>
      </c>
      <c r="H380" s="11" t="s">
        <v>259</v>
      </c>
      <c r="I380" s="11" t="s">
        <v>27</v>
      </c>
      <c r="J380" s="11" t="s">
        <v>28</v>
      </c>
      <c r="K380" s="8" t="s">
        <v>675</v>
      </c>
      <c r="L380" s="8" t="s">
        <v>676</v>
      </c>
      <c r="M380" s="20">
        <v>45377.0</v>
      </c>
      <c r="N380" s="21">
        <v>212.4</v>
      </c>
      <c r="O380" s="19"/>
      <c r="P380" s="8"/>
      <c r="Q380" s="7"/>
      <c r="R380" s="7"/>
      <c r="S380" s="17"/>
      <c r="T380" s="10"/>
      <c r="U380" s="10"/>
      <c r="V380" s="10"/>
      <c r="W380" s="10"/>
      <c r="X380" s="10"/>
      <c r="Y380" s="10"/>
      <c r="Z380" s="10"/>
    </row>
    <row r="381" ht="13.5" customHeight="1">
      <c r="A381" s="13" t="s">
        <v>746</v>
      </c>
      <c r="B381" s="8" t="s">
        <v>196</v>
      </c>
      <c r="C381" s="8" t="s">
        <v>197</v>
      </c>
      <c r="D381" s="8" t="s">
        <v>198</v>
      </c>
      <c r="E381" s="9" t="s">
        <v>199</v>
      </c>
      <c r="F381" s="8" t="s">
        <v>714</v>
      </c>
      <c r="G381" s="8" t="s">
        <v>84</v>
      </c>
      <c r="H381" s="11" t="s">
        <v>143</v>
      </c>
      <c r="I381" s="11" t="s">
        <v>27</v>
      </c>
      <c r="J381" s="11" t="s">
        <v>28</v>
      </c>
      <c r="K381" s="8" t="s">
        <v>675</v>
      </c>
      <c r="L381" s="8" t="s">
        <v>676</v>
      </c>
      <c r="M381" s="20">
        <v>45377.0</v>
      </c>
      <c r="N381" s="21">
        <v>212.4</v>
      </c>
      <c r="O381" s="19"/>
      <c r="P381" s="8"/>
      <c r="Q381" s="7"/>
      <c r="R381" s="7"/>
      <c r="S381" s="17"/>
      <c r="T381" s="10"/>
      <c r="U381" s="10"/>
      <c r="V381" s="10"/>
      <c r="W381" s="10"/>
      <c r="X381" s="10"/>
      <c r="Y381" s="10"/>
      <c r="Z381" s="10"/>
    </row>
    <row r="382" ht="13.5" customHeight="1">
      <c r="A382" s="13" t="s">
        <v>747</v>
      </c>
      <c r="B382" s="8" t="s">
        <v>290</v>
      </c>
      <c r="C382" s="8" t="s">
        <v>291</v>
      </c>
      <c r="D382" s="8" t="s">
        <v>292</v>
      </c>
      <c r="E382" s="9" t="s">
        <v>748</v>
      </c>
      <c r="F382" s="8" t="s">
        <v>293</v>
      </c>
      <c r="G382" s="8" t="s">
        <v>749</v>
      </c>
      <c r="H382" s="8" t="s">
        <v>670</v>
      </c>
      <c r="I382" s="8" t="s">
        <v>27</v>
      </c>
      <c r="J382" s="8" t="s">
        <v>684</v>
      </c>
      <c r="K382" s="8" t="s">
        <v>675</v>
      </c>
      <c r="L382" s="8" t="s">
        <v>719</v>
      </c>
      <c r="M382" s="20">
        <v>45377.0</v>
      </c>
      <c r="N382" s="21">
        <v>151.3</v>
      </c>
      <c r="O382" s="22">
        <v>170.0</v>
      </c>
      <c r="P382" s="7"/>
      <c r="Q382" s="7"/>
      <c r="R382" s="7"/>
      <c r="S382" s="17"/>
      <c r="T382" s="10"/>
      <c r="U382" s="10"/>
      <c r="V382" s="10"/>
      <c r="W382" s="10"/>
      <c r="X382" s="10"/>
      <c r="Y382" s="10"/>
      <c r="Z382" s="10"/>
    </row>
    <row r="383" ht="13.5" customHeight="1">
      <c r="A383" s="13" t="s">
        <v>750</v>
      </c>
      <c r="B383" s="8" t="s">
        <v>290</v>
      </c>
      <c r="C383" s="8" t="s">
        <v>291</v>
      </c>
      <c r="D383" s="8" t="s">
        <v>292</v>
      </c>
      <c r="E383" s="9" t="s">
        <v>751</v>
      </c>
      <c r="F383" s="8" t="s">
        <v>293</v>
      </c>
      <c r="G383" s="8" t="s">
        <v>294</v>
      </c>
      <c r="H383" s="8" t="s">
        <v>670</v>
      </c>
      <c r="I383" s="8" t="s">
        <v>27</v>
      </c>
      <c r="J383" s="8" t="s">
        <v>684</v>
      </c>
      <c r="K383" s="8" t="s">
        <v>675</v>
      </c>
      <c r="L383" s="8" t="s">
        <v>719</v>
      </c>
      <c r="M383" s="20">
        <v>45377.0</v>
      </c>
      <c r="N383" s="21">
        <v>151.3</v>
      </c>
      <c r="O383" s="22">
        <v>170.0</v>
      </c>
      <c r="P383" s="7"/>
      <c r="Q383" s="7"/>
      <c r="R383" s="7"/>
      <c r="S383" s="17"/>
      <c r="T383" s="10"/>
      <c r="U383" s="10"/>
      <c r="V383" s="10"/>
      <c r="W383" s="10"/>
      <c r="X383" s="10"/>
      <c r="Y383" s="10"/>
      <c r="Z383" s="10"/>
    </row>
    <row r="384" ht="13.5" customHeight="1">
      <c r="A384" s="13" t="s">
        <v>752</v>
      </c>
      <c r="B384" s="8" t="s">
        <v>290</v>
      </c>
      <c r="C384" s="8" t="s">
        <v>291</v>
      </c>
      <c r="D384" s="8" t="s">
        <v>292</v>
      </c>
      <c r="E384" s="9" t="s">
        <v>753</v>
      </c>
      <c r="F384" s="8" t="s">
        <v>293</v>
      </c>
      <c r="G384" s="8" t="s">
        <v>634</v>
      </c>
      <c r="H384" s="8" t="s">
        <v>259</v>
      </c>
      <c r="I384" s="8" t="s">
        <v>27</v>
      </c>
      <c r="J384" s="8" t="s">
        <v>635</v>
      </c>
      <c r="K384" s="8" t="s">
        <v>675</v>
      </c>
      <c r="L384" s="8" t="s">
        <v>719</v>
      </c>
      <c r="M384" s="20">
        <v>45377.0</v>
      </c>
      <c r="N384" s="21">
        <v>151.3</v>
      </c>
      <c r="O384" s="22">
        <v>170.0</v>
      </c>
      <c r="P384" s="7"/>
      <c r="Q384" s="7"/>
      <c r="R384" s="7"/>
      <c r="S384" s="17"/>
      <c r="T384" s="10"/>
      <c r="U384" s="10"/>
      <c r="V384" s="10"/>
      <c r="W384" s="10"/>
      <c r="X384" s="10"/>
      <c r="Y384" s="10"/>
      <c r="Z384" s="10"/>
    </row>
    <row r="385" ht="13.5" customHeight="1">
      <c r="A385" s="13" t="s">
        <v>754</v>
      </c>
      <c r="B385" s="8" t="s">
        <v>290</v>
      </c>
      <c r="C385" s="8" t="s">
        <v>291</v>
      </c>
      <c r="D385" s="8" t="s">
        <v>292</v>
      </c>
      <c r="E385" s="9" t="s">
        <v>755</v>
      </c>
      <c r="F385" s="8" t="s">
        <v>293</v>
      </c>
      <c r="G385" s="8" t="s">
        <v>756</v>
      </c>
      <c r="H385" s="8" t="s">
        <v>670</v>
      </c>
      <c r="I385" s="8" t="s">
        <v>27</v>
      </c>
      <c r="J385" s="8" t="s">
        <v>684</v>
      </c>
      <c r="K385" s="8" t="s">
        <v>675</v>
      </c>
      <c r="L385" s="8" t="s">
        <v>719</v>
      </c>
      <c r="M385" s="20">
        <v>45377.0</v>
      </c>
      <c r="N385" s="21">
        <v>151.3</v>
      </c>
      <c r="O385" s="22">
        <v>170.0</v>
      </c>
      <c r="P385" s="7"/>
      <c r="Q385" s="7"/>
      <c r="R385" s="7"/>
      <c r="S385" s="17"/>
      <c r="T385" s="10"/>
      <c r="U385" s="10"/>
      <c r="V385" s="10"/>
      <c r="W385" s="10"/>
      <c r="X385" s="10"/>
      <c r="Y385" s="10"/>
      <c r="Z385" s="10"/>
    </row>
    <row r="386" ht="13.5" customHeight="1">
      <c r="A386" s="13" t="s">
        <v>757</v>
      </c>
      <c r="B386" s="8" t="s">
        <v>290</v>
      </c>
      <c r="C386" s="8" t="s">
        <v>291</v>
      </c>
      <c r="D386" s="8" t="s">
        <v>292</v>
      </c>
      <c r="E386" s="9" t="s">
        <v>758</v>
      </c>
      <c r="F386" s="8" t="s">
        <v>293</v>
      </c>
      <c r="G386" s="8" t="s">
        <v>759</v>
      </c>
      <c r="H386" s="8" t="s">
        <v>259</v>
      </c>
      <c r="I386" s="8" t="s">
        <v>27</v>
      </c>
      <c r="J386" s="8" t="s">
        <v>635</v>
      </c>
      <c r="K386" s="8" t="s">
        <v>675</v>
      </c>
      <c r="L386" s="8" t="s">
        <v>719</v>
      </c>
      <c r="M386" s="20">
        <v>45377.0</v>
      </c>
      <c r="N386" s="21">
        <v>151.3</v>
      </c>
      <c r="O386" s="22">
        <v>170.0</v>
      </c>
      <c r="P386" s="7"/>
      <c r="Q386" s="7"/>
      <c r="R386" s="7"/>
      <c r="S386" s="17"/>
      <c r="T386" s="10"/>
      <c r="U386" s="10"/>
      <c r="V386" s="10"/>
      <c r="W386" s="10"/>
      <c r="X386" s="10"/>
      <c r="Y386" s="10"/>
      <c r="Z386" s="10"/>
    </row>
    <row r="387" ht="13.5" customHeight="1">
      <c r="A387" s="13" t="s">
        <v>760</v>
      </c>
      <c r="B387" s="8" t="s">
        <v>290</v>
      </c>
      <c r="C387" s="8" t="s">
        <v>291</v>
      </c>
      <c r="D387" s="8" t="s">
        <v>292</v>
      </c>
      <c r="E387" s="9" t="s">
        <v>761</v>
      </c>
      <c r="F387" s="8" t="s">
        <v>293</v>
      </c>
      <c r="G387" s="8" t="s">
        <v>762</v>
      </c>
      <c r="H387" s="8" t="s">
        <v>670</v>
      </c>
      <c r="I387" s="8" t="s">
        <v>27</v>
      </c>
      <c r="J387" s="8" t="s">
        <v>684</v>
      </c>
      <c r="K387" s="8" t="s">
        <v>675</v>
      </c>
      <c r="L387" s="8" t="s">
        <v>719</v>
      </c>
      <c r="M387" s="20">
        <v>45377.0</v>
      </c>
      <c r="N387" s="21">
        <v>151.3</v>
      </c>
      <c r="O387" s="22">
        <v>170.0</v>
      </c>
      <c r="P387" s="7"/>
      <c r="Q387" s="7"/>
      <c r="R387" s="7"/>
      <c r="S387" s="17"/>
      <c r="T387" s="10"/>
      <c r="U387" s="10"/>
      <c r="V387" s="10"/>
      <c r="W387" s="10"/>
      <c r="X387" s="10"/>
      <c r="Y387" s="10"/>
      <c r="Z387" s="10"/>
    </row>
    <row r="388" ht="13.5" customHeight="1">
      <c r="A388" s="13" t="s">
        <v>763</v>
      </c>
      <c r="B388" s="8" t="s">
        <v>290</v>
      </c>
      <c r="C388" s="8" t="s">
        <v>291</v>
      </c>
      <c r="D388" s="8" t="s">
        <v>292</v>
      </c>
      <c r="E388" s="9" t="s">
        <v>764</v>
      </c>
      <c r="F388" s="8" t="s">
        <v>293</v>
      </c>
      <c r="G388" s="8" t="s">
        <v>765</v>
      </c>
      <c r="H388" s="8" t="s">
        <v>670</v>
      </c>
      <c r="I388" s="8" t="s">
        <v>27</v>
      </c>
      <c r="J388" s="8" t="s">
        <v>684</v>
      </c>
      <c r="K388" s="8" t="s">
        <v>675</v>
      </c>
      <c r="L388" s="8" t="s">
        <v>719</v>
      </c>
      <c r="M388" s="20">
        <v>45377.0</v>
      </c>
      <c r="N388" s="21">
        <v>151.3</v>
      </c>
      <c r="O388" s="22">
        <v>170.0</v>
      </c>
      <c r="P388" s="7"/>
      <c r="Q388" s="7"/>
      <c r="R388" s="7"/>
      <c r="S388" s="17"/>
      <c r="T388" s="10"/>
      <c r="U388" s="10"/>
      <c r="V388" s="10"/>
      <c r="W388" s="10"/>
      <c r="X388" s="10"/>
      <c r="Y388" s="10"/>
      <c r="Z388" s="10"/>
    </row>
    <row r="389" ht="13.5" customHeight="1">
      <c r="A389" s="13" t="s">
        <v>766</v>
      </c>
      <c r="B389" s="8" t="s">
        <v>290</v>
      </c>
      <c r="C389" s="8" t="s">
        <v>291</v>
      </c>
      <c r="D389" s="8" t="s">
        <v>292</v>
      </c>
      <c r="E389" s="9" t="s">
        <v>767</v>
      </c>
      <c r="F389" s="8" t="s">
        <v>293</v>
      </c>
      <c r="G389" s="8" t="s">
        <v>294</v>
      </c>
      <c r="H389" s="8" t="s">
        <v>670</v>
      </c>
      <c r="I389" s="8" t="s">
        <v>260</v>
      </c>
      <c r="J389" s="8" t="s">
        <v>684</v>
      </c>
      <c r="K389" s="8" t="s">
        <v>675</v>
      </c>
      <c r="L389" s="8" t="s">
        <v>719</v>
      </c>
      <c r="M389" s="20">
        <v>45377.0</v>
      </c>
      <c r="N389" s="21">
        <v>151.3</v>
      </c>
      <c r="O389" s="22">
        <v>170.0</v>
      </c>
      <c r="P389" s="8" t="s">
        <v>768</v>
      </c>
      <c r="Q389" s="7"/>
      <c r="R389" s="7"/>
      <c r="S389" s="17"/>
      <c r="T389" s="10"/>
      <c r="U389" s="10"/>
      <c r="V389" s="10"/>
      <c r="W389" s="10"/>
      <c r="X389" s="10"/>
      <c r="Y389" s="10"/>
      <c r="Z389" s="10"/>
    </row>
    <row r="390" ht="13.5" customHeight="1">
      <c r="A390" s="13" t="s">
        <v>769</v>
      </c>
      <c r="B390" s="8" t="s">
        <v>290</v>
      </c>
      <c r="C390" s="8" t="s">
        <v>291</v>
      </c>
      <c r="D390" s="8" t="s">
        <v>292</v>
      </c>
      <c r="E390" s="9" t="s">
        <v>770</v>
      </c>
      <c r="F390" s="8" t="s">
        <v>293</v>
      </c>
      <c r="G390" s="8" t="s">
        <v>771</v>
      </c>
      <c r="H390" s="8" t="s">
        <v>259</v>
      </c>
      <c r="I390" s="8" t="s">
        <v>27</v>
      </c>
      <c r="J390" s="8" t="s">
        <v>635</v>
      </c>
      <c r="K390" s="8" t="s">
        <v>675</v>
      </c>
      <c r="L390" s="8" t="s">
        <v>719</v>
      </c>
      <c r="M390" s="20">
        <v>45377.0</v>
      </c>
      <c r="N390" s="21">
        <v>151.3</v>
      </c>
      <c r="O390" s="22">
        <v>170.0</v>
      </c>
      <c r="P390" s="7"/>
      <c r="Q390" s="7"/>
      <c r="R390" s="7"/>
      <c r="S390" s="17"/>
      <c r="T390" s="10"/>
      <c r="U390" s="10"/>
      <c r="V390" s="10"/>
      <c r="W390" s="10"/>
      <c r="X390" s="10"/>
      <c r="Y390" s="10"/>
      <c r="Z390" s="10"/>
    </row>
    <row r="391" ht="13.5" customHeight="1">
      <c r="A391" s="13" t="s">
        <v>772</v>
      </c>
      <c r="B391" s="8" t="s">
        <v>290</v>
      </c>
      <c r="C391" s="8" t="s">
        <v>291</v>
      </c>
      <c r="D391" s="8" t="s">
        <v>292</v>
      </c>
      <c r="E391" s="9" t="s">
        <v>773</v>
      </c>
      <c r="F391" s="8" t="s">
        <v>293</v>
      </c>
      <c r="G391" s="8" t="s">
        <v>774</v>
      </c>
      <c r="H391" s="8" t="s">
        <v>259</v>
      </c>
      <c r="I391" s="8" t="s">
        <v>27</v>
      </c>
      <c r="J391" s="8" t="s">
        <v>635</v>
      </c>
      <c r="K391" s="8" t="s">
        <v>675</v>
      </c>
      <c r="L391" s="8" t="s">
        <v>719</v>
      </c>
      <c r="M391" s="20">
        <v>45377.0</v>
      </c>
      <c r="N391" s="21">
        <v>151.3</v>
      </c>
      <c r="O391" s="22">
        <v>170.0</v>
      </c>
      <c r="P391" s="7"/>
      <c r="Q391" s="7"/>
      <c r="R391" s="7"/>
      <c r="S391" s="17"/>
      <c r="T391" s="10"/>
      <c r="U391" s="10"/>
      <c r="V391" s="10"/>
      <c r="W391" s="10"/>
      <c r="X391" s="10"/>
      <c r="Y391" s="10"/>
      <c r="Z391" s="10"/>
    </row>
    <row r="392" ht="13.5" customHeight="1">
      <c r="A392" s="13" t="s">
        <v>775</v>
      </c>
      <c r="B392" s="8" t="s">
        <v>290</v>
      </c>
      <c r="C392" s="8" t="s">
        <v>291</v>
      </c>
      <c r="D392" s="8" t="s">
        <v>292</v>
      </c>
      <c r="E392" s="9" t="s">
        <v>776</v>
      </c>
      <c r="F392" s="8" t="s">
        <v>293</v>
      </c>
      <c r="G392" s="8" t="s">
        <v>777</v>
      </c>
      <c r="H392" s="8" t="s">
        <v>259</v>
      </c>
      <c r="I392" s="8" t="s">
        <v>27</v>
      </c>
      <c r="J392" s="8" t="s">
        <v>635</v>
      </c>
      <c r="K392" s="8" t="s">
        <v>675</v>
      </c>
      <c r="L392" s="8" t="s">
        <v>719</v>
      </c>
      <c r="M392" s="20">
        <v>45377.0</v>
      </c>
      <c r="N392" s="21">
        <v>151.3</v>
      </c>
      <c r="O392" s="22">
        <v>170.0</v>
      </c>
      <c r="P392" s="7"/>
      <c r="Q392" s="7"/>
      <c r="R392" s="7"/>
      <c r="S392" s="17"/>
      <c r="T392" s="10"/>
      <c r="U392" s="10"/>
      <c r="V392" s="10"/>
      <c r="W392" s="10"/>
      <c r="X392" s="10"/>
      <c r="Y392" s="10"/>
      <c r="Z392" s="10"/>
    </row>
    <row r="393" ht="13.5" customHeight="1">
      <c r="A393" s="13" t="s">
        <v>778</v>
      </c>
      <c r="B393" s="8" t="s">
        <v>290</v>
      </c>
      <c r="C393" s="8" t="s">
        <v>291</v>
      </c>
      <c r="D393" s="8" t="s">
        <v>292</v>
      </c>
      <c r="E393" s="9" t="s">
        <v>779</v>
      </c>
      <c r="F393" s="8" t="s">
        <v>293</v>
      </c>
      <c r="G393" s="8" t="s">
        <v>780</v>
      </c>
      <c r="H393" s="8" t="s">
        <v>259</v>
      </c>
      <c r="I393" s="8" t="s">
        <v>27</v>
      </c>
      <c r="J393" s="8" t="s">
        <v>781</v>
      </c>
      <c r="K393" s="8" t="s">
        <v>675</v>
      </c>
      <c r="L393" s="8" t="s">
        <v>719</v>
      </c>
      <c r="M393" s="20">
        <v>45377.0</v>
      </c>
      <c r="N393" s="21">
        <v>151.3</v>
      </c>
      <c r="O393" s="22">
        <v>170.0</v>
      </c>
      <c r="P393" s="7"/>
      <c r="Q393" s="7"/>
      <c r="R393" s="7"/>
      <c r="S393" s="17"/>
      <c r="T393" s="10"/>
      <c r="U393" s="10"/>
      <c r="V393" s="10"/>
      <c r="W393" s="10"/>
      <c r="X393" s="10"/>
      <c r="Y393" s="10"/>
      <c r="Z393" s="10"/>
    </row>
    <row r="394" ht="13.5" customHeight="1">
      <c r="A394" s="13" t="s">
        <v>782</v>
      </c>
      <c r="B394" s="8" t="s">
        <v>290</v>
      </c>
      <c r="C394" s="8" t="s">
        <v>291</v>
      </c>
      <c r="D394" s="8" t="s">
        <v>292</v>
      </c>
      <c r="E394" s="9" t="s">
        <v>783</v>
      </c>
      <c r="F394" s="8" t="s">
        <v>293</v>
      </c>
      <c r="G394" s="8" t="s">
        <v>784</v>
      </c>
      <c r="H394" s="8" t="s">
        <v>259</v>
      </c>
      <c r="I394" s="8" t="s">
        <v>27</v>
      </c>
      <c r="J394" s="8" t="s">
        <v>635</v>
      </c>
      <c r="K394" s="8" t="s">
        <v>675</v>
      </c>
      <c r="L394" s="8" t="s">
        <v>719</v>
      </c>
      <c r="M394" s="20">
        <v>45377.0</v>
      </c>
      <c r="N394" s="21">
        <v>151.3</v>
      </c>
      <c r="O394" s="22">
        <v>170.0</v>
      </c>
      <c r="P394" s="7"/>
      <c r="Q394" s="7"/>
      <c r="R394" s="7"/>
      <c r="S394" s="17"/>
      <c r="T394" s="10"/>
      <c r="U394" s="10"/>
      <c r="V394" s="10"/>
      <c r="W394" s="10"/>
      <c r="X394" s="10"/>
      <c r="Y394" s="10"/>
      <c r="Z394" s="10"/>
    </row>
    <row r="395" ht="13.5" customHeight="1">
      <c r="A395" s="13" t="s">
        <v>785</v>
      </c>
      <c r="B395" s="8" t="s">
        <v>290</v>
      </c>
      <c r="C395" s="8" t="s">
        <v>291</v>
      </c>
      <c r="D395" s="8" t="s">
        <v>292</v>
      </c>
      <c r="E395" s="9" t="s">
        <v>786</v>
      </c>
      <c r="F395" s="8" t="s">
        <v>293</v>
      </c>
      <c r="G395" s="8" t="s">
        <v>787</v>
      </c>
      <c r="H395" s="8" t="s">
        <v>259</v>
      </c>
      <c r="I395" s="8" t="s">
        <v>27</v>
      </c>
      <c r="J395" s="8" t="s">
        <v>781</v>
      </c>
      <c r="K395" s="8" t="s">
        <v>675</v>
      </c>
      <c r="L395" s="8" t="s">
        <v>719</v>
      </c>
      <c r="M395" s="20">
        <v>45377.0</v>
      </c>
      <c r="N395" s="21">
        <v>151.3</v>
      </c>
      <c r="O395" s="22">
        <v>170.0</v>
      </c>
      <c r="P395" s="7"/>
      <c r="Q395" s="7"/>
      <c r="R395" s="7"/>
      <c r="S395" s="17"/>
      <c r="T395" s="10"/>
      <c r="U395" s="10"/>
      <c r="V395" s="10"/>
      <c r="W395" s="10"/>
      <c r="X395" s="10"/>
      <c r="Y395" s="10"/>
      <c r="Z395" s="10"/>
    </row>
    <row r="396" ht="13.5" customHeight="1">
      <c r="A396" s="13" t="s">
        <v>788</v>
      </c>
      <c r="B396" s="8" t="s">
        <v>290</v>
      </c>
      <c r="C396" s="8" t="s">
        <v>291</v>
      </c>
      <c r="D396" s="8" t="s">
        <v>292</v>
      </c>
      <c r="E396" s="9" t="s">
        <v>789</v>
      </c>
      <c r="F396" s="8" t="s">
        <v>293</v>
      </c>
      <c r="G396" s="8" t="s">
        <v>440</v>
      </c>
      <c r="H396" s="8" t="s">
        <v>259</v>
      </c>
      <c r="I396" s="8" t="s">
        <v>91</v>
      </c>
      <c r="J396" s="8" t="s">
        <v>400</v>
      </c>
      <c r="K396" s="8" t="s">
        <v>675</v>
      </c>
      <c r="L396" s="8" t="s">
        <v>719</v>
      </c>
      <c r="M396" s="20">
        <v>45377.0</v>
      </c>
      <c r="N396" s="21">
        <v>151.3</v>
      </c>
      <c r="O396" s="22">
        <v>170.0</v>
      </c>
      <c r="P396" s="7"/>
      <c r="Q396" s="7"/>
      <c r="R396" s="7"/>
      <c r="S396" s="17"/>
      <c r="T396" s="10"/>
      <c r="U396" s="10"/>
      <c r="V396" s="10"/>
      <c r="W396" s="10"/>
      <c r="X396" s="10"/>
      <c r="Y396" s="10"/>
      <c r="Z396" s="10"/>
    </row>
    <row r="397" ht="13.5" customHeight="1">
      <c r="A397" s="13" t="s">
        <v>790</v>
      </c>
      <c r="B397" s="8" t="s">
        <v>196</v>
      </c>
      <c r="C397" s="8" t="s">
        <v>197</v>
      </c>
      <c r="D397" s="8" t="s">
        <v>198</v>
      </c>
      <c r="E397" s="9" t="s">
        <v>791</v>
      </c>
      <c r="F397" s="8" t="s">
        <v>714</v>
      </c>
      <c r="G397" s="8" t="s">
        <v>84</v>
      </c>
      <c r="H397" s="11" t="s">
        <v>26</v>
      </c>
      <c r="I397" s="11" t="s">
        <v>27</v>
      </c>
      <c r="J397" s="11" t="s">
        <v>28</v>
      </c>
      <c r="K397" s="8" t="s">
        <v>675</v>
      </c>
      <c r="L397" s="8" t="s">
        <v>676</v>
      </c>
      <c r="M397" s="20">
        <v>45384.0</v>
      </c>
      <c r="N397" s="21">
        <v>212.4</v>
      </c>
      <c r="O397" s="22">
        <v>300.0</v>
      </c>
      <c r="P397" s="8"/>
      <c r="Q397" s="7"/>
      <c r="R397" s="7"/>
      <c r="S397" s="17"/>
      <c r="T397" s="10"/>
      <c r="U397" s="10"/>
      <c r="V397" s="10"/>
      <c r="W397" s="10"/>
      <c r="X397" s="10"/>
      <c r="Y397" s="10"/>
      <c r="Z397" s="10"/>
    </row>
    <row r="398" ht="13.5" customHeight="1">
      <c r="A398" s="13" t="s">
        <v>792</v>
      </c>
      <c r="B398" s="8" t="s">
        <v>196</v>
      </c>
      <c r="C398" s="8" t="s">
        <v>197</v>
      </c>
      <c r="D398" s="8" t="s">
        <v>198</v>
      </c>
      <c r="E398" s="9" t="s">
        <v>793</v>
      </c>
      <c r="F398" s="8" t="s">
        <v>714</v>
      </c>
      <c r="G398" s="8" t="s">
        <v>84</v>
      </c>
      <c r="H398" s="11" t="s">
        <v>103</v>
      </c>
      <c r="I398" s="11" t="s">
        <v>27</v>
      </c>
      <c r="J398" s="11" t="s">
        <v>28</v>
      </c>
      <c r="K398" s="8" t="s">
        <v>675</v>
      </c>
      <c r="L398" s="13" t="s">
        <v>676</v>
      </c>
      <c r="M398" s="20">
        <v>45384.0</v>
      </c>
      <c r="N398" s="18">
        <v>212.4</v>
      </c>
      <c r="O398" s="22">
        <v>300.0</v>
      </c>
      <c r="P398" s="7"/>
      <c r="Q398" s="7"/>
      <c r="R398" s="7"/>
      <c r="S398" s="17"/>
      <c r="T398" s="10"/>
      <c r="U398" s="10"/>
      <c r="V398" s="10"/>
      <c r="W398" s="10"/>
      <c r="X398" s="10"/>
      <c r="Y398" s="10"/>
      <c r="Z398" s="10"/>
    </row>
    <row r="399" ht="13.5" customHeight="1">
      <c r="A399" s="13" t="s">
        <v>794</v>
      </c>
      <c r="B399" s="8" t="s">
        <v>196</v>
      </c>
      <c r="C399" s="8" t="s">
        <v>197</v>
      </c>
      <c r="D399" s="8" t="s">
        <v>198</v>
      </c>
      <c r="E399" s="9" t="s">
        <v>795</v>
      </c>
      <c r="F399" s="8" t="s">
        <v>796</v>
      </c>
      <c r="G399" s="8" t="s">
        <v>84</v>
      </c>
      <c r="H399" s="11" t="s">
        <v>207</v>
      </c>
      <c r="I399" s="11" t="s">
        <v>27</v>
      </c>
      <c r="J399" s="11" t="s">
        <v>28</v>
      </c>
      <c r="K399" s="8" t="s">
        <v>675</v>
      </c>
      <c r="L399" s="13" t="s">
        <v>676</v>
      </c>
      <c r="M399" s="20">
        <v>45384.0</v>
      </c>
      <c r="N399" s="18">
        <v>212.4</v>
      </c>
      <c r="O399" s="22">
        <v>300.0</v>
      </c>
      <c r="P399" s="7"/>
      <c r="Q399" s="7"/>
      <c r="R399" s="7"/>
      <c r="S399" s="17"/>
      <c r="T399" s="10"/>
      <c r="U399" s="10"/>
      <c r="V399" s="10"/>
      <c r="W399" s="10"/>
      <c r="X399" s="10"/>
      <c r="Y399" s="10"/>
      <c r="Z399" s="10"/>
    </row>
    <row r="400" ht="13.5" customHeight="1">
      <c r="A400" s="13" t="s">
        <v>797</v>
      </c>
      <c r="B400" s="8" t="s">
        <v>196</v>
      </c>
      <c r="C400" s="8" t="s">
        <v>197</v>
      </c>
      <c r="D400" s="8" t="s">
        <v>198</v>
      </c>
      <c r="E400" s="9" t="s">
        <v>798</v>
      </c>
      <c r="F400" s="8" t="s">
        <v>799</v>
      </c>
      <c r="G400" s="8" t="s">
        <v>84</v>
      </c>
      <c r="H400" s="11" t="s">
        <v>207</v>
      </c>
      <c r="I400" s="11" t="s">
        <v>27</v>
      </c>
      <c r="J400" s="11" t="s">
        <v>28</v>
      </c>
      <c r="K400" s="8" t="s">
        <v>675</v>
      </c>
      <c r="L400" s="13" t="s">
        <v>676</v>
      </c>
      <c r="M400" s="20">
        <v>45384.0</v>
      </c>
      <c r="N400" s="18">
        <v>212.4</v>
      </c>
      <c r="O400" s="22">
        <v>300.0</v>
      </c>
      <c r="P400" s="7"/>
      <c r="Q400" s="7"/>
      <c r="R400" s="7"/>
      <c r="S400" s="17"/>
      <c r="T400" s="10"/>
      <c r="U400" s="10"/>
      <c r="V400" s="10"/>
      <c r="W400" s="10"/>
      <c r="X400" s="10"/>
      <c r="Y400" s="10"/>
      <c r="Z400" s="10"/>
    </row>
    <row r="401" ht="13.5" customHeight="1">
      <c r="A401" s="13" t="s">
        <v>800</v>
      </c>
      <c r="B401" s="8" t="s">
        <v>801</v>
      </c>
      <c r="C401" s="8" t="s">
        <v>68</v>
      </c>
      <c r="D401" s="8" t="s">
        <v>802</v>
      </c>
      <c r="E401" s="9" t="s">
        <v>803</v>
      </c>
      <c r="F401" s="8" t="s">
        <v>804</v>
      </c>
      <c r="G401" s="8" t="s">
        <v>780</v>
      </c>
      <c r="H401" s="11" t="s">
        <v>259</v>
      </c>
      <c r="I401" s="11" t="s">
        <v>27</v>
      </c>
      <c r="J401" s="11" t="s">
        <v>781</v>
      </c>
      <c r="K401" s="8" t="s">
        <v>675</v>
      </c>
      <c r="L401" s="8" t="s">
        <v>676</v>
      </c>
      <c r="M401" s="20">
        <v>45422.0</v>
      </c>
      <c r="N401" s="21">
        <v>2035.0</v>
      </c>
      <c r="O401" s="22">
        <v>2250.0</v>
      </c>
      <c r="P401" s="7"/>
      <c r="Q401" s="7"/>
      <c r="R401" s="7"/>
      <c r="S401" s="17"/>
      <c r="T401" s="10"/>
      <c r="U401" s="10"/>
      <c r="V401" s="10"/>
      <c r="W401" s="10"/>
      <c r="X401" s="10"/>
      <c r="Y401" s="10"/>
      <c r="Z401" s="10"/>
    </row>
    <row r="402" ht="13.5" customHeight="1">
      <c r="A402" s="13" t="s">
        <v>805</v>
      </c>
      <c r="B402" s="8" t="s">
        <v>132</v>
      </c>
      <c r="C402" s="8" t="s">
        <v>68</v>
      </c>
      <c r="D402" s="8" t="s">
        <v>806</v>
      </c>
      <c r="E402" s="9" t="s">
        <v>807</v>
      </c>
      <c r="F402" s="8" t="s">
        <v>808</v>
      </c>
      <c r="G402" s="8" t="s">
        <v>780</v>
      </c>
      <c r="H402" s="11" t="s">
        <v>259</v>
      </c>
      <c r="I402" s="11" t="s">
        <v>27</v>
      </c>
      <c r="J402" s="11" t="s">
        <v>781</v>
      </c>
      <c r="K402" s="8" t="s">
        <v>675</v>
      </c>
      <c r="L402" s="8" t="s">
        <v>676</v>
      </c>
      <c r="M402" s="20">
        <v>45422.0</v>
      </c>
      <c r="N402" s="21">
        <v>250.0</v>
      </c>
      <c r="O402" s="22">
        <v>300.0</v>
      </c>
      <c r="P402" s="7"/>
      <c r="Q402" s="7"/>
      <c r="R402" s="7"/>
      <c r="S402" s="17"/>
      <c r="T402" s="10"/>
      <c r="U402" s="10"/>
      <c r="V402" s="10"/>
      <c r="W402" s="10"/>
      <c r="X402" s="10"/>
      <c r="Y402" s="10"/>
      <c r="Z402" s="10"/>
    </row>
    <row r="403" ht="13.5" customHeight="1">
      <c r="A403" s="13" t="s">
        <v>809</v>
      </c>
      <c r="B403" s="8" t="s">
        <v>34</v>
      </c>
      <c r="C403" s="8" t="s">
        <v>68</v>
      </c>
      <c r="D403" s="8" t="s">
        <v>810</v>
      </c>
      <c r="E403" s="9" t="s">
        <v>811</v>
      </c>
      <c r="F403" s="8" t="s">
        <v>267</v>
      </c>
      <c r="G403" s="8" t="s">
        <v>780</v>
      </c>
      <c r="H403" s="11" t="s">
        <v>259</v>
      </c>
      <c r="I403" s="11" t="s">
        <v>27</v>
      </c>
      <c r="J403" s="11" t="s">
        <v>781</v>
      </c>
      <c r="K403" s="8" t="s">
        <v>675</v>
      </c>
      <c r="L403" s="8" t="s">
        <v>676</v>
      </c>
      <c r="M403" s="20">
        <v>45422.0</v>
      </c>
      <c r="N403" s="21">
        <v>50.0</v>
      </c>
      <c r="O403" s="22">
        <v>50.0</v>
      </c>
      <c r="P403" s="7"/>
      <c r="Q403" s="7"/>
      <c r="R403" s="7"/>
      <c r="S403" s="17"/>
      <c r="T403" s="10"/>
      <c r="U403" s="10"/>
      <c r="V403" s="10"/>
      <c r="W403" s="10"/>
      <c r="X403" s="10"/>
      <c r="Y403" s="10"/>
      <c r="Z403" s="10"/>
    </row>
    <row r="404" ht="13.5" customHeight="1">
      <c r="A404" s="13" t="s">
        <v>812</v>
      </c>
      <c r="B404" s="8" t="s">
        <v>41</v>
      </c>
      <c r="C404" s="8" t="s">
        <v>68</v>
      </c>
      <c r="D404" s="8" t="s">
        <v>813</v>
      </c>
      <c r="E404" s="9" t="s">
        <v>814</v>
      </c>
      <c r="F404" s="8" t="s">
        <v>350</v>
      </c>
      <c r="G404" s="8" t="s">
        <v>780</v>
      </c>
      <c r="H404" s="11" t="s">
        <v>259</v>
      </c>
      <c r="I404" s="11" t="s">
        <v>27</v>
      </c>
      <c r="J404" s="11" t="s">
        <v>781</v>
      </c>
      <c r="K404" s="8" t="s">
        <v>675</v>
      </c>
      <c r="L404" s="8" t="s">
        <v>676</v>
      </c>
      <c r="M404" s="20">
        <v>45422.0</v>
      </c>
      <c r="N404" s="21">
        <v>50.0</v>
      </c>
      <c r="O404" s="22">
        <v>50.0</v>
      </c>
      <c r="P404" s="7"/>
      <c r="Q404" s="7"/>
      <c r="R404" s="7"/>
      <c r="S404" s="17"/>
      <c r="T404" s="10"/>
      <c r="U404" s="10"/>
      <c r="V404" s="10"/>
      <c r="W404" s="10"/>
      <c r="X404" s="10"/>
      <c r="Y404" s="10"/>
      <c r="Z404" s="10"/>
    </row>
    <row r="405" ht="13.5" customHeight="1">
      <c r="A405" s="13" t="s">
        <v>815</v>
      </c>
      <c r="B405" s="8" t="s">
        <v>801</v>
      </c>
      <c r="C405" s="8" t="s">
        <v>68</v>
      </c>
      <c r="D405" s="8" t="s">
        <v>802</v>
      </c>
      <c r="E405" s="9" t="s">
        <v>816</v>
      </c>
      <c r="F405" s="8" t="s">
        <v>804</v>
      </c>
      <c r="G405" s="8" t="s">
        <v>787</v>
      </c>
      <c r="H405" s="11" t="s">
        <v>259</v>
      </c>
      <c r="I405" s="11" t="s">
        <v>27</v>
      </c>
      <c r="J405" s="11" t="s">
        <v>781</v>
      </c>
      <c r="K405" s="8" t="s">
        <v>675</v>
      </c>
      <c r="L405" s="8" t="s">
        <v>676</v>
      </c>
      <c r="M405" s="20">
        <v>45422.0</v>
      </c>
      <c r="N405" s="21">
        <v>2035.0</v>
      </c>
      <c r="O405" s="22">
        <v>2250.0</v>
      </c>
      <c r="P405" s="7"/>
      <c r="Q405" s="7"/>
      <c r="R405" s="7"/>
      <c r="S405" s="17"/>
      <c r="T405" s="10"/>
      <c r="U405" s="10"/>
      <c r="V405" s="10"/>
      <c r="W405" s="10"/>
      <c r="X405" s="10"/>
      <c r="Y405" s="10"/>
      <c r="Z405" s="10"/>
    </row>
    <row r="406" ht="13.5" customHeight="1">
      <c r="A406" s="13" t="s">
        <v>817</v>
      </c>
      <c r="B406" s="8" t="s">
        <v>132</v>
      </c>
      <c r="C406" s="8" t="s">
        <v>68</v>
      </c>
      <c r="D406" s="8" t="s">
        <v>806</v>
      </c>
      <c r="E406" s="9" t="s">
        <v>818</v>
      </c>
      <c r="F406" s="8" t="s">
        <v>808</v>
      </c>
      <c r="G406" s="8" t="s">
        <v>787</v>
      </c>
      <c r="H406" s="11" t="s">
        <v>259</v>
      </c>
      <c r="I406" s="11" t="s">
        <v>27</v>
      </c>
      <c r="J406" s="11" t="s">
        <v>781</v>
      </c>
      <c r="K406" s="8" t="s">
        <v>675</v>
      </c>
      <c r="L406" s="8" t="s">
        <v>676</v>
      </c>
      <c r="M406" s="20">
        <v>45422.0</v>
      </c>
      <c r="N406" s="21">
        <v>250.0</v>
      </c>
      <c r="O406" s="22">
        <v>300.0</v>
      </c>
      <c r="P406" s="7"/>
      <c r="Q406" s="7"/>
      <c r="R406" s="7"/>
      <c r="S406" s="17"/>
      <c r="T406" s="10"/>
      <c r="U406" s="10"/>
      <c r="V406" s="10"/>
      <c r="W406" s="10"/>
      <c r="X406" s="10"/>
      <c r="Y406" s="10"/>
      <c r="Z406" s="10"/>
    </row>
    <row r="407" ht="13.5" customHeight="1">
      <c r="A407" s="13" t="s">
        <v>819</v>
      </c>
      <c r="B407" s="8" t="s">
        <v>34</v>
      </c>
      <c r="C407" s="8" t="s">
        <v>68</v>
      </c>
      <c r="D407" s="8" t="s">
        <v>810</v>
      </c>
      <c r="E407" s="9" t="s">
        <v>820</v>
      </c>
      <c r="F407" s="8" t="s">
        <v>267</v>
      </c>
      <c r="G407" s="8" t="s">
        <v>787</v>
      </c>
      <c r="H407" s="11" t="s">
        <v>259</v>
      </c>
      <c r="I407" s="11" t="s">
        <v>27</v>
      </c>
      <c r="J407" s="11" t="s">
        <v>781</v>
      </c>
      <c r="K407" s="8" t="s">
        <v>675</v>
      </c>
      <c r="L407" s="8" t="s">
        <v>676</v>
      </c>
      <c r="M407" s="20">
        <v>45422.0</v>
      </c>
      <c r="N407" s="21">
        <v>50.0</v>
      </c>
      <c r="O407" s="22">
        <v>50.0</v>
      </c>
      <c r="P407" s="7"/>
      <c r="Q407" s="7"/>
      <c r="R407" s="7"/>
      <c r="S407" s="17"/>
      <c r="T407" s="10"/>
      <c r="U407" s="10"/>
      <c r="V407" s="10"/>
      <c r="W407" s="10"/>
      <c r="X407" s="10"/>
      <c r="Y407" s="10"/>
      <c r="Z407" s="10"/>
    </row>
    <row r="408" ht="13.5" customHeight="1">
      <c r="A408" s="13" t="s">
        <v>821</v>
      </c>
      <c r="B408" s="8" t="s">
        <v>41</v>
      </c>
      <c r="C408" s="8" t="s">
        <v>68</v>
      </c>
      <c r="D408" s="8" t="s">
        <v>813</v>
      </c>
      <c r="E408" s="9" t="s">
        <v>822</v>
      </c>
      <c r="F408" s="8" t="s">
        <v>350</v>
      </c>
      <c r="G408" s="8" t="s">
        <v>787</v>
      </c>
      <c r="H408" s="11" t="s">
        <v>259</v>
      </c>
      <c r="I408" s="11" t="s">
        <v>27</v>
      </c>
      <c r="J408" s="11" t="s">
        <v>781</v>
      </c>
      <c r="K408" s="8" t="s">
        <v>675</v>
      </c>
      <c r="L408" s="8" t="s">
        <v>676</v>
      </c>
      <c r="M408" s="20">
        <v>45422.0</v>
      </c>
      <c r="N408" s="21">
        <v>50.0</v>
      </c>
      <c r="O408" s="22">
        <v>50.0</v>
      </c>
      <c r="P408" s="7"/>
      <c r="Q408" s="7"/>
      <c r="R408" s="7"/>
      <c r="S408" s="17"/>
      <c r="T408" s="10"/>
      <c r="U408" s="10"/>
      <c r="V408" s="10"/>
      <c r="W408" s="10"/>
      <c r="X408" s="10"/>
      <c r="Y408" s="10"/>
      <c r="Z408" s="10"/>
    </row>
    <row r="409" ht="13.5" customHeight="1">
      <c r="A409" s="13" t="s">
        <v>823</v>
      </c>
      <c r="B409" s="8" t="s">
        <v>801</v>
      </c>
      <c r="C409" s="8" t="s">
        <v>68</v>
      </c>
      <c r="D409" s="8" t="s">
        <v>802</v>
      </c>
      <c r="E409" s="9" t="s">
        <v>824</v>
      </c>
      <c r="F409" s="8" t="s">
        <v>804</v>
      </c>
      <c r="G409" s="8" t="s">
        <v>825</v>
      </c>
      <c r="H409" s="11" t="s">
        <v>259</v>
      </c>
      <c r="I409" s="11" t="s">
        <v>27</v>
      </c>
      <c r="J409" s="11" t="s">
        <v>635</v>
      </c>
      <c r="K409" s="8" t="s">
        <v>675</v>
      </c>
      <c r="L409" s="8" t="s">
        <v>676</v>
      </c>
      <c r="M409" s="20">
        <v>45422.0</v>
      </c>
      <c r="N409" s="21">
        <v>2035.0</v>
      </c>
      <c r="O409" s="22">
        <v>2250.0</v>
      </c>
      <c r="P409" s="7"/>
      <c r="Q409" s="7"/>
      <c r="R409" s="7"/>
      <c r="S409" s="17"/>
      <c r="T409" s="10"/>
      <c r="U409" s="10"/>
      <c r="V409" s="10"/>
      <c r="W409" s="10"/>
      <c r="X409" s="10"/>
      <c r="Y409" s="10"/>
      <c r="Z409" s="10"/>
    </row>
    <row r="410" ht="13.5" customHeight="1">
      <c r="A410" s="13" t="s">
        <v>826</v>
      </c>
      <c r="B410" s="8" t="s">
        <v>132</v>
      </c>
      <c r="C410" s="8" t="s">
        <v>68</v>
      </c>
      <c r="D410" s="8" t="s">
        <v>806</v>
      </c>
      <c r="E410" s="9" t="s">
        <v>827</v>
      </c>
      <c r="F410" s="8" t="s">
        <v>808</v>
      </c>
      <c r="G410" s="8" t="s">
        <v>825</v>
      </c>
      <c r="H410" s="11" t="s">
        <v>259</v>
      </c>
      <c r="I410" s="11" t="s">
        <v>27</v>
      </c>
      <c r="J410" s="11" t="s">
        <v>635</v>
      </c>
      <c r="K410" s="8" t="s">
        <v>675</v>
      </c>
      <c r="L410" s="8" t="s">
        <v>676</v>
      </c>
      <c r="M410" s="20">
        <v>45422.0</v>
      </c>
      <c r="N410" s="21">
        <v>250.0</v>
      </c>
      <c r="O410" s="22">
        <v>300.0</v>
      </c>
      <c r="P410" s="7"/>
      <c r="Q410" s="7"/>
      <c r="R410" s="7"/>
      <c r="S410" s="17"/>
      <c r="T410" s="10"/>
      <c r="U410" s="10"/>
      <c r="V410" s="10"/>
      <c r="W410" s="10"/>
      <c r="X410" s="10"/>
      <c r="Y410" s="10"/>
      <c r="Z410" s="10"/>
    </row>
    <row r="411" ht="13.5" customHeight="1">
      <c r="A411" s="13" t="s">
        <v>828</v>
      </c>
      <c r="B411" s="8" t="s">
        <v>34</v>
      </c>
      <c r="C411" s="8" t="s">
        <v>68</v>
      </c>
      <c r="D411" s="8" t="s">
        <v>810</v>
      </c>
      <c r="E411" s="9" t="s">
        <v>829</v>
      </c>
      <c r="F411" s="8" t="s">
        <v>267</v>
      </c>
      <c r="G411" s="8" t="s">
        <v>825</v>
      </c>
      <c r="H411" s="11" t="s">
        <v>259</v>
      </c>
      <c r="I411" s="11" t="s">
        <v>27</v>
      </c>
      <c r="J411" s="11" t="s">
        <v>635</v>
      </c>
      <c r="K411" s="8" t="s">
        <v>675</v>
      </c>
      <c r="L411" s="8" t="s">
        <v>676</v>
      </c>
      <c r="M411" s="20">
        <v>45422.0</v>
      </c>
      <c r="N411" s="21">
        <v>50.0</v>
      </c>
      <c r="O411" s="22">
        <v>50.0</v>
      </c>
      <c r="P411" s="7"/>
      <c r="Q411" s="7"/>
      <c r="R411" s="7"/>
      <c r="S411" s="17"/>
      <c r="T411" s="10"/>
      <c r="U411" s="10"/>
      <c r="V411" s="10"/>
      <c r="W411" s="10"/>
      <c r="X411" s="10"/>
      <c r="Y411" s="10"/>
      <c r="Z411" s="10"/>
    </row>
    <row r="412" ht="13.5" customHeight="1">
      <c r="A412" s="13" t="s">
        <v>830</v>
      </c>
      <c r="B412" s="8" t="s">
        <v>41</v>
      </c>
      <c r="C412" s="8" t="s">
        <v>68</v>
      </c>
      <c r="D412" s="8" t="s">
        <v>813</v>
      </c>
      <c r="E412" s="9" t="s">
        <v>831</v>
      </c>
      <c r="F412" s="8" t="s">
        <v>350</v>
      </c>
      <c r="G412" s="8" t="s">
        <v>825</v>
      </c>
      <c r="H412" s="11" t="s">
        <v>259</v>
      </c>
      <c r="I412" s="11" t="s">
        <v>27</v>
      </c>
      <c r="J412" s="11" t="s">
        <v>635</v>
      </c>
      <c r="K412" s="8" t="s">
        <v>675</v>
      </c>
      <c r="L412" s="8" t="s">
        <v>676</v>
      </c>
      <c r="M412" s="20">
        <v>45422.0</v>
      </c>
      <c r="N412" s="21">
        <v>50.0</v>
      </c>
      <c r="O412" s="22">
        <v>50.0</v>
      </c>
      <c r="P412" s="7"/>
      <c r="Q412" s="7"/>
      <c r="R412" s="7"/>
      <c r="S412" s="17"/>
      <c r="T412" s="10"/>
      <c r="U412" s="10"/>
      <c r="V412" s="10"/>
      <c r="W412" s="10"/>
      <c r="X412" s="10"/>
      <c r="Y412" s="10"/>
      <c r="Z412" s="10"/>
    </row>
    <row r="413" ht="13.5" customHeight="1">
      <c r="A413" s="13" t="s">
        <v>832</v>
      </c>
      <c r="B413" s="8" t="s">
        <v>801</v>
      </c>
      <c r="C413" s="8" t="s">
        <v>68</v>
      </c>
      <c r="D413" s="8" t="s">
        <v>802</v>
      </c>
      <c r="E413" s="9" t="s">
        <v>833</v>
      </c>
      <c r="F413" s="8" t="s">
        <v>804</v>
      </c>
      <c r="G413" s="8" t="s">
        <v>834</v>
      </c>
      <c r="H413" s="11" t="s">
        <v>259</v>
      </c>
      <c r="I413" s="11" t="s">
        <v>27</v>
      </c>
      <c r="J413" s="11" t="s">
        <v>635</v>
      </c>
      <c r="K413" s="8" t="s">
        <v>675</v>
      </c>
      <c r="L413" s="8" t="s">
        <v>676</v>
      </c>
      <c r="M413" s="20">
        <v>45422.0</v>
      </c>
      <c r="N413" s="21">
        <v>2035.0</v>
      </c>
      <c r="O413" s="22">
        <v>2250.0</v>
      </c>
      <c r="P413" s="7"/>
      <c r="Q413" s="7"/>
      <c r="R413" s="7"/>
      <c r="S413" s="17"/>
      <c r="T413" s="10"/>
      <c r="U413" s="10"/>
      <c r="V413" s="10"/>
      <c r="W413" s="10"/>
      <c r="X413" s="10"/>
      <c r="Y413" s="10"/>
      <c r="Z413" s="10"/>
    </row>
    <row r="414" ht="13.5" customHeight="1">
      <c r="A414" s="13" t="s">
        <v>835</v>
      </c>
      <c r="B414" s="8" t="s">
        <v>132</v>
      </c>
      <c r="C414" s="8" t="s">
        <v>68</v>
      </c>
      <c r="D414" s="8" t="s">
        <v>806</v>
      </c>
      <c r="E414" s="9" t="s">
        <v>836</v>
      </c>
      <c r="F414" s="8" t="s">
        <v>808</v>
      </c>
      <c r="G414" s="8" t="s">
        <v>834</v>
      </c>
      <c r="H414" s="11" t="s">
        <v>259</v>
      </c>
      <c r="I414" s="11" t="s">
        <v>27</v>
      </c>
      <c r="J414" s="11" t="s">
        <v>635</v>
      </c>
      <c r="K414" s="8" t="s">
        <v>675</v>
      </c>
      <c r="L414" s="8" t="s">
        <v>676</v>
      </c>
      <c r="M414" s="20">
        <v>45422.0</v>
      </c>
      <c r="N414" s="21">
        <v>250.0</v>
      </c>
      <c r="O414" s="22">
        <v>300.0</v>
      </c>
      <c r="P414" s="7"/>
      <c r="Q414" s="7"/>
      <c r="R414" s="7"/>
      <c r="S414" s="17"/>
      <c r="T414" s="10"/>
      <c r="U414" s="10"/>
      <c r="V414" s="10"/>
      <c r="W414" s="10"/>
      <c r="X414" s="10"/>
      <c r="Y414" s="10"/>
      <c r="Z414" s="10"/>
    </row>
    <row r="415" ht="13.5" customHeight="1">
      <c r="A415" s="13" t="s">
        <v>837</v>
      </c>
      <c r="B415" s="8" t="s">
        <v>34</v>
      </c>
      <c r="C415" s="8" t="s">
        <v>68</v>
      </c>
      <c r="D415" s="8" t="s">
        <v>810</v>
      </c>
      <c r="E415" s="9" t="s">
        <v>838</v>
      </c>
      <c r="F415" s="8" t="s">
        <v>267</v>
      </c>
      <c r="G415" s="8" t="s">
        <v>834</v>
      </c>
      <c r="H415" s="11" t="s">
        <v>259</v>
      </c>
      <c r="I415" s="11" t="s">
        <v>27</v>
      </c>
      <c r="J415" s="11" t="s">
        <v>635</v>
      </c>
      <c r="K415" s="8" t="s">
        <v>675</v>
      </c>
      <c r="L415" s="8" t="s">
        <v>676</v>
      </c>
      <c r="M415" s="20">
        <v>45422.0</v>
      </c>
      <c r="N415" s="21">
        <v>50.0</v>
      </c>
      <c r="O415" s="22">
        <v>50.0</v>
      </c>
      <c r="P415" s="7"/>
      <c r="Q415" s="7"/>
      <c r="R415" s="7"/>
      <c r="S415" s="17"/>
      <c r="T415" s="10"/>
      <c r="U415" s="10"/>
      <c r="V415" s="10"/>
      <c r="W415" s="10"/>
      <c r="X415" s="10"/>
      <c r="Y415" s="10"/>
      <c r="Z415" s="10"/>
    </row>
    <row r="416" ht="13.5" customHeight="1">
      <c r="A416" s="13" t="s">
        <v>839</v>
      </c>
      <c r="B416" s="8" t="s">
        <v>41</v>
      </c>
      <c r="C416" s="8" t="s">
        <v>68</v>
      </c>
      <c r="D416" s="8" t="s">
        <v>813</v>
      </c>
      <c r="E416" s="9" t="s">
        <v>840</v>
      </c>
      <c r="F416" s="8" t="s">
        <v>350</v>
      </c>
      <c r="G416" s="8" t="s">
        <v>834</v>
      </c>
      <c r="H416" s="11" t="s">
        <v>259</v>
      </c>
      <c r="I416" s="11" t="s">
        <v>27</v>
      </c>
      <c r="J416" s="11" t="s">
        <v>635</v>
      </c>
      <c r="K416" s="8" t="s">
        <v>675</v>
      </c>
      <c r="L416" s="8" t="s">
        <v>676</v>
      </c>
      <c r="M416" s="20">
        <v>45422.0</v>
      </c>
      <c r="N416" s="21">
        <v>50.0</v>
      </c>
      <c r="O416" s="22">
        <v>50.0</v>
      </c>
      <c r="P416" s="7"/>
      <c r="Q416" s="7"/>
      <c r="R416" s="7"/>
      <c r="S416" s="17"/>
      <c r="T416" s="10"/>
      <c r="U416" s="10"/>
      <c r="V416" s="10"/>
      <c r="W416" s="10"/>
      <c r="X416" s="10"/>
      <c r="Y416" s="10"/>
      <c r="Z416" s="10"/>
    </row>
    <row r="417" ht="13.5" customHeight="1">
      <c r="A417" s="13" t="s">
        <v>841</v>
      </c>
      <c r="B417" s="8" t="s">
        <v>801</v>
      </c>
      <c r="C417" s="8" t="s">
        <v>68</v>
      </c>
      <c r="D417" s="8" t="s">
        <v>802</v>
      </c>
      <c r="E417" s="9" t="s">
        <v>842</v>
      </c>
      <c r="F417" s="8" t="s">
        <v>804</v>
      </c>
      <c r="G417" s="8" t="s">
        <v>771</v>
      </c>
      <c r="H417" s="11" t="s">
        <v>259</v>
      </c>
      <c r="I417" s="11" t="s">
        <v>27</v>
      </c>
      <c r="J417" s="11" t="s">
        <v>635</v>
      </c>
      <c r="K417" s="8" t="s">
        <v>675</v>
      </c>
      <c r="L417" s="8" t="s">
        <v>676</v>
      </c>
      <c r="M417" s="20">
        <v>45422.0</v>
      </c>
      <c r="N417" s="21">
        <v>2035.0</v>
      </c>
      <c r="O417" s="22">
        <v>2250.0</v>
      </c>
      <c r="P417" s="7"/>
      <c r="Q417" s="7"/>
      <c r="R417" s="7"/>
      <c r="S417" s="17"/>
      <c r="T417" s="10"/>
      <c r="U417" s="10"/>
      <c r="V417" s="10"/>
      <c r="W417" s="10"/>
      <c r="X417" s="10"/>
      <c r="Y417" s="10"/>
      <c r="Z417" s="10"/>
    </row>
    <row r="418" ht="13.5" customHeight="1">
      <c r="A418" s="13" t="s">
        <v>843</v>
      </c>
      <c r="B418" s="8" t="s">
        <v>132</v>
      </c>
      <c r="C418" s="8" t="s">
        <v>68</v>
      </c>
      <c r="D418" s="8" t="s">
        <v>806</v>
      </c>
      <c r="E418" s="9" t="s">
        <v>844</v>
      </c>
      <c r="F418" s="8" t="s">
        <v>808</v>
      </c>
      <c r="G418" s="8" t="s">
        <v>771</v>
      </c>
      <c r="H418" s="11" t="s">
        <v>259</v>
      </c>
      <c r="I418" s="11" t="s">
        <v>27</v>
      </c>
      <c r="J418" s="11" t="s">
        <v>635</v>
      </c>
      <c r="K418" s="8" t="s">
        <v>675</v>
      </c>
      <c r="L418" s="8" t="s">
        <v>676</v>
      </c>
      <c r="M418" s="20">
        <v>45422.0</v>
      </c>
      <c r="N418" s="21">
        <v>250.0</v>
      </c>
      <c r="O418" s="22">
        <v>300.0</v>
      </c>
      <c r="P418" s="7"/>
      <c r="Q418" s="7"/>
      <c r="R418" s="7"/>
      <c r="S418" s="17"/>
      <c r="T418" s="10"/>
      <c r="U418" s="10"/>
      <c r="V418" s="10"/>
      <c r="W418" s="10"/>
      <c r="X418" s="10"/>
      <c r="Y418" s="10"/>
      <c r="Z418" s="10"/>
    </row>
    <row r="419" ht="13.5" customHeight="1">
      <c r="A419" s="13" t="s">
        <v>845</v>
      </c>
      <c r="B419" s="8" t="s">
        <v>34</v>
      </c>
      <c r="C419" s="8" t="s">
        <v>68</v>
      </c>
      <c r="D419" s="8" t="s">
        <v>810</v>
      </c>
      <c r="E419" s="9" t="s">
        <v>846</v>
      </c>
      <c r="F419" s="8" t="s">
        <v>267</v>
      </c>
      <c r="G419" s="8" t="s">
        <v>771</v>
      </c>
      <c r="H419" s="11" t="s">
        <v>259</v>
      </c>
      <c r="I419" s="11" t="s">
        <v>27</v>
      </c>
      <c r="J419" s="11" t="s">
        <v>635</v>
      </c>
      <c r="K419" s="8" t="s">
        <v>675</v>
      </c>
      <c r="L419" s="8" t="s">
        <v>676</v>
      </c>
      <c r="M419" s="20">
        <v>45422.0</v>
      </c>
      <c r="N419" s="21">
        <v>50.0</v>
      </c>
      <c r="O419" s="22">
        <v>50.0</v>
      </c>
      <c r="P419" s="7"/>
      <c r="Q419" s="7"/>
      <c r="R419" s="7"/>
      <c r="S419" s="17"/>
      <c r="T419" s="10"/>
      <c r="U419" s="10"/>
      <c r="V419" s="10"/>
      <c r="W419" s="10"/>
      <c r="X419" s="10"/>
      <c r="Y419" s="10"/>
      <c r="Z419" s="10"/>
    </row>
    <row r="420" ht="13.5" customHeight="1">
      <c r="A420" s="13" t="s">
        <v>847</v>
      </c>
      <c r="B420" s="8" t="s">
        <v>41</v>
      </c>
      <c r="C420" s="8" t="s">
        <v>68</v>
      </c>
      <c r="D420" s="8" t="s">
        <v>813</v>
      </c>
      <c r="E420" s="9" t="s">
        <v>848</v>
      </c>
      <c r="F420" s="8" t="s">
        <v>350</v>
      </c>
      <c r="G420" s="8" t="s">
        <v>771</v>
      </c>
      <c r="H420" s="11" t="s">
        <v>259</v>
      </c>
      <c r="I420" s="11" t="s">
        <v>27</v>
      </c>
      <c r="J420" s="11" t="s">
        <v>635</v>
      </c>
      <c r="K420" s="8" t="s">
        <v>675</v>
      </c>
      <c r="L420" s="8" t="s">
        <v>676</v>
      </c>
      <c r="M420" s="20">
        <v>45422.0</v>
      </c>
      <c r="N420" s="21">
        <v>50.0</v>
      </c>
      <c r="O420" s="22">
        <v>50.0</v>
      </c>
      <c r="P420" s="7"/>
      <c r="Q420" s="7"/>
      <c r="R420" s="7"/>
      <c r="S420" s="17"/>
      <c r="T420" s="10"/>
      <c r="U420" s="10"/>
      <c r="V420" s="10"/>
      <c r="W420" s="10"/>
      <c r="X420" s="10"/>
      <c r="Y420" s="10"/>
      <c r="Z420" s="10"/>
    </row>
    <row r="421" ht="13.5" customHeight="1">
      <c r="A421" s="13" t="s">
        <v>849</v>
      </c>
      <c r="B421" s="8" t="s">
        <v>801</v>
      </c>
      <c r="C421" s="8" t="s">
        <v>68</v>
      </c>
      <c r="D421" s="8" t="s">
        <v>802</v>
      </c>
      <c r="E421" s="9" t="s">
        <v>850</v>
      </c>
      <c r="F421" s="8" t="s">
        <v>804</v>
      </c>
      <c r="G421" s="8" t="s">
        <v>851</v>
      </c>
      <c r="H421" s="11" t="s">
        <v>259</v>
      </c>
      <c r="I421" s="11" t="s">
        <v>27</v>
      </c>
      <c r="J421" s="11" t="s">
        <v>635</v>
      </c>
      <c r="K421" s="8" t="s">
        <v>675</v>
      </c>
      <c r="L421" s="8" t="s">
        <v>676</v>
      </c>
      <c r="M421" s="20">
        <v>45422.0</v>
      </c>
      <c r="N421" s="21">
        <v>2035.0</v>
      </c>
      <c r="O421" s="22">
        <v>2250.0</v>
      </c>
      <c r="P421" s="7"/>
      <c r="Q421" s="7"/>
      <c r="R421" s="7"/>
      <c r="S421" s="17"/>
      <c r="T421" s="10"/>
      <c r="U421" s="10"/>
      <c r="V421" s="10"/>
      <c r="W421" s="10"/>
      <c r="X421" s="10"/>
      <c r="Y421" s="10"/>
      <c r="Z421" s="10"/>
    </row>
    <row r="422" ht="13.5" customHeight="1">
      <c r="A422" s="13" t="s">
        <v>852</v>
      </c>
      <c r="B422" s="8" t="s">
        <v>132</v>
      </c>
      <c r="C422" s="8" t="s">
        <v>68</v>
      </c>
      <c r="D422" s="8" t="s">
        <v>806</v>
      </c>
      <c r="E422" s="9" t="s">
        <v>853</v>
      </c>
      <c r="F422" s="8" t="s">
        <v>808</v>
      </c>
      <c r="G422" s="8" t="s">
        <v>851</v>
      </c>
      <c r="H422" s="11" t="s">
        <v>259</v>
      </c>
      <c r="I422" s="11" t="s">
        <v>27</v>
      </c>
      <c r="J422" s="11" t="s">
        <v>635</v>
      </c>
      <c r="K422" s="8" t="s">
        <v>675</v>
      </c>
      <c r="L422" s="8" t="s">
        <v>676</v>
      </c>
      <c r="M422" s="20">
        <v>45422.0</v>
      </c>
      <c r="N422" s="21">
        <v>250.0</v>
      </c>
      <c r="O422" s="22">
        <v>300.0</v>
      </c>
      <c r="P422" s="7"/>
      <c r="Q422" s="7"/>
      <c r="R422" s="7"/>
      <c r="S422" s="17"/>
      <c r="T422" s="10"/>
      <c r="U422" s="10"/>
      <c r="V422" s="10"/>
      <c r="W422" s="10"/>
      <c r="X422" s="10"/>
      <c r="Y422" s="10"/>
      <c r="Z422" s="10"/>
    </row>
    <row r="423" ht="13.5" customHeight="1">
      <c r="A423" s="13" t="s">
        <v>854</v>
      </c>
      <c r="B423" s="8" t="s">
        <v>34</v>
      </c>
      <c r="C423" s="8" t="s">
        <v>68</v>
      </c>
      <c r="D423" s="8" t="s">
        <v>810</v>
      </c>
      <c r="E423" s="9" t="s">
        <v>855</v>
      </c>
      <c r="F423" s="8" t="s">
        <v>267</v>
      </c>
      <c r="G423" s="8" t="s">
        <v>851</v>
      </c>
      <c r="H423" s="11" t="s">
        <v>259</v>
      </c>
      <c r="I423" s="11" t="s">
        <v>27</v>
      </c>
      <c r="J423" s="11" t="s">
        <v>635</v>
      </c>
      <c r="K423" s="8" t="s">
        <v>675</v>
      </c>
      <c r="L423" s="8" t="s">
        <v>676</v>
      </c>
      <c r="M423" s="20">
        <v>45422.0</v>
      </c>
      <c r="N423" s="21">
        <v>50.0</v>
      </c>
      <c r="O423" s="22">
        <v>50.0</v>
      </c>
      <c r="P423" s="7"/>
      <c r="Q423" s="7"/>
      <c r="R423" s="7"/>
      <c r="S423" s="17"/>
      <c r="T423" s="10"/>
      <c r="U423" s="10"/>
      <c r="V423" s="10"/>
      <c r="W423" s="10"/>
      <c r="X423" s="10"/>
      <c r="Y423" s="10"/>
      <c r="Z423" s="10"/>
    </row>
    <row r="424" ht="13.5" customHeight="1">
      <c r="A424" s="13" t="s">
        <v>856</v>
      </c>
      <c r="B424" s="8" t="s">
        <v>41</v>
      </c>
      <c r="C424" s="8" t="s">
        <v>68</v>
      </c>
      <c r="D424" s="8" t="s">
        <v>813</v>
      </c>
      <c r="E424" s="9" t="s">
        <v>857</v>
      </c>
      <c r="F424" s="8" t="s">
        <v>350</v>
      </c>
      <c r="G424" s="8" t="s">
        <v>851</v>
      </c>
      <c r="H424" s="11" t="s">
        <v>259</v>
      </c>
      <c r="I424" s="11" t="s">
        <v>27</v>
      </c>
      <c r="J424" s="11" t="s">
        <v>635</v>
      </c>
      <c r="K424" s="8" t="s">
        <v>675</v>
      </c>
      <c r="L424" s="8" t="s">
        <v>676</v>
      </c>
      <c r="M424" s="20">
        <v>45422.0</v>
      </c>
      <c r="N424" s="21">
        <v>50.0</v>
      </c>
      <c r="O424" s="22">
        <v>50.0</v>
      </c>
      <c r="P424" s="7"/>
      <c r="Q424" s="7"/>
      <c r="R424" s="7"/>
      <c r="S424" s="17"/>
      <c r="T424" s="10"/>
      <c r="U424" s="10"/>
      <c r="V424" s="10"/>
      <c r="W424" s="10"/>
      <c r="X424" s="10"/>
      <c r="Y424" s="10"/>
      <c r="Z424" s="10"/>
    </row>
    <row r="425" ht="13.5" customHeight="1">
      <c r="A425" s="13" t="s">
        <v>858</v>
      </c>
      <c r="B425" s="8" t="s">
        <v>98</v>
      </c>
      <c r="C425" s="8" t="s">
        <v>99</v>
      </c>
      <c r="D425" s="8" t="s">
        <v>859</v>
      </c>
      <c r="E425" s="9" t="s">
        <v>860</v>
      </c>
      <c r="F425" s="8" t="s">
        <v>861</v>
      </c>
      <c r="G425" s="8" t="s">
        <v>708</v>
      </c>
      <c r="H425" s="11" t="s">
        <v>670</v>
      </c>
      <c r="I425" s="11" t="s">
        <v>260</v>
      </c>
      <c r="J425" s="11" t="s">
        <v>261</v>
      </c>
      <c r="K425" s="8" t="s">
        <v>675</v>
      </c>
      <c r="L425" s="8" t="s">
        <v>719</v>
      </c>
      <c r="M425" s="20">
        <v>45434.0</v>
      </c>
      <c r="N425" s="21">
        <v>445.0</v>
      </c>
      <c r="O425" s="22">
        <v>445.0</v>
      </c>
      <c r="P425" s="8" t="s">
        <v>709</v>
      </c>
      <c r="Q425" s="7"/>
      <c r="R425" s="8">
        <v>4.0</v>
      </c>
      <c r="S425" s="20">
        <v>45447.0</v>
      </c>
      <c r="T425" s="10"/>
      <c r="U425" s="10"/>
      <c r="V425" s="10"/>
      <c r="W425" s="10"/>
      <c r="X425" s="10"/>
      <c r="Y425" s="10"/>
      <c r="Z425" s="10"/>
    </row>
    <row r="426" ht="13.5" customHeight="1">
      <c r="A426" s="13" t="s">
        <v>862</v>
      </c>
      <c r="B426" s="8" t="s">
        <v>98</v>
      </c>
      <c r="C426" s="8" t="s">
        <v>99</v>
      </c>
      <c r="D426" s="8" t="s">
        <v>859</v>
      </c>
      <c r="E426" s="9" t="s">
        <v>863</v>
      </c>
      <c r="F426" s="8" t="s">
        <v>861</v>
      </c>
      <c r="G426" s="8" t="s">
        <v>864</v>
      </c>
      <c r="H426" s="11" t="s">
        <v>670</v>
      </c>
      <c r="I426" s="11" t="s">
        <v>27</v>
      </c>
      <c r="J426" s="11" t="s">
        <v>865</v>
      </c>
      <c r="K426" s="8" t="s">
        <v>675</v>
      </c>
      <c r="L426" s="8" t="s">
        <v>676</v>
      </c>
      <c r="M426" s="20">
        <v>45434.0</v>
      </c>
      <c r="N426" s="21">
        <v>445.0</v>
      </c>
      <c r="O426" s="22">
        <v>445.0</v>
      </c>
      <c r="P426" s="7"/>
      <c r="Q426" s="7"/>
      <c r="R426" s="8">
        <v>4.0</v>
      </c>
      <c r="S426" s="20">
        <v>45457.0</v>
      </c>
      <c r="T426" s="10"/>
      <c r="U426" s="10"/>
      <c r="V426" s="10"/>
      <c r="W426" s="10"/>
      <c r="X426" s="10"/>
      <c r="Y426" s="10"/>
      <c r="Z426" s="10"/>
    </row>
    <row r="427" ht="13.5" customHeight="1">
      <c r="A427" s="13" t="s">
        <v>866</v>
      </c>
      <c r="B427" s="8" t="s">
        <v>98</v>
      </c>
      <c r="C427" s="8" t="s">
        <v>99</v>
      </c>
      <c r="D427" s="8" t="s">
        <v>859</v>
      </c>
      <c r="E427" s="9" t="s">
        <v>867</v>
      </c>
      <c r="F427" s="8" t="s">
        <v>861</v>
      </c>
      <c r="G427" s="8" t="s">
        <v>868</v>
      </c>
      <c r="H427" s="11" t="s">
        <v>259</v>
      </c>
      <c r="I427" s="11" t="s">
        <v>27</v>
      </c>
      <c r="J427" s="11" t="s">
        <v>635</v>
      </c>
      <c r="K427" s="8" t="s">
        <v>675</v>
      </c>
      <c r="L427" s="8" t="s">
        <v>676</v>
      </c>
      <c r="M427" s="20">
        <v>45434.0</v>
      </c>
      <c r="N427" s="21">
        <v>445.0</v>
      </c>
      <c r="O427" s="22">
        <v>445.0</v>
      </c>
      <c r="P427" s="7"/>
      <c r="Q427" s="7"/>
      <c r="R427" s="7"/>
      <c r="S427" s="17"/>
      <c r="T427" s="10"/>
      <c r="U427" s="10"/>
      <c r="V427" s="10"/>
      <c r="W427" s="10"/>
      <c r="X427" s="10"/>
      <c r="Y427" s="10"/>
      <c r="Z427" s="10"/>
    </row>
    <row r="428" ht="13.5" customHeight="1">
      <c r="A428" s="13" t="s">
        <v>869</v>
      </c>
      <c r="B428" s="8" t="s">
        <v>41</v>
      </c>
      <c r="C428" s="8" t="s">
        <v>870</v>
      </c>
      <c r="D428" s="8" t="s">
        <v>871</v>
      </c>
      <c r="E428" s="9" t="s">
        <v>872</v>
      </c>
      <c r="F428" s="8" t="s">
        <v>873</v>
      </c>
      <c r="G428" s="8" t="s">
        <v>735</v>
      </c>
      <c r="H428" s="11" t="s">
        <v>670</v>
      </c>
      <c r="I428" s="11" t="s">
        <v>260</v>
      </c>
      <c r="J428" s="11" t="s">
        <v>555</v>
      </c>
      <c r="K428" s="8" t="s">
        <v>675</v>
      </c>
      <c r="L428" s="8" t="s">
        <v>719</v>
      </c>
      <c r="M428" s="20">
        <v>45434.0</v>
      </c>
      <c r="N428" s="21">
        <v>0.0</v>
      </c>
      <c r="O428" s="22">
        <v>30.0</v>
      </c>
      <c r="P428" s="8"/>
      <c r="Q428" s="7"/>
      <c r="R428" s="8">
        <v>4.0</v>
      </c>
      <c r="S428" s="17"/>
      <c r="T428" s="10"/>
      <c r="U428" s="10"/>
      <c r="V428" s="10"/>
      <c r="W428" s="10"/>
      <c r="X428" s="10"/>
      <c r="Y428" s="10"/>
      <c r="Z428" s="10"/>
    </row>
    <row r="429" ht="13.5" customHeight="1">
      <c r="A429" s="13" t="s">
        <v>874</v>
      </c>
      <c r="B429" s="8" t="s">
        <v>34</v>
      </c>
      <c r="C429" s="8" t="s">
        <v>870</v>
      </c>
      <c r="D429" s="8" t="s">
        <v>875</v>
      </c>
      <c r="E429" s="9" t="s">
        <v>872</v>
      </c>
      <c r="F429" s="8" t="s">
        <v>873</v>
      </c>
      <c r="G429" s="8" t="s">
        <v>735</v>
      </c>
      <c r="H429" s="11" t="s">
        <v>670</v>
      </c>
      <c r="I429" s="11" t="s">
        <v>260</v>
      </c>
      <c r="J429" s="11" t="s">
        <v>555</v>
      </c>
      <c r="K429" s="8" t="s">
        <v>675</v>
      </c>
      <c r="L429" s="8" t="s">
        <v>719</v>
      </c>
      <c r="M429" s="20">
        <v>45434.0</v>
      </c>
      <c r="N429" s="21">
        <v>0.0</v>
      </c>
      <c r="O429" s="22">
        <v>30.0</v>
      </c>
      <c r="P429" s="7"/>
      <c r="Q429" s="7"/>
      <c r="R429" s="7"/>
      <c r="S429" s="17"/>
      <c r="T429" s="10"/>
      <c r="U429" s="10"/>
      <c r="V429" s="10"/>
      <c r="W429" s="10"/>
      <c r="X429" s="10"/>
      <c r="Y429" s="10"/>
      <c r="Z429" s="10"/>
    </row>
    <row r="430" ht="13.5" customHeight="1">
      <c r="A430" s="24" t="s">
        <v>876</v>
      </c>
      <c r="B430" s="25" t="s">
        <v>41</v>
      </c>
      <c r="C430" s="25" t="s">
        <v>870</v>
      </c>
      <c r="D430" s="25" t="s">
        <v>871</v>
      </c>
      <c r="E430" s="26" t="s">
        <v>877</v>
      </c>
      <c r="F430" s="25" t="s">
        <v>873</v>
      </c>
      <c r="G430" s="25" t="s">
        <v>878</v>
      </c>
      <c r="H430" s="27" t="s">
        <v>259</v>
      </c>
      <c r="I430" s="27" t="s">
        <v>260</v>
      </c>
      <c r="J430" s="27" t="s">
        <v>294</v>
      </c>
      <c r="K430" s="25" t="s">
        <v>675</v>
      </c>
      <c r="L430" s="25" t="s">
        <v>676</v>
      </c>
      <c r="M430" s="28">
        <v>45434.0</v>
      </c>
      <c r="N430" s="29">
        <v>0.0</v>
      </c>
      <c r="O430" s="30">
        <v>30.0</v>
      </c>
      <c r="P430" s="25"/>
      <c r="Q430" s="31"/>
      <c r="R430" s="25">
        <v>4.0</v>
      </c>
      <c r="S430" s="32"/>
      <c r="T430" s="10"/>
      <c r="U430" s="10"/>
      <c r="V430" s="10"/>
      <c r="W430" s="10"/>
      <c r="X430" s="10"/>
      <c r="Y430" s="10"/>
      <c r="Z430" s="10"/>
    </row>
    <row r="431" ht="13.5" customHeight="1">
      <c r="A431" s="24" t="s">
        <v>879</v>
      </c>
      <c r="B431" s="25" t="s">
        <v>34</v>
      </c>
      <c r="C431" s="25" t="s">
        <v>870</v>
      </c>
      <c r="D431" s="25" t="s">
        <v>875</v>
      </c>
      <c r="E431" s="26" t="s">
        <v>877</v>
      </c>
      <c r="F431" s="25" t="s">
        <v>873</v>
      </c>
      <c r="G431" s="25" t="s">
        <v>878</v>
      </c>
      <c r="H431" s="27" t="s">
        <v>259</v>
      </c>
      <c r="I431" s="27" t="s">
        <v>260</v>
      </c>
      <c r="J431" s="27" t="s">
        <v>294</v>
      </c>
      <c r="K431" s="25" t="s">
        <v>675</v>
      </c>
      <c r="L431" s="25" t="s">
        <v>676</v>
      </c>
      <c r="M431" s="28">
        <v>45434.0</v>
      </c>
      <c r="N431" s="29">
        <v>0.0</v>
      </c>
      <c r="O431" s="30">
        <v>30.0</v>
      </c>
      <c r="P431" s="31"/>
      <c r="Q431" s="31"/>
      <c r="R431" s="31"/>
      <c r="S431" s="32"/>
      <c r="T431" s="10"/>
      <c r="U431" s="10"/>
      <c r="V431" s="10"/>
      <c r="W431" s="10"/>
      <c r="X431" s="10"/>
      <c r="Y431" s="10"/>
      <c r="Z431" s="10"/>
    </row>
    <row r="432" ht="13.5" customHeight="1">
      <c r="A432" s="13" t="s">
        <v>880</v>
      </c>
      <c r="B432" s="8" t="s">
        <v>41</v>
      </c>
      <c r="C432" s="8" t="s">
        <v>870</v>
      </c>
      <c r="D432" s="8" t="s">
        <v>871</v>
      </c>
      <c r="E432" s="9" t="s">
        <v>881</v>
      </c>
      <c r="F432" s="8" t="s">
        <v>873</v>
      </c>
      <c r="G432" s="8" t="s">
        <v>882</v>
      </c>
      <c r="H432" s="11" t="s">
        <v>670</v>
      </c>
      <c r="I432" s="11" t="s">
        <v>883</v>
      </c>
      <c r="J432" s="11" t="s">
        <v>884</v>
      </c>
      <c r="K432" s="8" t="s">
        <v>675</v>
      </c>
      <c r="L432" s="8" t="s">
        <v>676</v>
      </c>
      <c r="M432" s="20">
        <v>45434.0</v>
      </c>
      <c r="N432" s="21">
        <v>0.0</v>
      </c>
      <c r="O432" s="19">
        <v>30.0</v>
      </c>
      <c r="P432" s="7"/>
      <c r="Q432" s="7"/>
      <c r="R432" s="7">
        <v>4.0</v>
      </c>
      <c r="S432" s="17"/>
      <c r="T432" s="10"/>
      <c r="U432" s="10"/>
      <c r="V432" s="10"/>
      <c r="W432" s="10"/>
      <c r="X432" s="10"/>
      <c r="Y432" s="10"/>
      <c r="Z432" s="10"/>
    </row>
    <row r="433" ht="13.5" customHeight="1">
      <c r="A433" s="13" t="s">
        <v>885</v>
      </c>
      <c r="B433" s="8" t="s">
        <v>34</v>
      </c>
      <c r="C433" s="8" t="s">
        <v>870</v>
      </c>
      <c r="D433" s="8" t="s">
        <v>875</v>
      </c>
      <c r="E433" s="9" t="s">
        <v>881</v>
      </c>
      <c r="F433" s="8" t="s">
        <v>873</v>
      </c>
      <c r="G433" s="8" t="s">
        <v>882</v>
      </c>
      <c r="H433" s="11" t="s">
        <v>670</v>
      </c>
      <c r="I433" s="11" t="s">
        <v>883</v>
      </c>
      <c r="J433" s="11" t="s">
        <v>884</v>
      </c>
      <c r="K433" s="8" t="s">
        <v>675</v>
      </c>
      <c r="L433" s="8" t="s">
        <v>676</v>
      </c>
      <c r="M433" s="20">
        <v>45434.0</v>
      </c>
      <c r="N433" s="21">
        <v>0.0</v>
      </c>
      <c r="O433" s="22">
        <v>30.0</v>
      </c>
      <c r="P433" s="7"/>
      <c r="Q433" s="7"/>
      <c r="R433" s="7"/>
      <c r="S433" s="17"/>
      <c r="T433" s="10"/>
      <c r="U433" s="10"/>
      <c r="V433" s="10"/>
      <c r="W433" s="10"/>
      <c r="X433" s="10"/>
      <c r="Y433" s="10"/>
      <c r="Z433" s="10"/>
    </row>
    <row r="434" ht="13.5" customHeight="1">
      <c r="A434" s="13" t="s">
        <v>886</v>
      </c>
      <c r="B434" s="8" t="s">
        <v>93</v>
      </c>
      <c r="C434" s="8" t="s">
        <v>86</v>
      </c>
      <c r="D434" s="8" t="s">
        <v>887</v>
      </c>
      <c r="E434" s="9" t="s">
        <v>888</v>
      </c>
      <c r="F434" s="8" t="s">
        <v>889</v>
      </c>
      <c r="G434" s="8" t="s">
        <v>84</v>
      </c>
      <c r="H434" s="11" t="s">
        <v>103</v>
      </c>
      <c r="I434" s="11" t="s">
        <v>260</v>
      </c>
      <c r="J434" s="11" t="s">
        <v>667</v>
      </c>
      <c r="K434" s="8" t="s">
        <v>675</v>
      </c>
      <c r="L434" s="8" t="s">
        <v>676</v>
      </c>
      <c r="M434" s="20">
        <v>45440.0</v>
      </c>
      <c r="N434" s="21">
        <v>415.5</v>
      </c>
      <c r="O434" s="22">
        <v>450.0</v>
      </c>
      <c r="P434" s="7"/>
      <c r="Q434" s="7"/>
      <c r="R434" s="7"/>
      <c r="S434" s="17"/>
      <c r="T434" s="10"/>
      <c r="U434" s="10"/>
      <c r="V434" s="10"/>
      <c r="W434" s="10"/>
      <c r="X434" s="10"/>
      <c r="Y434" s="10"/>
      <c r="Z434" s="10"/>
    </row>
    <row r="435" ht="13.5" customHeight="1">
      <c r="A435" s="13" t="s">
        <v>890</v>
      </c>
      <c r="B435" s="8" t="s">
        <v>85</v>
      </c>
      <c r="C435" s="8" t="s">
        <v>86</v>
      </c>
      <c r="D435" s="8" t="s">
        <v>891</v>
      </c>
      <c r="E435" s="9" t="s">
        <v>892</v>
      </c>
      <c r="F435" s="8" t="s">
        <v>893</v>
      </c>
      <c r="G435" s="8" t="s">
        <v>84</v>
      </c>
      <c r="H435" s="11" t="s">
        <v>103</v>
      </c>
      <c r="I435" s="11" t="s">
        <v>260</v>
      </c>
      <c r="J435" s="11" t="s">
        <v>667</v>
      </c>
      <c r="K435" s="8" t="s">
        <v>675</v>
      </c>
      <c r="L435" s="8" t="s">
        <v>676</v>
      </c>
      <c r="M435" s="20">
        <v>45440.0</v>
      </c>
      <c r="N435" s="21">
        <v>189.3</v>
      </c>
      <c r="O435" s="22">
        <v>210.0</v>
      </c>
      <c r="P435" s="7"/>
      <c r="Q435" s="7"/>
      <c r="R435" s="7"/>
      <c r="S435" s="17"/>
      <c r="T435" s="10"/>
      <c r="U435" s="10"/>
      <c r="V435" s="10"/>
      <c r="W435" s="10"/>
      <c r="X435" s="10"/>
      <c r="Y435" s="10"/>
      <c r="Z435" s="10"/>
    </row>
    <row r="436" ht="13.5" customHeight="1">
      <c r="A436" s="13" t="s">
        <v>894</v>
      </c>
      <c r="B436" s="8" t="s">
        <v>85</v>
      </c>
      <c r="C436" s="8" t="s">
        <v>86</v>
      </c>
      <c r="D436" s="8" t="s">
        <v>891</v>
      </c>
      <c r="E436" s="9" t="s">
        <v>895</v>
      </c>
      <c r="F436" s="8" t="s">
        <v>893</v>
      </c>
      <c r="G436" s="8" t="s">
        <v>84</v>
      </c>
      <c r="H436" s="11" t="s">
        <v>103</v>
      </c>
      <c r="I436" s="11" t="s">
        <v>260</v>
      </c>
      <c r="J436" s="11" t="s">
        <v>667</v>
      </c>
      <c r="K436" s="8" t="s">
        <v>675</v>
      </c>
      <c r="L436" s="8" t="s">
        <v>676</v>
      </c>
      <c r="M436" s="20">
        <v>45440.0</v>
      </c>
      <c r="N436" s="21">
        <v>189.3</v>
      </c>
      <c r="O436" s="22">
        <v>210.0</v>
      </c>
      <c r="P436" s="7"/>
      <c r="Q436" s="7"/>
      <c r="R436" s="7"/>
      <c r="S436" s="17"/>
      <c r="T436" s="10"/>
      <c r="U436" s="10"/>
      <c r="V436" s="10"/>
      <c r="W436" s="10"/>
      <c r="X436" s="10"/>
      <c r="Y436" s="10"/>
      <c r="Z436" s="10"/>
    </row>
    <row r="437" ht="13.5" customHeight="1">
      <c r="A437" s="13" t="s">
        <v>896</v>
      </c>
      <c r="B437" s="8" t="s">
        <v>85</v>
      </c>
      <c r="C437" s="8" t="s">
        <v>86</v>
      </c>
      <c r="D437" s="8" t="s">
        <v>891</v>
      </c>
      <c r="E437" s="9" t="s">
        <v>897</v>
      </c>
      <c r="F437" s="8" t="s">
        <v>893</v>
      </c>
      <c r="G437" s="8" t="s">
        <v>84</v>
      </c>
      <c r="H437" s="11" t="s">
        <v>103</v>
      </c>
      <c r="I437" s="11" t="s">
        <v>260</v>
      </c>
      <c r="J437" s="11" t="s">
        <v>667</v>
      </c>
      <c r="K437" s="8" t="s">
        <v>675</v>
      </c>
      <c r="L437" s="8" t="s">
        <v>676</v>
      </c>
      <c r="M437" s="20">
        <v>45440.0</v>
      </c>
      <c r="N437" s="21">
        <v>189.3</v>
      </c>
      <c r="O437" s="22">
        <v>210.0</v>
      </c>
      <c r="P437" s="7"/>
      <c r="Q437" s="7"/>
      <c r="R437" s="7"/>
      <c r="S437" s="17"/>
      <c r="T437" s="10"/>
      <c r="U437" s="10"/>
      <c r="V437" s="10"/>
      <c r="W437" s="10"/>
      <c r="X437" s="10"/>
      <c r="Y437" s="10"/>
      <c r="Z437" s="10"/>
    </row>
    <row r="438" ht="13.5" customHeight="1">
      <c r="A438" s="13" t="s">
        <v>898</v>
      </c>
      <c r="B438" s="8" t="s">
        <v>290</v>
      </c>
      <c r="C438" s="8" t="s">
        <v>291</v>
      </c>
      <c r="D438" s="8" t="s">
        <v>292</v>
      </c>
      <c r="E438" s="9" t="s">
        <v>899</v>
      </c>
      <c r="F438" s="8" t="s">
        <v>293</v>
      </c>
      <c r="G438" s="8" t="s">
        <v>361</v>
      </c>
      <c r="H438" s="8" t="s">
        <v>259</v>
      </c>
      <c r="I438" s="8" t="s">
        <v>91</v>
      </c>
      <c r="J438" s="8" t="s">
        <v>275</v>
      </c>
      <c r="K438" s="8" t="s">
        <v>675</v>
      </c>
      <c r="L438" s="8" t="s">
        <v>676</v>
      </c>
      <c r="M438" s="20">
        <v>45476.0</v>
      </c>
      <c r="N438" s="21">
        <v>140.0</v>
      </c>
      <c r="O438" s="22">
        <v>170.0</v>
      </c>
      <c r="P438" s="7"/>
      <c r="Q438" s="7"/>
      <c r="R438" s="7"/>
      <c r="S438" s="17"/>
      <c r="T438" s="10"/>
      <c r="U438" s="10"/>
      <c r="V438" s="10"/>
      <c r="W438" s="10"/>
      <c r="X438" s="10"/>
      <c r="Y438" s="10"/>
      <c r="Z438" s="10"/>
    </row>
    <row r="439" ht="13.5" customHeight="1">
      <c r="A439" s="13" t="s">
        <v>900</v>
      </c>
      <c r="B439" s="8" t="s">
        <v>290</v>
      </c>
      <c r="C439" s="8" t="s">
        <v>291</v>
      </c>
      <c r="D439" s="8" t="s">
        <v>292</v>
      </c>
      <c r="E439" s="9" t="s">
        <v>901</v>
      </c>
      <c r="F439" s="8" t="s">
        <v>293</v>
      </c>
      <c r="G439" s="8" t="s">
        <v>329</v>
      </c>
      <c r="H439" s="8" t="s">
        <v>259</v>
      </c>
      <c r="I439" s="8" t="s">
        <v>91</v>
      </c>
      <c r="J439" s="8" t="s">
        <v>275</v>
      </c>
      <c r="K439" s="8" t="s">
        <v>675</v>
      </c>
      <c r="L439" s="8" t="s">
        <v>676</v>
      </c>
      <c r="M439" s="20">
        <v>45476.0</v>
      </c>
      <c r="N439" s="21">
        <v>140.0</v>
      </c>
      <c r="O439" s="22">
        <v>170.0</v>
      </c>
      <c r="P439" s="7"/>
      <c r="Q439" s="7"/>
      <c r="R439" s="7"/>
      <c r="S439" s="17"/>
      <c r="T439" s="10"/>
      <c r="U439" s="10"/>
      <c r="V439" s="10"/>
      <c r="W439" s="10"/>
      <c r="X439" s="10"/>
      <c r="Y439" s="10"/>
      <c r="Z439" s="10"/>
    </row>
    <row r="440" ht="13.5" customHeight="1">
      <c r="A440" s="13" t="s">
        <v>902</v>
      </c>
      <c r="B440" s="8" t="s">
        <v>290</v>
      </c>
      <c r="C440" s="8" t="s">
        <v>291</v>
      </c>
      <c r="D440" s="8" t="s">
        <v>292</v>
      </c>
      <c r="E440" s="9" t="s">
        <v>903</v>
      </c>
      <c r="F440" s="8" t="s">
        <v>293</v>
      </c>
      <c r="G440" s="8" t="s">
        <v>343</v>
      </c>
      <c r="H440" s="8" t="s">
        <v>259</v>
      </c>
      <c r="I440" s="8" t="s">
        <v>91</v>
      </c>
      <c r="J440" s="8" t="s">
        <v>275</v>
      </c>
      <c r="K440" s="8" t="s">
        <v>675</v>
      </c>
      <c r="L440" s="8" t="s">
        <v>676</v>
      </c>
      <c r="M440" s="20">
        <v>45476.0</v>
      </c>
      <c r="N440" s="21">
        <v>140.0</v>
      </c>
      <c r="O440" s="22">
        <v>170.0</v>
      </c>
      <c r="P440" s="7"/>
      <c r="Q440" s="7"/>
      <c r="R440" s="7"/>
      <c r="S440" s="17"/>
      <c r="T440" s="10"/>
      <c r="U440" s="10"/>
      <c r="V440" s="10"/>
      <c r="W440" s="10"/>
      <c r="X440" s="10"/>
      <c r="Y440" s="10"/>
      <c r="Z440" s="10"/>
    </row>
    <row r="441" ht="13.5" customHeight="1">
      <c r="A441" s="13" t="s">
        <v>904</v>
      </c>
      <c r="B441" s="8" t="s">
        <v>290</v>
      </c>
      <c r="C441" s="8" t="s">
        <v>291</v>
      </c>
      <c r="D441" s="8" t="s">
        <v>292</v>
      </c>
      <c r="E441" s="9" t="s">
        <v>905</v>
      </c>
      <c r="F441" s="8" t="s">
        <v>293</v>
      </c>
      <c r="G441" s="8" t="s">
        <v>388</v>
      </c>
      <c r="H441" s="8" t="s">
        <v>259</v>
      </c>
      <c r="I441" s="8" t="s">
        <v>91</v>
      </c>
      <c r="J441" s="8" t="s">
        <v>275</v>
      </c>
      <c r="K441" s="8" t="s">
        <v>675</v>
      </c>
      <c r="L441" s="8" t="s">
        <v>676</v>
      </c>
      <c r="M441" s="20">
        <v>45476.0</v>
      </c>
      <c r="N441" s="21">
        <v>140.0</v>
      </c>
      <c r="O441" s="22">
        <v>170.0</v>
      </c>
      <c r="P441" s="7"/>
      <c r="Q441" s="7"/>
      <c r="R441" s="7"/>
      <c r="S441" s="17"/>
      <c r="T441" s="10"/>
      <c r="U441" s="10"/>
      <c r="V441" s="10"/>
      <c r="W441" s="10"/>
      <c r="X441" s="10"/>
      <c r="Y441" s="10"/>
      <c r="Z441" s="10"/>
    </row>
    <row r="442" ht="13.5" customHeight="1">
      <c r="A442" s="13" t="s">
        <v>906</v>
      </c>
      <c r="B442" s="8" t="s">
        <v>290</v>
      </c>
      <c r="C442" s="8" t="s">
        <v>291</v>
      </c>
      <c r="D442" s="8" t="s">
        <v>292</v>
      </c>
      <c r="E442" s="9" t="s">
        <v>907</v>
      </c>
      <c r="F442" s="8" t="s">
        <v>293</v>
      </c>
      <c r="G442" s="8" t="s">
        <v>294</v>
      </c>
      <c r="H442" s="8" t="s">
        <v>670</v>
      </c>
      <c r="I442" s="8" t="s">
        <v>27</v>
      </c>
      <c r="J442" s="8" t="s">
        <v>684</v>
      </c>
      <c r="K442" s="8" t="s">
        <v>675</v>
      </c>
      <c r="L442" s="8" t="s">
        <v>676</v>
      </c>
      <c r="M442" s="20">
        <v>45476.0</v>
      </c>
      <c r="N442" s="21">
        <v>140.0</v>
      </c>
      <c r="O442" s="22">
        <v>170.0</v>
      </c>
      <c r="P442" s="7"/>
      <c r="Q442" s="7"/>
      <c r="R442" s="7"/>
      <c r="S442" s="17"/>
      <c r="T442" s="10"/>
      <c r="U442" s="10"/>
      <c r="V442" s="10"/>
      <c r="W442" s="10"/>
      <c r="X442" s="10"/>
      <c r="Y442" s="10"/>
      <c r="Z442" s="10"/>
    </row>
    <row r="443" ht="13.5" customHeight="1">
      <c r="A443" s="13" t="s">
        <v>908</v>
      </c>
      <c r="B443" s="8" t="s">
        <v>290</v>
      </c>
      <c r="C443" s="8" t="s">
        <v>291</v>
      </c>
      <c r="D443" s="8" t="s">
        <v>292</v>
      </c>
      <c r="E443" s="9" t="s">
        <v>909</v>
      </c>
      <c r="F443" s="8" t="s">
        <v>293</v>
      </c>
      <c r="G443" s="8" t="s">
        <v>910</v>
      </c>
      <c r="H443" s="8" t="s">
        <v>259</v>
      </c>
      <c r="I443" s="8" t="s">
        <v>91</v>
      </c>
      <c r="J443" s="8" t="s">
        <v>275</v>
      </c>
      <c r="K443" s="8" t="s">
        <v>675</v>
      </c>
      <c r="L443" s="8" t="s">
        <v>676</v>
      </c>
      <c r="M443" s="20">
        <v>45476.0</v>
      </c>
      <c r="N443" s="21">
        <v>140.0</v>
      </c>
      <c r="O443" s="22">
        <v>170.0</v>
      </c>
      <c r="P443" s="7"/>
      <c r="Q443" s="7"/>
      <c r="R443" s="7"/>
      <c r="S443" s="17"/>
      <c r="T443" s="10"/>
      <c r="U443" s="10"/>
      <c r="V443" s="10"/>
      <c r="W443" s="10"/>
      <c r="X443" s="10"/>
      <c r="Y443" s="10"/>
      <c r="Z443" s="10"/>
    </row>
    <row r="444" ht="13.5" customHeight="1">
      <c r="A444" s="13" t="s">
        <v>911</v>
      </c>
      <c r="B444" s="8" t="s">
        <v>290</v>
      </c>
      <c r="C444" s="8" t="s">
        <v>291</v>
      </c>
      <c r="D444" s="8" t="s">
        <v>292</v>
      </c>
      <c r="E444" s="9" t="s">
        <v>912</v>
      </c>
      <c r="F444" s="8" t="s">
        <v>293</v>
      </c>
      <c r="G444" s="8" t="s">
        <v>274</v>
      </c>
      <c r="H444" s="8" t="s">
        <v>259</v>
      </c>
      <c r="I444" s="8" t="s">
        <v>91</v>
      </c>
      <c r="J444" s="8" t="s">
        <v>275</v>
      </c>
      <c r="K444" s="8" t="s">
        <v>675</v>
      </c>
      <c r="L444" s="8" t="s">
        <v>676</v>
      </c>
      <c r="M444" s="20">
        <v>45476.0</v>
      </c>
      <c r="N444" s="21">
        <v>140.0</v>
      </c>
      <c r="O444" s="22">
        <v>170.0</v>
      </c>
      <c r="P444" s="7"/>
      <c r="Q444" s="7"/>
      <c r="R444" s="7"/>
      <c r="S444" s="17"/>
      <c r="T444" s="10"/>
      <c r="U444" s="10"/>
      <c r="V444" s="10"/>
      <c r="W444" s="10"/>
      <c r="X444" s="10"/>
      <c r="Y444" s="10"/>
      <c r="Z444" s="10"/>
    </row>
    <row r="445" ht="13.5" customHeight="1">
      <c r="A445" s="13" t="s">
        <v>913</v>
      </c>
      <c r="B445" s="8" t="s">
        <v>290</v>
      </c>
      <c r="C445" s="8" t="s">
        <v>291</v>
      </c>
      <c r="D445" s="8" t="s">
        <v>292</v>
      </c>
      <c r="E445" s="9" t="s">
        <v>914</v>
      </c>
      <c r="F445" s="8" t="s">
        <v>293</v>
      </c>
      <c r="G445" s="8" t="s">
        <v>374</v>
      </c>
      <c r="H445" s="8" t="s">
        <v>259</v>
      </c>
      <c r="I445" s="8" t="s">
        <v>91</v>
      </c>
      <c r="J445" s="8" t="s">
        <v>275</v>
      </c>
      <c r="K445" s="8" t="s">
        <v>675</v>
      </c>
      <c r="L445" s="8" t="s">
        <v>676</v>
      </c>
      <c r="M445" s="20">
        <v>45476.0</v>
      </c>
      <c r="N445" s="21">
        <v>140.0</v>
      </c>
      <c r="O445" s="22">
        <v>170.0</v>
      </c>
      <c r="P445" s="7"/>
      <c r="Q445" s="7"/>
      <c r="R445" s="7"/>
      <c r="S445" s="17"/>
      <c r="T445" s="10"/>
      <c r="U445" s="10"/>
      <c r="V445" s="10"/>
      <c r="W445" s="10"/>
      <c r="X445" s="10"/>
      <c r="Y445" s="10"/>
      <c r="Z445" s="10"/>
    </row>
    <row r="446" ht="13.5" customHeight="1">
      <c r="A446" s="13" t="s">
        <v>915</v>
      </c>
      <c r="B446" s="8" t="s">
        <v>290</v>
      </c>
      <c r="C446" s="8" t="s">
        <v>291</v>
      </c>
      <c r="D446" s="8" t="s">
        <v>292</v>
      </c>
      <c r="E446" s="9" t="s">
        <v>916</v>
      </c>
      <c r="F446" s="8" t="s">
        <v>293</v>
      </c>
      <c r="G446" s="8" t="s">
        <v>414</v>
      </c>
      <c r="H446" s="8" t="s">
        <v>259</v>
      </c>
      <c r="I446" s="8" t="s">
        <v>91</v>
      </c>
      <c r="J446" s="8" t="s">
        <v>400</v>
      </c>
      <c r="K446" s="8" t="s">
        <v>675</v>
      </c>
      <c r="L446" s="8" t="s">
        <v>676</v>
      </c>
      <c r="M446" s="20">
        <v>45476.0</v>
      </c>
      <c r="N446" s="21">
        <v>140.0</v>
      </c>
      <c r="O446" s="22">
        <v>170.0</v>
      </c>
      <c r="P446" s="7"/>
      <c r="Q446" s="7"/>
      <c r="R446" s="7"/>
      <c r="S446" s="17"/>
      <c r="T446" s="10"/>
      <c r="U446" s="10"/>
      <c r="V446" s="10"/>
      <c r="W446" s="10"/>
      <c r="X446" s="10"/>
      <c r="Y446" s="10"/>
      <c r="Z446" s="10"/>
    </row>
    <row r="447" ht="13.5" customHeight="1">
      <c r="A447" s="13" t="s">
        <v>917</v>
      </c>
      <c r="B447" s="8" t="s">
        <v>290</v>
      </c>
      <c r="C447" s="8" t="s">
        <v>291</v>
      </c>
      <c r="D447" s="8" t="s">
        <v>292</v>
      </c>
      <c r="E447" s="9" t="s">
        <v>918</v>
      </c>
      <c r="F447" s="8" t="s">
        <v>293</v>
      </c>
      <c r="G447" s="8" t="s">
        <v>919</v>
      </c>
      <c r="H447" s="8" t="s">
        <v>259</v>
      </c>
      <c r="I447" s="8" t="s">
        <v>91</v>
      </c>
      <c r="J447" s="8" t="s">
        <v>400</v>
      </c>
      <c r="K447" s="8" t="s">
        <v>675</v>
      </c>
      <c r="L447" s="8" t="s">
        <v>676</v>
      </c>
      <c r="M447" s="20">
        <v>45476.0</v>
      </c>
      <c r="N447" s="21">
        <v>140.0</v>
      </c>
      <c r="O447" s="22">
        <v>170.0</v>
      </c>
      <c r="P447" s="7"/>
      <c r="Q447" s="7"/>
      <c r="R447" s="7"/>
      <c r="S447" s="17"/>
      <c r="T447" s="10"/>
      <c r="U447" s="10"/>
      <c r="V447" s="10"/>
      <c r="W447" s="10"/>
      <c r="X447" s="10"/>
      <c r="Y447" s="10"/>
      <c r="Z447" s="10"/>
    </row>
    <row r="448" ht="13.5" customHeight="1">
      <c r="A448" s="13" t="s">
        <v>920</v>
      </c>
      <c r="B448" s="8" t="s">
        <v>290</v>
      </c>
      <c r="C448" s="8" t="s">
        <v>291</v>
      </c>
      <c r="D448" s="8" t="s">
        <v>292</v>
      </c>
      <c r="E448" s="9" t="s">
        <v>921</v>
      </c>
      <c r="F448" s="8" t="s">
        <v>293</v>
      </c>
      <c r="G448" s="8" t="s">
        <v>450</v>
      </c>
      <c r="H448" s="8" t="s">
        <v>259</v>
      </c>
      <c r="I448" s="8" t="s">
        <v>91</v>
      </c>
      <c r="J448" s="8" t="s">
        <v>400</v>
      </c>
      <c r="K448" s="8" t="s">
        <v>675</v>
      </c>
      <c r="L448" s="8" t="s">
        <v>676</v>
      </c>
      <c r="M448" s="20">
        <v>45476.0</v>
      </c>
      <c r="N448" s="21">
        <v>140.0</v>
      </c>
      <c r="O448" s="22">
        <v>170.0</v>
      </c>
      <c r="P448" s="7"/>
      <c r="Q448" s="7"/>
      <c r="R448" s="7"/>
      <c r="S448" s="17"/>
      <c r="T448" s="10"/>
      <c r="U448" s="10"/>
      <c r="V448" s="10"/>
      <c r="W448" s="10"/>
      <c r="X448" s="10"/>
      <c r="Y448" s="10"/>
      <c r="Z448" s="10"/>
    </row>
    <row r="449" ht="13.5" customHeight="1">
      <c r="A449" s="13" t="s">
        <v>922</v>
      </c>
      <c r="B449" s="8" t="s">
        <v>290</v>
      </c>
      <c r="C449" s="8" t="s">
        <v>291</v>
      </c>
      <c r="D449" s="8" t="s">
        <v>292</v>
      </c>
      <c r="E449" s="9" t="s">
        <v>923</v>
      </c>
      <c r="F449" s="8" t="s">
        <v>293</v>
      </c>
      <c r="G449" s="8" t="s">
        <v>472</v>
      </c>
      <c r="H449" s="8" t="s">
        <v>259</v>
      </c>
      <c r="I449" s="8" t="s">
        <v>91</v>
      </c>
      <c r="J449" s="8" t="s">
        <v>400</v>
      </c>
      <c r="K449" s="8" t="s">
        <v>675</v>
      </c>
      <c r="L449" s="8" t="s">
        <v>676</v>
      </c>
      <c r="M449" s="20">
        <v>45476.0</v>
      </c>
      <c r="N449" s="21">
        <v>140.0</v>
      </c>
      <c r="O449" s="22">
        <v>170.0</v>
      </c>
      <c r="P449" s="7"/>
      <c r="Q449" s="7"/>
      <c r="R449" s="7"/>
      <c r="S449" s="17"/>
      <c r="T449" s="10"/>
      <c r="U449" s="10"/>
      <c r="V449" s="10"/>
      <c r="W449" s="10"/>
      <c r="X449" s="10"/>
      <c r="Y449" s="10"/>
      <c r="Z449" s="10"/>
    </row>
    <row r="450" ht="13.5" customHeight="1">
      <c r="A450" s="13" t="s">
        <v>924</v>
      </c>
      <c r="B450" s="8" t="s">
        <v>290</v>
      </c>
      <c r="C450" s="8" t="s">
        <v>291</v>
      </c>
      <c r="D450" s="8" t="s">
        <v>292</v>
      </c>
      <c r="E450" s="9" t="s">
        <v>925</v>
      </c>
      <c r="F450" s="8" t="s">
        <v>293</v>
      </c>
      <c r="G450" s="8" t="s">
        <v>399</v>
      </c>
      <c r="H450" s="8" t="s">
        <v>259</v>
      </c>
      <c r="I450" s="8" t="s">
        <v>91</v>
      </c>
      <c r="J450" s="8" t="s">
        <v>400</v>
      </c>
      <c r="K450" s="8" t="s">
        <v>675</v>
      </c>
      <c r="L450" s="8" t="s">
        <v>676</v>
      </c>
      <c r="M450" s="20">
        <v>45476.0</v>
      </c>
      <c r="N450" s="21">
        <v>140.0</v>
      </c>
      <c r="O450" s="22">
        <v>170.0</v>
      </c>
      <c r="P450" s="7"/>
      <c r="Q450" s="7"/>
      <c r="R450" s="7"/>
      <c r="S450" s="17"/>
      <c r="T450" s="10"/>
      <c r="U450" s="10"/>
      <c r="V450" s="10"/>
      <c r="W450" s="10"/>
      <c r="X450" s="10"/>
      <c r="Y450" s="10"/>
      <c r="Z450" s="10"/>
    </row>
    <row r="451" ht="13.5" customHeight="1">
      <c r="A451" s="13" t="s">
        <v>926</v>
      </c>
      <c r="B451" s="8" t="s">
        <v>290</v>
      </c>
      <c r="C451" s="8" t="s">
        <v>291</v>
      </c>
      <c r="D451" s="8" t="s">
        <v>292</v>
      </c>
      <c r="E451" s="9" t="s">
        <v>927</v>
      </c>
      <c r="F451" s="8" t="s">
        <v>293</v>
      </c>
      <c r="G451" s="8" t="s">
        <v>825</v>
      </c>
      <c r="H451" s="8" t="s">
        <v>259</v>
      </c>
      <c r="I451" s="8" t="s">
        <v>27</v>
      </c>
      <c r="J451" s="8" t="s">
        <v>635</v>
      </c>
      <c r="K451" s="8" t="s">
        <v>675</v>
      </c>
      <c r="L451" s="8" t="s">
        <v>676</v>
      </c>
      <c r="M451" s="20">
        <v>45476.0</v>
      </c>
      <c r="N451" s="21">
        <v>140.0</v>
      </c>
      <c r="O451" s="22">
        <v>170.0</v>
      </c>
      <c r="P451" s="7"/>
      <c r="Q451" s="7"/>
      <c r="R451" s="7"/>
      <c r="S451" s="17"/>
      <c r="T451" s="10"/>
      <c r="U451" s="10"/>
      <c r="V451" s="10"/>
      <c r="W451" s="10"/>
      <c r="X451" s="10"/>
      <c r="Y451" s="10"/>
      <c r="Z451" s="10"/>
    </row>
    <row r="452" ht="13.5" customHeight="1">
      <c r="A452" s="13" t="s">
        <v>928</v>
      </c>
      <c r="B452" s="8" t="s">
        <v>290</v>
      </c>
      <c r="C452" s="8" t="s">
        <v>291</v>
      </c>
      <c r="D452" s="8" t="s">
        <v>292</v>
      </c>
      <c r="E452" s="9" t="s">
        <v>929</v>
      </c>
      <c r="F452" s="8" t="s">
        <v>293</v>
      </c>
      <c r="G452" s="8" t="s">
        <v>641</v>
      </c>
      <c r="H452" s="8" t="s">
        <v>259</v>
      </c>
      <c r="I452" s="8" t="s">
        <v>27</v>
      </c>
      <c r="J452" s="8" t="s">
        <v>635</v>
      </c>
      <c r="K452" s="8" t="s">
        <v>675</v>
      </c>
      <c r="L452" s="8" t="s">
        <v>676</v>
      </c>
      <c r="M452" s="20">
        <v>45476.0</v>
      </c>
      <c r="N452" s="21">
        <v>140.0</v>
      </c>
      <c r="O452" s="22">
        <v>170.0</v>
      </c>
      <c r="P452" s="7"/>
      <c r="Q452" s="7"/>
      <c r="R452" s="7"/>
      <c r="S452" s="17"/>
      <c r="T452" s="10"/>
      <c r="U452" s="10"/>
      <c r="V452" s="10"/>
      <c r="W452" s="10"/>
      <c r="X452" s="10"/>
      <c r="Y452" s="10"/>
      <c r="Z452" s="10"/>
    </row>
    <row r="453" ht="13.5" customHeight="1">
      <c r="A453" s="13" t="s">
        <v>930</v>
      </c>
      <c r="B453" s="8" t="s">
        <v>67</v>
      </c>
      <c r="C453" s="8" t="s">
        <v>68</v>
      </c>
      <c r="D453" s="8" t="s">
        <v>931</v>
      </c>
      <c r="E453" s="9" t="s">
        <v>932</v>
      </c>
      <c r="F453" s="8" t="s">
        <v>933</v>
      </c>
      <c r="G453" s="8" t="s">
        <v>500</v>
      </c>
      <c r="H453" s="11" t="s">
        <v>259</v>
      </c>
      <c r="I453" s="11" t="s">
        <v>260</v>
      </c>
      <c r="J453" s="11" t="s">
        <v>490</v>
      </c>
      <c r="K453" s="8" t="s">
        <v>675</v>
      </c>
      <c r="L453" s="8" t="s">
        <v>719</v>
      </c>
      <c r="M453" s="20">
        <v>45484.0</v>
      </c>
      <c r="N453" s="21">
        <v>1574.79</v>
      </c>
      <c r="O453" s="22">
        <v>1600.0</v>
      </c>
      <c r="P453" s="7"/>
      <c r="Q453" s="7"/>
      <c r="R453" s="7"/>
      <c r="S453" s="20">
        <v>45490.0</v>
      </c>
      <c r="T453" s="10"/>
      <c r="U453" s="10"/>
      <c r="V453" s="10"/>
      <c r="W453" s="10"/>
      <c r="X453" s="10"/>
      <c r="Y453" s="10"/>
      <c r="Z453" s="10"/>
    </row>
    <row r="454" ht="13.5" customHeight="1">
      <c r="A454" s="13" t="s">
        <v>934</v>
      </c>
      <c r="B454" s="8" t="s">
        <v>132</v>
      </c>
      <c r="C454" s="8" t="s">
        <v>68</v>
      </c>
      <c r="D454" s="8" t="s">
        <v>935</v>
      </c>
      <c r="E454" s="9" t="s">
        <v>936</v>
      </c>
      <c r="F454" s="8" t="s">
        <v>937</v>
      </c>
      <c r="G454" s="8" t="s">
        <v>500</v>
      </c>
      <c r="H454" s="11" t="s">
        <v>259</v>
      </c>
      <c r="I454" s="11" t="s">
        <v>260</v>
      </c>
      <c r="J454" s="11" t="s">
        <v>490</v>
      </c>
      <c r="K454" s="8" t="s">
        <v>675</v>
      </c>
      <c r="L454" s="8" t="s">
        <v>719</v>
      </c>
      <c r="M454" s="20">
        <v>45484.0</v>
      </c>
      <c r="N454" s="21">
        <v>250.0</v>
      </c>
      <c r="O454" s="22">
        <v>300.0</v>
      </c>
      <c r="P454" s="7"/>
      <c r="Q454" s="7"/>
      <c r="R454" s="7"/>
      <c r="S454" s="20">
        <v>45490.0</v>
      </c>
      <c r="T454" s="10"/>
      <c r="U454" s="10"/>
      <c r="V454" s="10"/>
      <c r="W454" s="10"/>
      <c r="X454" s="10"/>
      <c r="Y454" s="10"/>
      <c r="Z454" s="10"/>
    </row>
    <row r="455" ht="13.5" customHeight="1">
      <c r="A455" s="13" t="s">
        <v>938</v>
      </c>
      <c r="B455" s="8" t="s">
        <v>67</v>
      </c>
      <c r="C455" s="8" t="s">
        <v>68</v>
      </c>
      <c r="D455" s="8" t="s">
        <v>931</v>
      </c>
      <c r="E455" s="9" t="s">
        <v>939</v>
      </c>
      <c r="F455" s="8" t="s">
        <v>933</v>
      </c>
      <c r="G455" s="8" t="s">
        <v>186</v>
      </c>
      <c r="H455" s="11" t="s">
        <v>143</v>
      </c>
      <c r="I455" s="11" t="s">
        <v>91</v>
      </c>
      <c r="J455" s="11" t="s">
        <v>130</v>
      </c>
      <c r="K455" s="8" t="s">
        <v>675</v>
      </c>
      <c r="L455" s="8" t="s">
        <v>719</v>
      </c>
      <c r="M455" s="20">
        <v>45484.0</v>
      </c>
      <c r="N455" s="21">
        <v>1574.79</v>
      </c>
      <c r="O455" s="22">
        <v>1600.0</v>
      </c>
      <c r="P455" s="7"/>
      <c r="Q455" s="7"/>
      <c r="R455" s="7"/>
      <c r="S455" s="20"/>
      <c r="T455" s="10"/>
      <c r="U455" s="10"/>
      <c r="V455" s="10"/>
      <c r="W455" s="10"/>
      <c r="X455" s="10"/>
      <c r="Y455" s="10"/>
      <c r="Z455" s="10"/>
    </row>
    <row r="456" ht="13.5" customHeight="1">
      <c r="A456" s="13" t="s">
        <v>940</v>
      </c>
      <c r="B456" s="8" t="s">
        <v>132</v>
      </c>
      <c r="C456" s="8" t="s">
        <v>68</v>
      </c>
      <c r="D456" s="8" t="s">
        <v>935</v>
      </c>
      <c r="E456" s="9" t="s">
        <v>941</v>
      </c>
      <c r="F456" s="8" t="s">
        <v>942</v>
      </c>
      <c r="G456" s="8" t="s">
        <v>186</v>
      </c>
      <c r="H456" s="11" t="s">
        <v>143</v>
      </c>
      <c r="I456" s="11" t="s">
        <v>91</v>
      </c>
      <c r="J456" s="11" t="s">
        <v>130</v>
      </c>
      <c r="K456" s="8" t="s">
        <v>675</v>
      </c>
      <c r="L456" s="8" t="s">
        <v>719</v>
      </c>
      <c r="M456" s="20">
        <v>45484.0</v>
      </c>
      <c r="N456" s="21">
        <v>250.0</v>
      </c>
      <c r="O456" s="22">
        <v>300.0</v>
      </c>
      <c r="P456" s="7"/>
      <c r="Q456" s="7"/>
      <c r="R456" s="7"/>
      <c r="S456" s="20"/>
      <c r="T456" s="10"/>
      <c r="U456" s="10"/>
      <c r="V456" s="10"/>
      <c r="W456" s="10"/>
      <c r="X456" s="10"/>
      <c r="Y456" s="10"/>
      <c r="Z456" s="10"/>
    </row>
    <row r="457" ht="13.5" customHeight="1">
      <c r="A457" s="13" t="s">
        <v>943</v>
      </c>
      <c r="B457" s="8" t="s">
        <v>67</v>
      </c>
      <c r="C457" s="8" t="s">
        <v>68</v>
      </c>
      <c r="D457" s="8" t="s">
        <v>931</v>
      </c>
      <c r="E457" s="9" t="s">
        <v>944</v>
      </c>
      <c r="F457" s="8" t="s">
        <v>933</v>
      </c>
      <c r="G457" s="8" t="s">
        <v>186</v>
      </c>
      <c r="H457" s="11" t="s">
        <v>143</v>
      </c>
      <c r="I457" s="11" t="s">
        <v>91</v>
      </c>
      <c r="J457" s="11" t="s">
        <v>130</v>
      </c>
      <c r="K457" s="8" t="s">
        <v>675</v>
      </c>
      <c r="L457" s="8" t="s">
        <v>719</v>
      </c>
      <c r="M457" s="17">
        <v>45484.0</v>
      </c>
      <c r="N457" s="18">
        <v>1574.79</v>
      </c>
      <c r="O457" s="19">
        <v>1600.0</v>
      </c>
      <c r="P457" s="7"/>
      <c r="Q457" s="7"/>
      <c r="R457" s="7"/>
      <c r="S457" s="17"/>
      <c r="T457" s="10"/>
      <c r="U457" s="10"/>
      <c r="V457" s="10"/>
      <c r="W457" s="10"/>
      <c r="X457" s="10"/>
      <c r="Y457" s="10"/>
      <c r="Z457" s="10"/>
    </row>
    <row r="458" ht="13.5" customHeight="1">
      <c r="A458" s="13" t="s">
        <v>945</v>
      </c>
      <c r="B458" s="8" t="s">
        <v>132</v>
      </c>
      <c r="C458" s="8" t="s">
        <v>68</v>
      </c>
      <c r="D458" s="8" t="s">
        <v>935</v>
      </c>
      <c r="E458" s="9" t="s">
        <v>946</v>
      </c>
      <c r="F458" s="8" t="s">
        <v>947</v>
      </c>
      <c r="G458" s="8" t="s">
        <v>186</v>
      </c>
      <c r="H458" s="11" t="s">
        <v>143</v>
      </c>
      <c r="I458" s="11" t="s">
        <v>91</v>
      </c>
      <c r="J458" s="11" t="s">
        <v>130</v>
      </c>
      <c r="K458" s="8" t="s">
        <v>675</v>
      </c>
      <c r="L458" s="8" t="s">
        <v>719</v>
      </c>
      <c r="M458" s="17">
        <v>45484.0</v>
      </c>
      <c r="N458" s="18">
        <v>250.0</v>
      </c>
      <c r="O458" s="19">
        <v>300.0</v>
      </c>
      <c r="P458" s="7"/>
      <c r="Q458" s="7"/>
      <c r="R458" s="7"/>
      <c r="S458" s="17"/>
      <c r="T458" s="10"/>
      <c r="U458" s="10"/>
      <c r="V458" s="10"/>
      <c r="W458" s="10"/>
      <c r="X458" s="10"/>
      <c r="Y458" s="10"/>
      <c r="Z458" s="10"/>
    </row>
    <row r="459" ht="13.5" customHeight="1">
      <c r="A459" s="13" t="s">
        <v>948</v>
      </c>
      <c r="B459" s="8" t="s">
        <v>67</v>
      </c>
      <c r="C459" s="8" t="s">
        <v>68</v>
      </c>
      <c r="D459" s="8" t="s">
        <v>931</v>
      </c>
      <c r="E459" s="9" t="s">
        <v>949</v>
      </c>
      <c r="F459" s="8" t="s">
        <v>933</v>
      </c>
      <c r="G459" s="8" t="s">
        <v>950</v>
      </c>
      <c r="H459" s="11" t="s">
        <v>670</v>
      </c>
      <c r="I459" s="11" t="s">
        <v>91</v>
      </c>
      <c r="J459" s="11" t="s">
        <v>130</v>
      </c>
      <c r="K459" s="8" t="s">
        <v>675</v>
      </c>
      <c r="L459" s="8" t="s">
        <v>719</v>
      </c>
      <c r="M459" s="17">
        <v>45484.0</v>
      </c>
      <c r="N459" s="18">
        <v>1574.79</v>
      </c>
      <c r="O459" s="19">
        <v>1600.0</v>
      </c>
      <c r="P459" s="7"/>
      <c r="Q459" s="7"/>
      <c r="R459" s="7"/>
      <c r="S459" s="17"/>
      <c r="T459" s="10"/>
      <c r="U459" s="10"/>
      <c r="V459" s="10"/>
      <c r="W459" s="10"/>
      <c r="X459" s="10"/>
      <c r="Y459" s="10"/>
      <c r="Z459" s="10"/>
    </row>
    <row r="460" ht="13.5" customHeight="1">
      <c r="A460" s="13" t="s">
        <v>951</v>
      </c>
      <c r="B460" s="8" t="s">
        <v>132</v>
      </c>
      <c r="C460" s="8" t="s">
        <v>68</v>
      </c>
      <c r="D460" s="8" t="s">
        <v>935</v>
      </c>
      <c r="E460" s="9" t="s">
        <v>952</v>
      </c>
      <c r="F460" s="8" t="s">
        <v>953</v>
      </c>
      <c r="G460" s="8" t="s">
        <v>950</v>
      </c>
      <c r="H460" s="11" t="s">
        <v>670</v>
      </c>
      <c r="I460" s="11" t="s">
        <v>91</v>
      </c>
      <c r="J460" s="11" t="s">
        <v>130</v>
      </c>
      <c r="K460" s="8" t="s">
        <v>675</v>
      </c>
      <c r="L460" s="8" t="s">
        <v>719</v>
      </c>
      <c r="M460" s="17">
        <v>45484.0</v>
      </c>
      <c r="N460" s="18">
        <v>250.0</v>
      </c>
      <c r="O460" s="19">
        <v>300.0</v>
      </c>
      <c r="P460" s="7"/>
      <c r="Q460" s="7"/>
      <c r="R460" s="7"/>
      <c r="S460" s="17"/>
      <c r="T460" s="10"/>
      <c r="U460" s="10"/>
      <c r="V460" s="10"/>
      <c r="W460" s="10"/>
      <c r="X460" s="10"/>
      <c r="Y460" s="10"/>
      <c r="Z460" s="10"/>
    </row>
    <row r="461" ht="13.5" customHeight="1">
      <c r="A461" s="13" t="s">
        <v>954</v>
      </c>
      <c r="B461" s="8" t="s">
        <v>67</v>
      </c>
      <c r="C461" s="8" t="s">
        <v>68</v>
      </c>
      <c r="D461" s="8" t="s">
        <v>931</v>
      </c>
      <c r="E461" s="9" t="s">
        <v>955</v>
      </c>
      <c r="F461" s="8" t="s">
        <v>933</v>
      </c>
      <c r="G461" s="8" t="s">
        <v>956</v>
      </c>
      <c r="H461" s="11" t="s">
        <v>670</v>
      </c>
      <c r="I461" s="11" t="s">
        <v>91</v>
      </c>
      <c r="J461" s="11" t="s">
        <v>130</v>
      </c>
      <c r="K461" s="8" t="s">
        <v>675</v>
      </c>
      <c r="L461" s="8" t="s">
        <v>719</v>
      </c>
      <c r="M461" s="17">
        <v>45484.0</v>
      </c>
      <c r="N461" s="18">
        <v>1574.79</v>
      </c>
      <c r="O461" s="19">
        <v>1600.0</v>
      </c>
      <c r="P461" s="7"/>
      <c r="Q461" s="7"/>
      <c r="R461" s="7"/>
      <c r="S461" s="17"/>
      <c r="T461" s="10"/>
      <c r="U461" s="10"/>
      <c r="V461" s="10"/>
      <c r="W461" s="10"/>
      <c r="X461" s="10"/>
      <c r="Y461" s="10"/>
      <c r="Z461" s="10"/>
    </row>
    <row r="462" ht="13.5" customHeight="1">
      <c r="A462" s="13" t="s">
        <v>957</v>
      </c>
      <c r="B462" s="8" t="s">
        <v>132</v>
      </c>
      <c r="C462" s="8" t="s">
        <v>68</v>
      </c>
      <c r="D462" s="8" t="s">
        <v>935</v>
      </c>
      <c r="E462" s="9" t="s">
        <v>958</v>
      </c>
      <c r="F462" s="8" t="s">
        <v>959</v>
      </c>
      <c r="G462" s="8" t="s">
        <v>956</v>
      </c>
      <c r="H462" s="11" t="s">
        <v>670</v>
      </c>
      <c r="I462" s="11" t="s">
        <v>91</v>
      </c>
      <c r="J462" s="11" t="s">
        <v>130</v>
      </c>
      <c r="K462" s="8" t="s">
        <v>675</v>
      </c>
      <c r="L462" s="8" t="s">
        <v>719</v>
      </c>
      <c r="M462" s="17">
        <v>45484.0</v>
      </c>
      <c r="N462" s="18">
        <v>250.0</v>
      </c>
      <c r="O462" s="19">
        <v>300.0</v>
      </c>
      <c r="P462" s="7"/>
      <c r="Q462" s="7"/>
      <c r="R462" s="7"/>
      <c r="S462" s="17"/>
      <c r="T462" s="10"/>
      <c r="U462" s="10"/>
      <c r="V462" s="10"/>
      <c r="W462" s="10"/>
      <c r="X462" s="10"/>
      <c r="Y462" s="10"/>
      <c r="Z462" s="10"/>
    </row>
    <row r="463" ht="13.5" customHeight="1">
      <c r="A463" s="13" t="s">
        <v>960</v>
      </c>
      <c r="B463" s="8" t="s">
        <v>67</v>
      </c>
      <c r="C463" s="8" t="s">
        <v>68</v>
      </c>
      <c r="D463" s="8" t="s">
        <v>931</v>
      </c>
      <c r="E463" s="9" t="s">
        <v>961</v>
      </c>
      <c r="F463" s="8" t="s">
        <v>933</v>
      </c>
      <c r="G463" s="8" t="s">
        <v>962</v>
      </c>
      <c r="H463" s="11" t="s">
        <v>259</v>
      </c>
      <c r="I463" s="11" t="s">
        <v>91</v>
      </c>
      <c r="J463" s="11" t="s">
        <v>130</v>
      </c>
      <c r="K463" s="8" t="s">
        <v>675</v>
      </c>
      <c r="L463" s="8" t="s">
        <v>676</v>
      </c>
      <c r="M463" s="17">
        <v>45484.0</v>
      </c>
      <c r="N463" s="18">
        <v>1574.79</v>
      </c>
      <c r="O463" s="19">
        <v>1600.0</v>
      </c>
      <c r="P463" s="7"/>
      <c r="Q463" s="7"/>
      <c r="R463" s="7"/>
      <c r="S463" s="17"/>
      <c r="T463" s="10"/>
      <c r="U463" s="10"/>
      <c r="V463" s="10"/>
      <c r="W463" s="10"/>
      <c r="X463" s="10"/>
      <c r="Y463" s="10"/>
      <c r="Z463" s="10"/>
    </row>
    <row r="464" ht="13.5" customHeight="1">
      <c r="A464" s="13" t="s">
        <v>963</v>
      </c>
      <c r="B464" s="8" t="s">
        <v>132</v>
      </c>
      <c r="C464" s="8" t="s">
        <v>68</v>
      </c>
      <c r="D464" s="8" t="s">
        <v>935</v>
      </c>
      <c r="E464" s="9" t="s">
        <v>964</v>
      </c>
      <c r="F464" s="8" t="s">
        <v>965</v>
      </c>
      <c r="G464" s="8" t="s">
        <v>962</v>
      </c>
      <c r="H464" s="11" t="s">
        <v>259</v>
      </c>
      <c r="I464" s="11" t="s">
        <v>91</v>
      </c>
      <c r="J464" s="11" t="s">
        <v>130</v>
      </c>
      <c r="K464" s="8" t="s">
        <v>675</v>
      </c>
      <c r="L464" s="8" t="s">
        <v>676</v>
      </c>
      <c r="M464" s="17">
        <v>45484.0</v>
      </c>
      <c r="N464" s="18">
        <v>250.0</v>
      </c>
      <c r="O464" s="19">
        <v>300.0</v>
      </c>
      <c r="P464" s="7"/>
      <c r="Q464" s="7"/>
      <c r="R464" s="7"/>
      <c r="S464" s="17"/>
      <c r="T464" s="10"/>
      <c r="U464" s="10"/>
      <c r="V464" s="10"/>
      <c r="W464" s="10"/>
      <c r="X464" s="10"/>
      <c r="Y464" s="10"/>
      <c r="Z464" s="10"/>
    </row>
    <row r="465" ht="13.5" customHeight="1">
      <c r="A465" s="13" t="s">
        <v>966</v>
      </c>
      <c r="B465" s="8" t="s">
        <v>67</v>
      </c>
      <c r="C465" s="8" t="s">
        <v>68</v>
      </c>
      <c r="D465" s="8" t="s">
        <v>931</v>
      </c>
      <c r="E465" s="9" t="s">
        <v>967</v>
      </c>
      <c r="F465" s="8" t="s">
        <v>933</v>
      </c>
      <c r="G465" s="8" t="s">
        <v>962</v>
      </c>
      <c r="H465" s="11" t="s">
        <v>259</v>
      </c>
      <c r="I465" s="11" t="s">
        <v>91</v>
      </c>
      <c r="J465" s="11" t="s">
        <v>130</v>
      </c>
      <c r="K465" s="8" t="s">
        <v>675</v>
      </c>
      <c r="L465" s="8" t="s">
        <v>676</v>
      </c>
      <c r="M465" s="17">
        <v>45484.0</v>
      </c>
      <c r="N465" s="18">
        <v>1574.79</v>
      </c>
      <c r="O465" s="19">
        <v>1600.0</v>
      </c>
      <c r="P465" s="7"/>
      <c r="Q465" s="7"/>
      <c r="R465" s="7"/>
      <c r="S465" s="17"/>
      <c r="T465" s="10"/>
      <c r="U465" s="10"/>
      <c r="V465" s="10"/>
      <c r="W465" s="10"/>
      <c r="X465" s="10"/>
      <c r="Y465" s="10"/>
      <c r="Z465" s="10"/>
    </row>
    <row r="466" ht="13.5" customHeight="1">
      <c r="A466" s="13" t="s">
        <v>968</v>
      </c>
      <c r="B466" s="8" t="s">
        <v>132</v>
      </c>
      <c r="C466" s="8" t="s">
        <v>68</v>
      </c>
      <c r="D466" s="8" t="s">
        <v>935</v>
      </c>
      <c r="E466" s="9" t="s">
        <v>969</v>
      </c>
      <c r="F466" s="8" t="s">
        <v>970</v>
      </c>
      <c r="G466" s="8" t="s">
        <v>962</v>
      </c>
      <c r="H466" s="11" t="s">
        <v>259</v>
      </c>
      <c r="I466" s="11" t="s">
        <v>91</v>
      </c>
      <c r="J466" s="11" t="s">
        <v>130</v>
      </c>
      <c r="K466" s="8" t="s">
        <v>675</v>
      </c>
      <c r="L466" s="8" t="s">
        <v>676</v>
      </c>
      <c r="M466" s="17">
        <v>45484.0</v>
      </c>
      <c r="N466" s="18">
        <v>250.0</v>
      </c>
      <c r="O466" s="19">
        <v>300.0</v>
      </c>
      <c r="P466" s="7"/>
      <c r="Q466" s="7"/>
      <c r="R466" s="7"/>
      <c r="S466" s="17"/>
      <c r="T466" s="10"/>
      <c r="U466" s="10"/>
      <c r="V466" s="10"/>
      <c r="W466" s="10"/>
      <c r="X466" s="10"/>
      <c r="Y466" s="10"/>
      <c r="Z466" s="10"/>
    </row>
    <row r="467" ht="13.5" customHeight="1">
      <c r="A467" s="13" t="s">
        <v>971</v>
      </c>
      <c r="B467" s="8" t="s">
        <v>67</v>
      </c>
      <c r="C467" s="8" t="s">
        <v>68</v>
      </c>
      <c r="D467" s="8" t="s">
        <v>931</v>
      </c>
      <c r="E467" s="9" t="s">
        <v>972</v>
      </c>
      <c r="F467" s="8" t="s">
        <v>933</v>
      </c>
      <c r="G467" s="8" t="s">
        <v>973</v>
      </c>
      <c r="H467" s="11" t="s">
        <v>26</v>
      </c>
      <c r="I467" s="11" t="s">
        <v>91</v>
      </c>
      <c r="J467" s="11" t="s">
        <v>130</v>
      </c>
      <c r="K467" s="8" t="s">
        <v>675</v>
      </c>
      <c r="L467" s="8" t="s">
        <v>676</v>
      </c>
      <c r="M467" s="17">
        <v>45484.0</v>
      </c>
      <c r="N467" s="18">
        <v>1574.79</v>
      </c>
      <c r="O467" s="19">
        <v>1600.0</v>
      </c>
      <c r="P467" s="7"/>
      <c r="Q467" s="7"/>
      <c r="R467" s="7"/>
      <c r="S467" s="17"/>
      <c r="T467" s="10"/>
      <c r="U467" s="10"/>
      <c r="V467" s="10"/>
      <c r="W467" s="10"/>
      <c r="X467" s="10"/>
      <c r="Y467" s="10"/>
      <c r="Z467" s="10"/>
    </row>
    <row r="468" ht="13.5" customHeight="1">
      <c r="A468" s="13" t="s">
        <v>974</v>
      </c>
      <c r="B468" s="8" t="s">
        <v>132</v>
      </c>
      <c r="C468" s="8" t="s">
        <v>68</v>
      </c>
      <c r="D468" s="8" t="s">
        <v>935</v>
      </c>
      <c r="E468" s="9" t="s">
        <v>975</v>
      </c>
      <c r="F468" s="8" t="s">
        <v>976</v>
      </c>
      <c r="G468" s="8" t="s">
        <v>973</v>
      </c>
      <c r="H468" s="11" t="s">
        <v>26</v>
      </c>
      <c r="I468" s="11" t="s">
        <v>91</v>
      </c>
      <c r="J468" s="11" t="s">
        <v>130</v>
      </c>
      <c r="K468" s="8" t="s">
        <v>675</v>
      </c>
      <c r="L468" s="8" t="s">
        <v>676</v>
      </c>
      <c r="M468" s="17">
        <v>45484.0</v>
      </c>
      <c r="N468" s="18">
        <v>250.0</v>
      </c>
      <c r="O468" s="19">
        <v>300.0</v>
      </c>
      <c r="P468" s="14"/>
      <c r="Q468" s="7"/>
      <c r="R468" s="7"/>
      <c r="S468" s="17"/>
      <c r="T468" s="10"/>
      <c r="U468" s="10"/>
      <c r="V468" s="10"/>
      <c r="W468" s="10"/>
      <c r="X468" s="10"/>
      <c r="Y468" s="10"/>
      <c r="Z468" s="10"/>
    </row>
    <row r="469" ht="13.5" customHeight="1">
      <c r="A469" s="13" t="s">
        <v>977</v>
      </c>
      <c r="B469" s="8" t="s">
        <v>67</v>
      </c>
      <c r="C469" s="8" t="s">
        <v>68</v>
      </c>
      <c r="D469" s="8" t="s">
        <v>931</v>
      </c>
      <c r="E469" s="9" t="s">
        <v>978</v>
      </c>
      <c r="F469" s="8" t="s">
        <v>933</v>
      </c>
      <c r="G469" s="8" t="s">
        <v>973</v>
      </c>
      <c r="H469" s="11" t="s">
        <v>26</v>
      </c>
      <c r="I469" s="11" t="s">
        <v>91</v>
      </c>
      <c r="J469" s="11" t="s">
        <v>130</v>
      </c>
      <c r="K469" s="8" t="s">
        <v>675</v>
      </c>
      <c r="L469" s="8" t="s">
        <v>676</v>
      </c>
      <c r="M469" s="17">
        <v>45484.0</v>
      </c>
      <c r="N469" s="18">
        <v>1574.79</v>
      </c>
      <c r="O469" s="19">
        <v>1600.0</v>
      </c>
      <c r="P469" s="33"/>
      <c r="Q469" s="7"/>
      <c r="R469" s="7"/>
      <c r="S469" s="17"/>
      <c r="T469" s="10"/>
      <c r="U469" s="10"/>
      <c r="V469" s="10"/>
      <c r="W469" s="10"/>
      <c r="X469" s="10"/>
      <c r="Y469" s="10"/>
      <c r="Z469" s="10"/>
    </row>
    <row r="470" ht="13.5" customHeight="1">
      <c r="A470" s="13" t="s">
        <v>979</v>
      </c>
      <c r="B470" s="8" t="s">
        <v>132</v>
      </c>
      <c r="C470" s="8" t="s">
        <v>68</v>
      </c>
      <c r="D470" s="8" t="s">
        <v>935</v>
      </c>
      <c r="E470" s="9" t="s">
        <v>980</v>
      </c>
      <c r="F470" s="8" t="s">
        <v>981</v>
      </c>
      <c r="G470" s="8" t="s">
        <v>973</v>
      </c>
      <c r="H470" s="11" t="s">
        <v>26</v>
      </c>
      <c r="I470" s="11" t="s">
        <v>91</v>
      </c>
      <c r="J470" s="11" t="s">
        <v>130</v>
      </c>
      <c r="K470" s="8" t="s">
        <v>675</v>
      </c>
      <c r="L470" s="8" t="s">
        <v>676</v>
      </c>
      <c r="M470" s="17">
        <v>45484.0</v>
      </c>
      <c r="N470" s="18">
        <v>250.0</v>
      </c>
      <c r="O470" s="19">
        <v>300.0</v>
      </c>
      <c r="P470" s="14"/>
      <c r="Q470" s="7"/>
      <c r="R470" s="7"/>
      <c r="S470" s="17"/>
      <c r="T470" s="10"/>
      <c r="U470" s="10"/>
      <c r="V470" s="10"/>
      <c r="W470" s="10"/>
      <c r="X470" s="10"/>
      <c r="Y470" s="10"/>
      <c r="Z470" s="10"/>
    </row>
    <row r="471" ht="13.5" customHeight="1">
      <c r="A471" s="13" t="s">
        <v>982</v>
      </c>
      <c r="B471" s="8" t="s">
        <v>67</v>
      </c>
      <c r="C471" s="8" t="s">
        <v>68</v>
      </c>
      <c r="D471" s="8" t="s">
        <v>931</v>
      </c>
      <c r="E471" s="9" t="s">
        <v>983</v>
      </c>
      <c r="F471" s="8" t="s">
        <v>933</v>
      </c>
      <c r="G471" s="8" t="s">
        <v>984</v>
      </c>
      <c r="H471" s="11" t="s">
        <v>103</v>
      </c>
      <c r="I471" s="11" t="s">
        <v>91</v>
      </c>
      <c r="J471" s="11" t="s">
        <v>130</v>
      </c>
      <c r="K471" s="8" t="s">
        <v>675</v>
      </c>
      <c r="L471" s="8" t="s">
        <v>676</v>
      </c>
      <c r="M471" s="17">
        <v>45484.0</v>
      </c>
      <c r="N471" s="18">
        <v>1574.79</v>
      </c>
      <c r="O471" s="19">
        <v>1600.0</v>
      </c>
      <c r="P471" s="7"/>
      <c r="Q471" s="7"/>
      <c r="R471" s="7"/>
      <c r="S471" s="17"/>
      <c r="T471" s="10"/>
      <c r="U471" s="10"/>
      <c r="V471" s="10"/>
      <c r="W471" s="10"/>
      <c r="X471" s="10"/>
      <c r="Y471" s="10"/>
      <c r="Z471" s="10"/>
    </row>
    <row r="472" ht="13.5" customHeight="1">
      <c r="A472" s="13" t="s">
        <v>985</v>
      </c>
      <c r="B472" s="8" t="s">
        <v>132</v>
      </c>
      <c r="C472" s="8" t="s">
        <v>68</v>
      </c>
      <c r="D472" s="8" t="s">
        <v>935</v>
      </c>
      <c r="E472" s="9" t="s">
        <v>986</v>
      </c>
      <c r="F472" s="8" t="s">
        <v>987</v>
      </c>
      <c r="G472" s="8" t="s">
        <v>984</v>
      </c>
      <c r="H472" s="11" t="s">
        <v>103</v>
      </c>
      <c r="I472" s="11" t="s">
        <v>91</v>
      </c>
      <c r="J472" s="11" t="s">
        <v>130</v>
      </c>
      <c r="K472" s="8" t="s">
        <v>675</v>
      </c>
      <c r="L472" s="8" t="s">
        <v>676</v>
      </c>
      <c r="M472" s="17">
        <v>45484.0</v>
      </c>
      <c r="N472" s="18">
        <v>250.0</v>
      </c>
      <c r="O472" s="19">
        <v>300.0</v>
      </c>
      <c r="P472" s="7"/>
      <c r="Q472" s="7"/>
      <c r="R472" s="7"/>
      <c r="S472" s="17"/>
      <c r="T472" s="10"/>
      <c r="U472" s="10"/>
      <c r="V472" s="10"/>
      <c r="W472" s="10"/>
      <c r="X472" s="10"/>
      <c r="Y472" s="10"/>
      <c r="Z472" s="10"/>
    </row>
    <row r="473" ht="13.5" customHeight="1">
      <c r="A473" s="13" t="s">
        <v>988</v>
      </c>
      <c r="B473" s="8" t="s">
        <v>67</v>
      </c>
      <c r="C473" s="8" t="s">
        <v>68</v>
      </c>
      <c r="D473" s="8" t="s">
        <v>931</v>
      </c>
      <c r="E473" s="9" t="s">
        <v>989</v>
      </c>
      <c r="F473" s="8" t="s">
        <v>933</v>
      </c>
      <c r="G473" s="8" t="s">
        <v>956</v>
      </c>
      <c r="H473" s="11" t="s">
        <v>103</v>
      </c>
      <c r="I473" s="11" t="s">
        <v>91</v>
      </c>
      <c r="J473" s="11" t="s">
        <v>130</v>
      </c>
      <c r="K473" s="8" t="s">
        <v>675</v>
      </c>
      <c r="L473" s="8" t="s">
        <v>676</v>
      </c>
      <c r="M473" s="17">
        <v>45484.0</v>
      </c>
      <c r="N473" s="18">
        <v>1574.79</v>
      </c>
      <c r="O473" s="19">
        <v>1600.0</v>
      </c>
      <c r="P473" s="7"/>
      <c r="Q473" s="7"/>
      <c r="R473" s="7"/>
      <c r="S473" s="17"/>
      <c r="T473" s="10"/>
      <c r="U473" s="10"/>
      <c r="V473" s="10"/>
      <c r="W473" s="10"/>
      <c r="X473" s="10"/>
      <c r="Y473" s="10"/>
      <c r="Z473" s="10"/>
    </row>
    <row r="474" ht="13.5" customHeight="1">
      <c r="A474" s="13" t="s">
        <v>990</v>
      </c>
      <c r="B474" s="8" t="s">
        <v>132</v>
      </c>
      <c r="C474" s="8" t="s">
        <v>68</v>
      </c>
      <c r="D474" s="8" t="s">
        <v>935</v>
      </c>
      <c r="E474" s="9" t="s">
        <v>991</v>
      </c>
      <c r="F474" s="8" t="s">
        <v>992</v>
      </c>
      <c r="G474" s="8" t="s">
        <v>956</v>
      </c>
      <c r="H474" s="11" t="s">
        <v>103</v>
      </c>
      <c r="I474" s="11" t="s">
        <v>91</v>
      </c>
      <c r="J474" s="11" t="s">
        <v>130</v>
      </c>
      <c r="K474" s="8" t="s">
        <v>675</v>
      </c>
      <c r="L474" s="8" t="s">
        <v>676</v>
      </c>
      <c r="M474" s="17">
        <v>45484.0</v>
      </c>
      <c r="N474" s="18">
        <v>250.0</v>
      </c>
      <c r="O474" s="19">
        <v>300.0</v>
      </c>
      <c r="P474" s="7"/>
      <c r="Q474" s="7"/>
      <c r="R474" s="7"/>
      <c r="S474" s="17"/>
      <c r="T474" s="10"/>
      <c r="U474" s="10"/>
      <c r="V474" s="10"/>
      <c r="W474" s="10"/>
      <c r="X474" s="10"/>
      <c r="Y474" s="10"/>
      <c r="Z474" s="10"/>
    </row>
    <row r="475" ht="13.5" customHeight="1">
      <c r="A475" s="13" t="s">
        <v>993</v>
      </c>
      <c r="B475" s="8" t="s">
        <v>67</v>
      </c>
      <c r="C475" s="8" t="s">
        <v>68</v>
      </c>
      <c r="D475" s="8" t="s">
        <v>931</v>
      </c>
      <c r="E475" s="9" t="s">
        <v>994</v>
      </c>
      <c r="F475" s="8" t="s">
        <v>933</v>
      </c>
      <c r="G475" s="8" t="s">
        <v>226</v>
      </c>
      <c r="H475" s="11" t="s">
        <v>207</v>
      </c>
      <c r="I475" s="11" t="s">
        <v>91</v>
      </c>
      <c r="J475" s="11" t="s">
        <v>130</v>
      </c>
      <c r="K475" s="8" t="s">
        <v>675</v>
      </c>
      <c r="L475" s="8" t="s">
        <v>676</v>
      </c>
      <c r="M475" s="17">
        <v>45484.0</v>
      </c>
      <c r="N475" s="18">
        <v>1574.79</v>
      </c>
      <c r="O475" s="19">
        <v>1600.0</v>
      </c>
      <c r="P475" s="7"/>
      <c r="Q475" s="7"/>
      <c r="R475" s="7"/>
      <c r="S475" s="17"/>
      <c r="T475" s="10"/>
      <c r="U475" s="10"/>
      <c r="V475" s="10"/>
      <c r="W475" s="10"/>
      <c r="X475" s="10"/>
      <c r="Y475" s="10"/>
      <c r="Z475" s="10"/>
    </row>
    <row r="476" ht="13.5" customHeight="1">
      <c r="A476" s="13" t="s">
        <v>995</v>
      </c>
      <c r="B476" s="8" t="s">
        <v>132</v>
      </c>
      <c r="C476" s="8" t="s">
        <v>68</v>
      </c>
      <c r="D476" s="8" t="s">
        <v>935</v>
      </c>
      <c r="E476" s="9" t="s">
        <v>996</v>
      </c>
      <c r="F476" s="8" t="s">
        <v>997</v>
      </c>
      <c r="G476" s="8" t="s">
        <v>226</v>
      </c>
      <c r="H476" s="11" t="s">
        <v>207</v>
      </c>
      <c r="I476" s="11" t="s">
        <v>91</v>
      </c>
      <c r="J476" s="11" t="s">
        <v>130</v>
      </c>
      <c r="K476" s="8" t="s">
        <v>675</v>
      </c>
      <c r="L476" s="8" t="s">
        <v>676</v>
      </c>
      <c r="M476" s="17">
        <v>45484.0</v>
      </c>
      <c r="N476" s="18">
        <v>250.0</v>
      </c>
      <c r="O476" s="19">
        <v>300.0</v>
      </c>
      <c r="P476" s="7"/>
      <c r="Q476" s="7"/>
      <c r="R476" s="7"/>
      <c r="S476" s="17"/>
      <c r="T476" s="10"/>
      <c r="U476" s="10"/>
      <c r="V476" s="10"/>
      <c r="W476" s="10"/>
      <c r="X476" s="10"/>
      <c r="Y476" s="10"/>
      <c r="Z476" s="10"/>
    </row>
    <row r="477" ht="13.5" customHeight="1">
      <c r="A477" s="13" t="s">
        <v>998</v>
      </c>
      <c r="B477" s="8" t="s">
        <v>67</v>
      </c>
      <c r="C477" s="8" t="s">
        <v>68</v>
      </c>
      <c r="D477" s="8" t="s">
        <v>931</v>
      </c>
      <c r="E477" s="9" t="s">
        <v>999</v>
      </c>
      <c r="F477" s="8" t="s">
        <v>933</v>
      </c>
      <c r="G477" s="8" t="s">
        <v>226</v>
      </c>
      <c r="H477" s="11" t="s">
        <v>207</v>
      </c>
      <c r="I477" s="11" t="s">
        <v>91</v>
      </c>
      <c r="J477" s="11" t="s">
        <v>130</v>
      </c>
      <c r="K477" s="8" t="s">
        <v>675</v>
      </c>
      <c r="L477" s="8" t="s">
        <v>676</v>
      </c>
      <c r="M477" s="17">
        <v>45484.0</v>
      </c>
      <c r="N477" s="18">
        <v>1574.79</v>
      </c>
      <c r="O477" s="19">
        <v>1600.0</v>
      </c>
      <c r="P477" s="7"/>
      <c r="Q477" s="7"/>
      <c r="R477" s="7"/>
      <c r="S477" s="17"/>
      <c r="T477" s="10"/>
      <c r="U477" s="10"/>
      <c r="V477" s="10"/>
      <c r="W477" s="10"/>
      <c r="X477" s="10"/>
      <c r="Y477" s="10"/>
      <c r="Z477" s="10"/>
    </row>
    <row r="478" ht="13.5" customHeight="1">
      <c r="A478" s="13" t="s">
        <v>1000</v>
      </c>
      <c r="B478" s="8" t="s">
        <v>132</v>
      </c>
      <c r="C478" s="8" t="s">
        <v>68</v>
      </c>
      <c r="D478" s="8" t="s">
        <v>935</v>
      </c>
      <c r="E478" s="9" t="s">
        <v>1001</v>
      </c>
      <c r="F478" s="8" t="s">
        <v>1002</v>
      </c>
      <c r="G478" s="8" t="s">
        <v>226</v>
      </c>
      <c r="H478" s="11" t="s">
        <v>207</v>
      </c>
      <c r="I478" s="11" t="s">
        <v>91</v>
      </c>
      <c r="J478" s="11" t="s">
        <v>130</v>
      </c>
      <c r="K478" s="8" t="s">
        <v>675</v>
      </c>
      <c r="L478" s="8" t="s">
        <v>676</v>
      </c>
      <c r="M478" s="17">
        <v>45484.0</v>
      </c>
      <c r="N478" s="18">
        <v>250.0</v>
      </c>
      <c r="O478" s="19">
        <v>300.0</v>
      </c>
      <c r="P478" s="7"/>
      <c r="Q478" s="7"/>
      <c r="R478" s="7"/>
      <c r="S478" s="17"/>
      <c r="T478" s="10"/>
      <c r="U478" s="10"/>
      <c r="V478" s="10"/>
      <c r="W478" s="10"/>
      <c r="X478" s="10"/>
      <c r="Y478" s="10"/>
      <c r="Z478" s="10"/>
    </row>
    <row r="479" ht="13.5" customHeight="1">
      <c r="A479" s="13" t="s">
        <v>1003</v>
      </c>
      <c r="B479" s="8" t="s">
        <v>1004</v>
      </c>
      <c r="C479" s="8" t="s">
        <v>378</v>
      </c>
      <c r="D479" s="8" t="s">
        <v>1005</v>
      </c>
      <c r="E479" s="9" t="s">
        <v>1006</v>
      </c>
      <c r="F479" s="8" t="s">
        <v>1007</v>
      </c>
      <c r="G479" s="8" t="s">
        <v>956</v>
      </c>
      <c r="H479" s="11" t="s">
        <v>670</v>
      </c>
      <c r="I479" s="11" t="s">
        <v>91</v>
      </c>
      <c r="J479" s="11" t="s">
        <v>130</v>
      </c>
      <c r="K479" s="8" t="s">
        <v>675</v>
      </c>
      <c r="L479" s="8" t="s">
        <v>719</v>
      </c>
      <c r="M479" s="17">
        <v>45484.0</v>
      </c>
      <c r="N479" s="21">
        <v>50.0</v>
      </c>
      <c r="O479" s="19">
        <v>80.0</v>
      </c>
      <c r="P479" s="7"/>
      <c r="Q479" s="7"/>
      <c r="R479" s="7"/>
      <c r="S479" s="17"/>
      <c r="T479" s="10"/>
      <c r="U479" s="10"/>
      <c r="V479" s="10"/>
      <c r="W479" s="10"/>
      <c r="X479" s="10"/>
      <c r="Y479" s="10"/>
      <c r="Z479" s="10"/>
    </row>
    <row r="480" ht="13.5" customHeight="1">
      <c r="A480" s="13" t="s">
        <v>1008</v>
      </c>
      <c r="B480" s="8" t="s">
        <v>1004</v>
      </c>
      <c r="C480" s="8" t="s">
        <v>378</v>
      </c>
      <c r="D480" s="8" t="s">
        <v>1005</v>
      </c>
      <c r="E480" s="9" t="s">
        <v>1009</v>
      </c>
      <c r="F480" s="8" t="s">
        <v>1007</v>
      </c>
      <c r="G480" s="8" t="s">
        <v>950</v>
      </c>
      <c r="H480" s="11" t="s">
        <v>670</v>
      </c>
      <c r="I480" s="11" t="s">
        <v>91</v>
      </c>
      <c r="J480" s="11" t="s">
        <v>130</v>
      </c>
      <c r="K480" s="8" t="s">
        <v>675</v>
      </c>
      <c r="L480" s="8" t="s">
        <v>719</v>
      </c>
      <c r="M480" s="17">
        <v>45484.0</v>
      </c>
      <c r="N480" s="18">
        <v>50.0</v>
      </c>
      <c r="O480" s="19">
        <v>80.0</v>
      </c>
      <c r="P480" s="7"/>
      <c r="Q480" s="7"/>
      <c r="R480" s="7"/>
      <c r="S480" s="17"/>
      <c r="T480" s="10"/>
      <c r="U480" s="10"/>
      <c r="V480" s="10"/>
      <c r="W480" s="10"/>
      <c r="X480" s="10"/>
      <c r="Y480" s="10"/>
      <c r="Z480" s="10"/>
    </row>
    <row r="481" ht="13.5" customHeight="1">
      <c r="A481" s="13" t="s">
        <v>1010</v>
      </c>
      <c r="B481" s="8" t="s">
        <v>1004</v>
      </c>
      <c r="C481" s="8" t="s">
        <v>378</v>
      </c>
      <c r="D481" s="8" t="s">
        <v>1005</v>
      </c>
      <c r="E481" s="9" t="s">
        <v>1011</v>
      </c>
      <c r="F481" s="8" t="s">
        <v>1007</v>
      </c>
      <c r="G481" s="8" t="s">
        <v>500</v>
      </c>
      <c r="H481" s="11" t="s">
        <v>259</v>
      </c>
      <c r="I481" s="11" t="s">
        <v>260</v>
      </c>
      <c r="J481" s="11" t="s">
        <v>490</v>
      </c>
      <c r="K481" s="8" t="s">
        <v>675</v>
      </c>
      <c r="L481" s="8" t="s">
        <v>719</v>
      </c>
      <c r="M481" s="17">
        <v>45484.0</v>
      </c>
      <c r="N481" s="21">
        <v>50.0</v>
      </c>
      <c r="O481" s="19">
        <v>80.0</v>
      </c>
      <c r="P481" s="7"/>
      <c r="Q481" s="7"/>
      <c r="R481" s="7"/>
      <c r="S481" s="17"/>
      <c r="T481" s="10"/>
      <c r="U481" s="10"/>
      <c r="V481" s="10"/>
      <c r="W481" s="10"/>
      <c r="X481" s="10"/>
      <c r="Y481" s="10"/>
      <c r="Z481" s="10"/>
    </row>
    <row r="482" ht="13.5" customHeight="1">
      <c r="A482" s="13" t="s">
        <v>1012</v>
      </c>
      <c r="B482" s="8" t="s">
        <v>1004</v>
      </c>
      <c r="C482" s="8" t="s">
        <v>378</v>
      </c>
      <c r="D482" s="8" t="s">
        <v>1005</v>
      </c>
      <c r="E482" s="9" t="s">
        <v>1013</v>
      </c>
      <c r="F482" s="8" t="s">
        <v>1007</v>
      </c>
      <c r="G482" s="8" t="s">
        <v>84</v>
      </c>
      <c r="H482" s="11" t="s">
        <v>259</v>
      </c>
      <c r="I482" s="11" t="s">
        <v>260</v>
      </c>
      <c r="J482" s="11" t="s">
        <v>294</v>
      </c>
      <c r="K482" s="8" t="s">
        <v>675</v>
      </c>
      <c r="L482" s="8" t="s">
        <v>719</v>
      </c>
      <c r="M482" s="17">
        <v>45484.0</v>
      </c>
      <c r="N482" s="18">
        <v>50.0</v>
      </c>
      <c r="O482" s="19">
        <v>80.0</v>
      </c>
      <c r="P482" s="7"/>
      <c r="Q482" s="7"/>
      <c r="R482" s="7"/>
      <c r="S482" s="17">
        <v>45490.0</v>
      </c>
      <c r="T482" s="10"/>
      <c r="U482" s="10"/>
      <c r="V482" s="10"/>
      <c r="W482" s="10"/>
      <c r="X482" s="10"/>
      <c r="Y482" s="10"/>
      <c r="Z482" s="10"/>
    </row>
    <row r="483" ht="13.5" customHeight="1">
      <c r="A483" s="13" t="s">
        <v>1014</v>
      </c>
      <c r="B483" s="8" t="s">
        <v>1004</v>
      </c>
      <c r="C483" s="8" t="s">
        <v>378</v>
      </c>
      <c r="D483" s="8" t="s">
        <v>1005</v>
      </c>
      <c r="E483" s="9" t="s">
        <v>1015</v>
      </c>
      <c r="F483" s="8" t="s">
        <v>1007</v>
      </c>
      <c r="G483" s="8" t="s">
        <v>258</v>
      </c>
      <c r="H483" s="11" t="s">
        <v>259</v>
      </c>
      <c r="I483" s="11" t="s">
        <v>260</v>
      </c>
      <c r="J483" s="11" t="s">
        <v>294</v>
      </c>
      <c r="K483" s="8" t="s">
        <v>675</v>
      </c>
      <c r="L483" s="8" t="s">
        <v>719</v>
      </c>
      <c r="M483" s="17">
        <v>45484.0</v>
      </c>
      <c r="N483" s="18">
        <v>50.0</v>
      </c>
      <c r="O483" s="19">
        <v>80.0</v>
      </c>
      <c r="P483" s="7"/>
      <c r="Q483" s="7"/>
      <c r="R483" s="7"/>
      <c r="S483" s="17">
        <v>45490.0</v>
      </c>
      <c r="T483" s="10"/>
      <c r="U483" s="10"/>
      <c r="V483" s="10"/>
      <c r="W483" s="10"/>
      <c r="X483" s="10"/>
      <c r="Y483" s="10"/>
      <c r="Z483" s="10"/>
    </row>
    <row r="484" ht="13.5" customHeight="1">
      <c r="A484" s="13" t="s">
        <v>1016</v>
      </c>
      <c r="B484" s="8" t="s">
        <v>1004</v>
      </c>
      <c r="C484" s="8" t="s">
        <v>378</v>
      </c>
      <c r="D484" s="8" t="s">
        <v>1005</v>
      </c>
      <c r="E484" s="9" t="s">
        <v>1017</v>
      </c>
      <c r="F484" s="8" t="s">
        <v>1007</v>
      </c>
      <c r="G484" s="8" t="s">
        <v>962</v>
      </c>
      <c r="H484" s="11" t="s">
        <v>259</v>
      </c>
      <c r="I484" s="11" t="s">
        <v>91</v>
      </c>
      <c r="J484" s="11" t="s">
        <v>130</v>
      </c>
      <c r="K484" s="8" t="s">
        <v>675</v>
      </c>
      <c r="L484" s="8" t="s">
        <v>676</v>
      </c>
      <c r="M484" s="17">
        <v>45484.0</v>
      </c>
      <c r="N484" s="18">
        <v>50.0</v>
      </c>
      <c r="O484" s="19">
        <v>80.0</v>
      </c>
      <c r="P484" s="7"/>
      <c r="Q484" s="7"/>
      <c r="R484" s="7"/>
      <c r="S484" s="17">
        <v>45490.0</v>
      </c>
      <c r="T484" s="10"/>
      <c r="U484" s="10"/>
      <c r="V484" s="10"/>
      <c r="W484" s="10"/>
      <c r="X484" s="10"/>
      <c r="Y484" s="10"/>
      <c r="Z484" s="10"/>
    </row>
    <row r="485" ht="13.5" customHeight="1">
      <c r="A485" s="13" t="s">
        <v>1018</v>
      </c>
      <c r="B485" s="8" t="s">
        <v>1004</v>
      </c>
      <c r="C485" s="8" t="s">
        <v>378</v>
      </c>
      <c r="D485" s="8" t="s">
        <v>1005</v>
      </c>
      <c r="E485" s="9" t="s">
        <v>1019</v>
      </c>
      <c r="F485" s="8" t="s">
        <v>1007</v>
      </c>
      <c r="G485" s="8" t="s">
        <v>962</v>
      </c>
      <c r="H485" s="11" t="s">
        <v>259</v>
      </c>
      <c r="I485" s="11" t="s">
        <v>91</v>
      </c>
      <c r="J485" s="11" t="s">
        <v>130</v>
      </c>
      <c r="K485" s="8" t="s">
        <v>675</v>
      </c>
      <c r="L485" s="8" t="s">
        <v>676</v>
      </c>
      <c r="M485" s="17">
        <v>45484.0</v>
      </c>
      <c r="N485" s="18">
        <v>50.0</v>
      </c>
      <c r="O485" s="19">
        <v>80.0</v>
      </c>
      <c r="P485" s="7"/>
      <c r="Q485" s="7"/>
      <c r="R485" s="7"/>
      <c r="S485" s="17"/>
      <c r="T485" s="10"/>
      <c r="U485" s="10"/>
      <c r="V485" s="10"/>
      <c r="W485" s="10"/>
      <c r="X485" s="10"/>
      <c r="Y485" s="10"/>
      <c r="Z485" s="10"/>
    </row>
    <row r="486" ht="13.5" customHeight="1">
      <c r="A486" s="13" t="s">
        <v>1020</v>
      </c>
      <c r="B486" s="8" t="s">
        <v>1004</v>
      </c>
      <c r="C486" s="8" t="s">
        <v>378</v>
      </c>
      <c r="D486" s="8" t="s">
        <v>1005</v>
      </c>
      <c r="E486" s="9" t="s">
        <v>1021</v>
      </c>
      <c r="F486" s="8" t="s">
        <v>1007</v>
      </c>
      <c r="G486" s="8" t="s">
        <v>962</v>
      </c>
      <c r="H486" s="11" t="s">
        <v>259</v>
      </c>
      <c r="I486" s="11" t="s">
        <v>91</v>
      </c>
      <c r="J486" s="11" t="s">
        <v>130</v>
      </c>
      <c r="K486" s="8" t="s">
        <v>675</v>
      </c>
      <c r="L486" s="8" t="s">
        <v>676</v>
      </c>
      <c r="M486" s="17">
        <v>45484.0</v>
      </c>
      <c r="N486" s="18">
        <v>50.0</v>
      </c>
      <c r="O486" s="19">
        <v>80.0</v>
      </c>
      <c r="P486" s="7"/>
      <c r="Q486" s="7"/>
      <c r="R486" s="7"/>
      <c r="S486" s="17">
        <v>45490.0</v>
      </c>
      <c r="T486" s="10"/>
      <c r="U486" s="10"/>
      <c r="V486" s="10"/>
      <c r="W486" s="10"/>
      <c r="X486" s="10"/>
      <c r="Y486" s="10"/>
      <c r="Z486" s="10"/>
    </row>
    <row r="487" ht="13.5" customHeight="1">
      <c r="A487" s="13" t="s">
        <v>1022</v>
      </c>
      <c r="B487" s="8" t="s">
        <v>1004</v>
      </c>
      <c r="C487" s="8" t="s">
        <v>378</v>
      </c>
      <c r="D487" s="8" t="s">
        <v>1005</v>
      </c>
      <c r="E487" s="9" t="s">
        <v>1023</v>
      </c>
      <c r="F487" s="8" t="s">
        <v>1007</v>
      </c>
      <c r="G487" s="8" t="s">
        <v>84</v>
      </c>
      <c r="H487" s="11" t="s">
        <v>259</v>
      </c>
      <c r="I487" s="11" t="s">
        <v>260</v>
      </c>
      <c r="J487" s="11" t="s">
        <v>294</v>
      </c>
      <c r="K487" s="8" t="s">
        <v>675</v>
      </c>
      <c r="L487" s="8" t="s">
        <v>676</v>
      </c>
      <c r="M487" s="17">
        <v>45484.0</v>
      </c>
      <c r="N487" s="18">
        <v>50.0</v>
      </c>
      <c r="O487" s="19">
        <v>80.0</v>
      </c>
      <c r="P487" s="7"/>
      <c r="Q487" s="7"/>
      <c r="R487" s="7"/>
      <c r="S487" s="17"/>
      <c r="T487" s="10"/>
      <c r="U487" s="10"/>
      <c r="V487" s="10"/>
      <c r="W487" s="10"/>
      <c r="X487" s="10"/>
      <c r="Y487" s="10"/>
      <c r="Z487" s="10"/>
    </row>
    <row r="488" ht="13.5" customHeight="1">
      <c r="A488" s="13" t="s">
        <v>1024</v>
      </c>
      <c r="B488" s="8" t="s">
        <v>1004</v>
      </c>
      <c r="C488" s="8" t="s">
        <v>378</v>
      </c>
      <c r="D488" s="8" t="s">
        <v>1005</v>
      </c>
      <c r="E488" s="9" t="s">
        <v>1025</v>
      </c>
      <c r="F488" s="8" t="s">
        <v>1007</v>
      </c>
      <c r="G488" s="8" t="s">
        <v>973</v>
      </c>
      <c r="H488" s="11" t="s">
        <v>26</v>
      </c>
      <c r="I488" s="11" t="s">
        <v>91</v>
      </c>
      <c r="J488" s="11" t="s">
        <v>130</v>
      </c>
      <c r="K488" s="8" t="s">
        <v>675</v>
      </c>
      <c r="L488" s="8" t="s">
        <v>676</v>
      </c>
      <c r="M488" s="17">
        <v>45484.0</v>
      </c>
      <c r="N488" s="18">
        <v>50.0</v>
      </c>
      <c r="O488" s="19">
        <v>80.0</v>
      </c>
      <c r="P488" s="7"/>
      <c r="Q488" s="7"/>
      <c r="R488" s="7"/>
      <c r="S488" s="17"/>
      <c r="T488" s="10"/>
      <c r="U488" s="10"/>
      <c r="V488" s="10"/>
      <c r="W488" s="10"/>
      <c r="X488" s="10"/>
      <c r="Y488" s="10"/>
      <c r="Z488" s="10"/>
    </row>
    <row r="489" ht="13.5" customHeight="1">
      <c r="A489" s="13" t="s">
        <v>1026</v>
      </c>
      <c r="B489" s="8" t="s">
        <v>1004</v>
      </c>
      <c r="C489" s="8" t="s">
        <v>378</v>
      </c>
      <c r="D489" s="8" t="s">
        <v>1005</v>
      </c>
      <c r="E489" s="9" t="s">
        <v>1027</v>
      </c>
      <c r="F489" s="8" t="s">
        <v>1007</v>
      </c>
      <c r="G489" s="8" t="s">
        <v>973</v>
      </c>
      <c r="H489" s="11" t="s">
        <v>26</v>
      </c>
      <c r="I489" s="11" t="s">
        <v>91</v>
      </c>
      <c r="J489" s="11" t="s">
        <v>130</v>
      </c>
      <c r="K489" s="8" t="s">
        <v>675</v>
      </c>
      <c r="L489" s="8" t="s">
        <v>676</v>
      </c>
      <c r="M489" s="17">
        <v>45484.0</v>
      </c>
      <c r="N489" s="18">
        <v>50.0</v>
      </c>
      <c r="O489" s="19">
        <v>80.0</v>
      </c>
      <c r="P489" s="7"/>
      <c r="Q489" s="7"/>
      <c r="R489" s="7"/>
      <c r="S489" s="17">
        <v>45490.0</v>
      </c>
      <c r="T489" s="10"/>
      <c r="U489" s="10"/>
      <c r="V489" s="10"/>
      <c r="W489" s="10"/>
      <c r="X489" s="10"/>
      <c r="Y489" s="10"/>
      <c r="Z489" s="10"/>
    </row>
    <row r="490" ht="13.5" customHeight="1">
      <c r="A490" s="13" t="s">
        <v>1028</v>
      </c>
      <c r="B490" s="8" t="s">
        <v>1004</v>
      </c>
      <c r="C490" s="8" t="s">
        <v>378</v>
      </c>
      <c r="D490" s="8" t="s">
        <v>1005</v>
      </c>
      <c r="E490" s="9" t="s">
        <v>1029</v>
      </c>
      <c r="F490" s="8" t="s">
        <v>1007</v>
      </c>
      <c r="G490" s="8" t="s">
        <v>226</v>
      </c>
      <c r="H490" s="11" t="s">
        <v>207</v>
      </c>
      <c r="I490" s="11" t="s">
        <v>91</v>
      </c>
      <c r="J490" s="11" t="s">
        <v>130</v>
      </c>
      <c r="K490" s="8" t="s">
        <v>675</v>
      </c>
      <c r="L490" s="8" t="s">
        <v>676</v>
      </c>
      <c r="M490" s="17">
        <v>45484.0</v>
      </c>
      <c r="N490" s="18">
        <v>50.0</v>
      </c>
      <c r="O490" s="19">
        <v>80.0</v>
      </c>
      <c r="P490" s="7"/>
      <c r="Q490" s="7"/>
      <c r="R490" s="7"/>
      <c r="S490" s="17"/>
      <c r="T490" s="10"/>
      <c r="U490" s="10"/>
      <c r="V490" s="10"/>
      <c r="W490" s="10"/>
      <c r="X490" s="10"/>
      <c r="Y490" s="10"/>
      <c r="Z490" s="10"/>
    </row>
    <row r="491" ht="13.5" customHeight="1">
      <c r="A491" s="13" t="s">
        <v>1030</v>
      </c>
      <c r="B491" s="8" t="s">
        <v>1004</v>
      </c>
      <c r="C491" s="8" t="s">
        <v>378</v>
      </c>
      <c r="D491" s="8" t="s">
        <v>1005</v>
      </c>
      <c r="E491" s="9" t="s">
        <v>1031</v>
      </c>
      <c r="F491" s="8" t="s">
        <v>1007</v>
      </c>
      <c r="G491" s="8" t="s">
        <v>226</v>
      </c>
      <c r="H491" s="11" t="s">
        <v>207</v>
      </c>
      <c r="I491" s="11" t="s">
        <v>91</v>
      </c>
      <c r="J491" s="11" t="s">
        <v>130</v>
      </c>
      <c r="K491" s="8" t="s">
        <v>675</v>
      </c>
      <c r="L491" s="8" t="s">
        <v>676</v>
      </c>
      <c r="M491" s="17">
        <v>45484.0</v>
      </c>
      <c r="N491" s="18">
        <v>50.0</v>
      </c>
      <c r="O491" s="19">
        <v>80.0</v>
      </c>
      <c r="P491" s="7"/>
      <c r="Q491" s="7"/>
      <c r="R491" s="7"/>
      <c r="S491" s="17">
        <v>45490.0</v>
      </c>
      <c r="T491" s="10"/>
      <c r="U491" s="10"/>
      <c r="V491" s="10"/>
      <c r="W491" s="10"/>
      <c r="X491" s="10"/>
      <c r="Y491" s="10"/>
      <c r="Z491" s="10"/>
    </row>
    <row r="492" ht="13.5" customHeight="1">
      <c r="A492" s="13" t="s">
        <v>1032</v>
      </c>
      <c r="B492" s="8" t="s">
        <v>167</v>
      </c>
      <c r="C492" s="8" t="s">
        <v>296</v>
      </c>
      <c r="D492" s="8" t="s">
        <v>1033</v>
      </c>
      <c r="E492" s="9" t="s">
        <v>1034</v>
      </c>
      <c r="F492" s="8" t="s">
        <v>1035</v>
      </c>
      <c r="G492" s="8" t="s">
        <v>709</v>
      </c>
      <c r="H492" s="11" t="s">
        <v>670</v>
      </c>
      <c r="I492" s="11" t="s">
        <v>260</v>
      </c>
      <c r="J492" s="11" t="s">
        <v>261</v>
      </c>
      <c r="K492" s="8" t="s">
        <v>956</v>
      </c>
      <c r="L492" s="8" t="s">
        <v>676</v>
      </c>
      <c r="M492" s="20">
        <v>45488.0</v>
      </c>
      <c r="N492" s="21">
        <v>855.93</v>
      </c>
      <c r="O492" s="22">
        <v>1010.0</v>
      </c>
      <c r="P492" s="8" t="s">
        <v>709</v>
      </c>
      <c r="Q492" s="7"/>
      <c r="R492" s="7"/>
      <c r="S492" s="17"/>
      <c r="T492" s="10"/>
      <c r="U492" s="10"/>
      <c r="V492" s="10"/>
      <c r="W492" s="10"/>
      <c r="X492" s="10"/>
      <c r="Y492" s="10"/>
      <c r="Z492" s="10"/>
    </row>
    <row r="493" ht="13.5" customHeight="1">
      <c r="A493" s="13" t="s">
        <v>1036</v>
      </c>
      <c r="B493" s="8" t="s">
        <v>301</v>
      </c>
      <c r="C493" s="8" t="s">
        <v>296</v>
      </c>
      <c r="D493" s="8" t="s">
        <v>1037</v>
      </c>
      <c r="E493" s="9" t="s">
        <v>1038</v>
      </c>
      <c r="F493" s="8" t="s">
        <v>1039</v>
      </c>
      <c r="G493" s="8" t="s">
        <v>709</v>
      </c>
      <c r="H493" s="11" t="s">
        <v>670</v>
      </c>
      <c r="I493" s="11" t="s">
        <v>260</v>
      </c>
      <c r="J493" s="11" t="s">
        <v>261</v>
      </c>
      <c r="K493" s="8" t="s">
        <v>956</v>
      </c>
      <c r="L493" s="8" t="s">
        <v>676</v>
      </c>
      <c r="M493" s="20">
        <v>45488.0</v>
      </c>
      <c r="N493" s="21">
        <v>60.0</v>
      </c>
      <c r="O493" s="22">
        <v>70.0</v>
      </c>
      <c r="P493" s="8" t="s">
        <v>709</v>
      </c>
      <c r="Q493" s="7"/>
      <c r="R493" s="7"/>
      <c r="S493" s="17"/>
      <c r="T493" s="10"/>
      <c r="U493" s="10"/>
      <c r="V493" s="10"/>
      <c r="W493" s="10"/>
      <c r="X493" s="10"/>
      <c r="Y493" s="10"/>
      <c r="Z493" s="10"/>
    </row>
    <row r="494" ht="13.5" customHeight="1">
      <c r="A494" s="13" t="s">
        <v>1040</v>
      </c>
      <c r="B494" s="8" t="s">
        <v>167</v>
      </c>
      <c r="C494" s="8" t="s">
        <v>296</v>
      </c>
      <c r="D494" s="8" t="s">
        <v>1033</v>
      </c>
      <c r="E494" s="9" t="s">
        <v>1041</v>
      </c>
      <c r="F494" s="8" t="s">
        <v>1042</v>
      </c>
      <c r="G494" s="8" t="s">
        <v>882</v>
      </c>
      <c r="H494" s="11" t="s">
        <v>670</v>
      </c>
      <c r="I494" s="11" t="s">
        <v>883</v>
      </c>
      <c r="J494" s="11" t="s">
        <v>884</v>
      </c>
      <c r="K494" s="8" t="s">
        <v>675</v>
      </c>
      <c r="L494" s="8" t="s">
        <v>676</v>
      </c>
      <c r="M494" s="20">
        <v>45488.0</v>
      </c>
      <c r="N494" s="21">
        <v>855.93</v>
      </c>
      <c r="O494" s="22">
        <v>1010.0</v>
      </c>
      <c r="P494" s="7"/>
      <c r="Q494" s="7"/>
      <c r="R494" s="7"/>
      <c r="S494" s="17"/>
      <c r="T494" s="10"/>
      <c r="U494" s="10"/>
      <c r="V494" s="10"/>
      <c r="W494" s="10"/>
      <c r="X494" s="10"/>
      <c r="Y494" s="10"/>
      <c r="Z494" s="10"/>
    </row>
    <row r="495" ht="13.5" customHeight="1">
      <c r="A495" s="13" t="s">
        <v>1043</v>
      </c>
      <c r="B495" s="8" t="s">
        <v>301</v>
      </c>
      <c r="C495" s="8" t="s">
        <v>296</v>
      </c>
      <c r="D495" s="8" t="s">
        <v>1037</v>
      </c>
      <c r="E495" s="9" t="s">
        <v>1044</v>
      </c>
      <c r="F495" s="8" t="s">
        <v>1045</v>
      </c>
      <c r="G495" s="8" t="s">
        <v>882</v>
      </c>
      <c r="H495" s="11" t="s">
        <v>670</v>
      </c>
      <c r="I495" s="11" t="s">
        <v>883</v>
      </c>
      <c r="J495" s="11" t="s">
        <v>884</v>
      </c>
      <c r="K495" s="8" t="s">
        <v>675</v>
      </c>
      <c r="L495" s="8" t="s">
        <v>676</v>
      </c>
      <c r="M495" s="20">
        <v>45488.0</v>
      </c>
      <c r="N495" s="21">
        <v>60.0</v>
      </c>
      <c r="O495" s="22">
        <v>70.0</v>
      </c>
      <c r="P495" s="7"/>
      <c r="Q495" s="7"/>
      <c r="R495" s="7"/>
      <c r="S495" s="17"/>
      <c r="T495" s="10"/>
      <c r="U495" s="10"/>
      <c r="V495" s="10"/>
      <c r="W495" s="10"/>
      <c r="X495" s="10"/>
      <c r="Y495" s="10"/>
      <c r="Z495" s="10"/>
    </row>
    <row r="496" ht="13.5" customHeight="1">
      <c r="A496" s="13" t="s">
        <v>1046</v>
      </c>
      <c r="B496" s="8" t="s">
        <v>167</v>
      </c>
      <c r="C496" s="8" t="s">
        <v>296</v>
      </c>
      <c r="D496" s="8" t="s">
        <v>1033</v>
      </c>
      <c r="E496" s="9" t="s">
        <v>1047</v>
      </c>
      <c r="F496" s="8" t="s">
        <v>1048</v>
      </c>
      <c r="G496" s="8" t="s">
        <v>1049</v>
      </c>
      <c r="H496" s="11" t="s">
        <v>670</v>
      </c>
      <c r="I496" s="11" t="s">
        <v>27</v>
      </c>
      <c r="J496" s="11" t="s">
        <v>884</v>
      </c>
      <c r="K496" s="8" t="s">
        <v>956</v>
      </c>
      <c r="L496" s="8" t="s">
        <v>676</v>
      </c>
      <c r="M496" s="20">
        <v>45488.0</v>
      </c>
      <c r="N496" s="21">
        <v>855.93</v>
      </c>
      <c r="O496" s="22">
        <v>1010.0</v>
      </c>
      <c r="P496" s="8" t="s">
        <v>1050</v>
      </c>
      <c r="Q496" s="7"/>
      <c r="R496" s="7"/>
      <c r="S496" s="17"/>
      <c r="T496" s="10"/>
      <c r="U496" s="10"/>
      <c r="V496" s="10"/>
      <c r="W496" s="10"/>
      <c r="X496" s="10"/>
      <c r="Y496" s="10"/>
      <c r="Z496" s="10"/>
    </row>
    <row r="497" ht="13.5" customHeight="1">
      <c r="A497" s="13" t="s">
        <v>1051</v>
      </c>
      <c r="B497" s="8" t="s">
        <v>301</v>
      </c>
      <c r="C497" s="8" t="s">
        <v>296</v>
      </c>
      <c r="D497" s="8" t="s">
        <v>1037</v>
      </c>
      <c r="E497" s="9" t="s">
        <v>1052</v>
      </c>
      <c r="F497" s="8" t="s">
        <v>1053</v>
      </c>
      <c r="G497" s="8" t="s">
        <v>1049</v>
      </c>
      <c r="H497" s="11" t="s">
        <v>670</v>
      </c>
      <c r="I497" s="11" t="s">
        <v>27</v>
      </c>
      <c r="J497" s="11" t="s">
        <v>884</v>
      </c>
      <c r="K497" s="8" t="s">
        <v>956</v>
      </c>
      <c r="L497" s="8" t="s">
        <v>676</v>
      </c>
      <c r="M497" s="20">
        <v>45488.0</v>
      </c>
      <c r="N497" s="21">
        <v>60.0</v>
      </c>
      <c r="O497" s="22">
        <v>70.0</v>
      </c>
      <c r="P497" s="7"/>
      <c r="Q497" s="7"/>
      <c r="R497" s="7"/>
      <c r="S497" s="17"/>
      <c r="T497" s="10"/>
      <c r="U497" s="10"/>
      <c r="V497" s="10"/>
      <c r="W497" s="10"/>
      <c r="X497" s="10"/>
      <c r="Y497" s="10"/>
      <c r="Z497" s="10"/>
    </row>
    <row r="498" ht="13.5" customHeight="1">
      <c r="A498" s="13" t="s">
        <v>1054</v>
      </c>
      <c r="B498" s="8" t="s">
        <v>167</v>
      </c>
      <c r="C498" s="8" t="s">
        <v>296</v>
      </c>
      <c r="D498" s="8" t="s">
        <v>1033</v>
      </c>
      <c r="E498" s="9" t="s">
        <v>1055</v>
      </c>
      <c r="F498" s="8" t="s">
        <v>1056</v>
      </c>
      <c r="G498" s="8" t="s">
        <v>84</v>
      </c>
      <c r="H498" s="11" t="s">
        <v>259</v>
      </c>
      <c r="I498" s="11" t="s">
        <v>260</v>
      </c>
      <c r="J498" s="11" t="s">
        <v>294</v>
      </c>
      <c r="K498" s="8" t="s">
        <v>675</v>
      </c>
      <c r="L498" s="8" t="s">
        <v>676</v>
      </c>
      <c r="M498" s="20">
        <v>45488.0</v>
      </c>
      <c r="N498" s="21">
        <v>855.93</v>
      </c>
      <c r="O498" s="22">
        <v>1010.0</v>
      </c>
      <c r="P498" s="7"/>
      <c r="Q498" s="7"/>
      <c r="R498" s="7"/>
      <c r="S498" s="17"/>
      <c r="T498" s="10"/>
      <c r="U498" s="10"/>
      <c r="V498" s="10"/>
      <c r="W498" s="10"/>
      <c r="X498" s="10"/>
      <c r="Y498" s="10"/>
      <c r="Z498" s="10"/>
    </row>
    <row r="499" ht="13.5" customHeight="1">
      <c r="A499" s="13" t="s">
        <v>1057</v>
      </c>
      <c r="B499" s="8" t="s">
        <v>301</v>
      </c>
      <c r="C499" s="8" t="s">
        <v>296</v>
      </c>
      <c r="D499" s="8" t="s">
        <v>1037</v>
      </c>
      <c r="E499" s="9" t="s">
        <v>1058</v>
      </c>
      <c r="F499" s="8" t="s">
        <v>1059</v>
      </c>
      <c r="G499" s="8" t="s">
        <v>84</v>
      </c>
      <c r="H499" s="11" t="s">
        <v>259</v>
      </c>
      <c r="I499" s="11" t="s">
        <v>260</v>
      </c>
      <c r="J499" s="11" t="s">
        <v>294</v>
      </c>
      <c r="K499" s="8" t="s">
        <v>675</v>
      </c>
      <c r="L499" s="8" t="s">
        <v>676</v>
      </c>
      <c r="M499" s="20">
        <v>45488.0</v>
      </c>
      <c r="N499" s="21">
        <v>60.0</v>
      </c>
      <c r="O499" s="22">
        <v>70.0</v>
      </c>
      <c r="P499" s="7"/>
      <c r="Q499" s="7"/>
      <c r="R499" s="7"/>
      <c r="S499" s="17"/>
      <c r="T499" s="10"/>
      <c r="U499" s="10"/>
      <c r="V499" s="10"/>
      <c r="W499" s="10"/>
      <c r="X499" s="10"/>
      <c r="Y499" s="10"/>
      <c r="Z499" s="10"/>
    </row>
    <row r="500" ht="13.5" customHeight="1">
      <c r="A500" s="13" t="s">
        <v>1060</v>
      </c>
      <c r="B500" s="8" t="s">
        <v>167</v>
      </c>
      <c r="C500" s="8" t="s">
        <v>296</v>
      </c>
      <c r="D500" s="8" t="s">
        <v>1061</v>
      </c>
      <c r="E500" s="9" t="s">
        <v>1062</v>
      </c>
      <c r="F500" s="8" t="s">
        <v>1063</v>
      </c>
      <c r="G500" s="8" t="s">
        <v>683</v>
      </c>
      <c r="H500" s="11" t="s">
        <v>670</v>
      </c>
      <c r="I500" s="11" t="s">
        <v>27</v>
      </c>
      <c r="J500" s="11" t="s">
        <v>684</v>
      </c>
      <c r="K500" s="8" t="s">
        <v>675</v>
      </c>
      <c r="L500" s="8" t="s">
        <v>676</v>
      </c>
      <c r="M500" s="20">
        <v>45488.0</v>
      </c>
      <c r="N500" s="21">
        <v>644.0</v>
      </c>
      <c r="O500" s="22">
        <v>760.0</v>
      </c>
      <c r="P500" s="7"/>
      <c r="Q500" s="7"/>
      <c r="R500" s="7"/>
      <c r="S500" s="17"/>
      <c r="T500" s="10"/>
      <c r="U500" s="10"/>
      <c r="V500" s="10"/>
      <c r="W500" s="10"/>
      <c r="X500" s="10"/>
      <c r="Y500" s="10"/>
      <c r="Z500" s="10"/>
    </row>
    <row r="501" ht="13.5" customHeight="1">
      <c r="A501" s="13" t="s">
        <v>1064</v>
      </c>
      <c r="B501" s="8" t="s">
        <v>301</v>
      </c>
      <c r="C501" s="8" t="s">
        <v>296</v>
      </c>
      <c r="D501" s="8" t="s">
        <v>1065</v>
      </c>
      <c r="E501" s="9" t="s">
        <v>1066</v>
      </c>
      <c r="F501" s="8" t="s">
        <v>1067</v>
      </c>
      <c r="G501" s="8" t="s">
        <v>683</v>
      </c>
      <c r="H501" s="11" t="s">
        <v>670</v>
      </c>
      <c r="I501" s="11" t="s">
        <v>27</v>
      </c>
      <c r="J501" s="11" t="s">
        <v>684</v>
      </c>
      <c r="K501" s="8" t="s">
        <v>675</v>
      </c>
      <c r="L501" s="8" t="s">
        <v>676</v>
      </c>
      <c r="M501" s="20">
        <v>45488.0</v>
      </c>
      <c r="N501" s="21">
        <v>60.0</v>
      </c>
      <c r="O501" s="22">
        <v>50.0</v>
      </c>
      <c r="P501" s="7"/>
      <c r="Q501" s="7"/>
      <c r="R501" s="7"/>
      <c r="S501" s="17"/>
      <c r="T501" s="10"/>
      <c r="U501" s="10"/>
      <c r="V501" s="10"/>
      <c r="W501" s="10"/>
      <c r="X501" s="10"/>
      <c r="Y501" s="10"/>
      <c r="Z501" s="10"/>
    </row>
    <row r="502" ht="13.5" customHeight="1">
      <c r="A502" s="13" t="s">
        <v>1068</v>
      </c>
      <c r="B502" s="8" t="s">
        <v>167</v>
      </c>
      <c r="C502" s="8" t="s">
        <v>296</v>
      </c>
      <c r="D502" s="8" t="s">
        <v>1061</v>
      </c>
      <c r="E502" s="9" t="s">
        <v>1069</v>
      </c>
      <c r="F502" s="8" t="s">
        <v>1070</v>
      </c>
      <c r="G502" s="8" t="s">
        <v>1071</v>
      </c>
      <c r="H502" s="11" t="s">
        <v>670</v>
      </c>
      <c r="I502" s="11" t="s">
        <v>91</v>
      </c>
      <c r="J502" s="11" t="s">
        <v>130</v>
      </c>
      <c r="K502" s="8" t="s">
        <v>675</v>
      </c>
      <c r="L502" s="8" t="s">
        <v>676</v>
      </c>
      <c r="M502" s="20">
        <v>45488.0</v>
      </c>
      <c r="N502" s="21">
        <v>644.0</v>
      </c>
      <c r="O502" s="22">
        <v>760.0</v>
      </c>
      <c r="P502" s="7"/>
      <c r="Q502" s="7"/>
      <c r="R502" s="7"/>
      <c r="S502" s="17"/>
      <c r="T502" s="10"/>
      <c r="U502" s="10"/>
      <c r="V502" s="10"/>
      <c r="W502" s="10"/>
      <c r="X502" s="10"/>
      <c r="Y502" s="10"/>
      <c r="Z502" s="10"/>
    </row>
    <row r="503" ht="13.5" customHeight="1">
      <c r="A503" s="13" t="s">
        <v>1072</v>
      </c>
      <c r="B503" s="8" t="s">
        <v>301</v>
      </c>
      <c r="C503" s="8" t="s">
        <v>296</v>
      </c>
      <c r="D503" s="8" t="s">
        <v>1065</v>
      </c>
      <c r="E503" s="9" t="s">
        <v>1073</v>
      </c>
      <c r="F503" s="8" t="s">
        <v>1074</v>
      </c>
      <c r="G503" s="8" t="s">
        <v>1071</v>
      </c>
      <c r="H503" s="11" t="s">
        <v>670</v>
      </c>
      <c r="I503" s="11" t="s">
        <v>91</v>
      </c>
      <c r="J503" s="11" t="s">
        <v>130</v>
      </c>
      <c r="K503" s="8" t="s">
        <v>675</v>
      </c>
      <c r="L503" s="8" t="s">
        <v>676</v>
      </c>
      <c r="M503" s="20">
        <v>45488.0</v>
      </c>
      <c r="N503" s="21">
        <v>60.0</v>
      </c>
      <c r="O503" s="22">
        <v>50.0</v>
      </c>
      <c r="P503" s="7"/>
      <c r="Q503" s="7"/>
      <c r="R503" s="7"/>
      <c r="S503" s="17"/>
      <c r="T503" s="10"/>
      <c r="U503" s="10"/>
      <c r="V503" s="10"/>
      <c r="W503" s="10"/>
      <c r="X503" s="10"/>
      <c r="Y503" s="10"/>
      <c r="Z503" s="10"/>
    </row>
    <row r="504" ht="13.5" customHeight="1">
      <c r="A504" s="13" t="s">
        <v>1075</v>
      </c>
      <c r="B504" s="8" t="s">
        <v>167</v>
      </c>
      <c r="C504" s="8" t="s">
        <v>296</v>
      </c>
      <c r="D504" s="8" t="s">
        <v>1061</v>
      </c>
      <c r="E504" s="9" t="s">
        <v>1076</v>
      </c>
      <c r="F504" s="8" t="s">
        <v>1077</v>
      </c>
      <c r="G504" s="8" t="s">
        <v>1078</v>
      </c>
      <c r="H504" s="11" t="s">
        <v>670</v>
      </c>
      <c r="I504" s="11" t="s">
        <v>91</v>
      </c>
      <c r="J504" s="11" t="s">
        <v>1079</v>
      </c>
      <c r="K504" s="8" t="s">
        <v>675</v>
      </c>
      <c r="L504" s="8" t="s">
        <v>676</v>
      </c>
      <c r="M504" s="20">
        <v>45488.0</v>
      </c>
      <c r="N504" s="21">
        <v>644.0</v>
      </c>
      <c r="O504" s="22">
        <v>760.0</v>
      </c>
      <c r="P504" s="7"/>
      <c r="Q504" s="7"/>
      <c r="R504" s="7"/>
      <c r="S504" s="17"/>
      <c r="T504" s="10"/>
      <c r="U504" s="10"/>
      <c r="V504" s="10"/>
      <c r="W504" s="10"/>
      <c r="X504" s="10"/>
      <c r="Y504" s="10"/>
      <c r="Z504" s="10"/>
    </row>
    <row r="505" ht="13.5" customHeight="1">
      <c r="A505" s="13" t="s">
        <v>1080</v>
      </c>
      <c r="B505" s="8" t="s">
        <v>301</v>
      </c>
      <c r="C505" s="8" t="s">
        <v>296</v>
      </c>
      <c r="D505" s="8" t="s">
        <v>1065</v>
      </c>
      <c r="E505" s="9" t="s">
        <v>1081</v>
      </c>
      <c r="F505" s="8" t="s">
        <v>1082</v>
      </c>
      <c r="G505" s="8" t="s">
        <v>1078</v>
      </c>
      <c r="H505" s="11" t="s">
        <v>670</v>
      </c>
      <c r="I505" s="11" t="s">
        <v>91</v>
      </c>
      <c r="J505" s="11" t="s">
        <v>1079</v>
      </c>
      <c r="K505" s="8" t="s">
        <v>675</v>
      </c>
      <c r="L505" s="8" t="s">
        <v>676</v>
      </c>
      <c r="M505" s="20">
        <v>45488.0</v>
      </c>
      <c r="N505" s="21">
        <v>60.0</v>
      </c>
      <c r="O505" s="22">
        <v>50.0</v>
      </c>
      <c r="P505" s="7"/>
      <c r="Q505" s="7"/>
      <c r="R505" s="7"/>
      <c r="S505" s="17"/>
      <c r="T505" s="10"/>
      <c r="U505" s="10"/>
      <c r="V505" s="10"/>
      <c r="W505" s="10"/>
      <c r="X505" s="10"/>
      <c r="Y505" s="10"/>
      <c r="Z505" s="10"/>
    </row>
    <row r="506" ht="13.5" customHeight="1">
      <c r="A506" s="13" t="s">
        <v>1083</v>
      </c>
      <c r="B506" s="8" t="s">
        <v>167</v>
      </c>
      <c r="C506" s="8" t="s">
        <v>296</v>
      </c>
      <c r="D506" s="8" t="s">
        <v>1061</v>
      </c>
      <c r="E506" s="9" t="s">
        <v>1084</v>
      </c>
      <c r="F506" s="8" t="s">
        <v>1085</v>
      </c>
      <c r="G506" s="8" t="s">
        <v>129</v>
      </c>
      <c r="H506" s="11" t="s">
        <v>103</v>
      </c>
      <c r="I506" s="11" t="s">
        <v>91</v>
      </c>
      <c r="J506" s="11" t="s">
        <v>130</v>
      </c>
      <c r="K506" s="8" t="s">
        <v>675</v>
      </c>
      <c r="L506" s="8" t="s">
        <v>676</v>
      </c>
      <c r="M506" s="20">
        <v>45488.0</v>
      </c>
      <c r="N506" s="21">
        <v>644.0</v>
      </c>
      <c r="O506" s="22">
        <v>760.0</v>
      </c>
      <c r="P506" s="7"/>
      <c r="Q506" s="7"/>
      <c r="R506" s="7"/>
      <c r="S506" s="17"/>
      <c r="T506" s="10"/>
      <c r="U506" s="10"/>
      <c r="V506" s="10"/>
      <c r="W506" s="10"/>
      <c r="X506" s="10"/>
      <c r="Y506" s="10"/>
      <c r="Z506" s="10"/>
    </row>
    <row r="507" ht="13.5" customHeight="1">
      <c r="A507" s="13" t="s">
        <v>1086</v>
      </c>
      <c r="B507" s="8" t="s">
        <v>301</v>
      </c>
      <c r="C507" s="8" t="s">
        <v>296</v>
      </c>
      <c r="D507" s="8" t="s">
        <v>1065</v>
      </c>
      <c r="E507" s="9" t="s">
        <v>1087</v>
      </c>
      <c r="F507" s="8" t="s">
        <v>1088</v>
      </c>
      <c r="G507" s="8" t="s">
        <v>129</v>
      </c>
      <c r="H507" s="11" t="s">
        <v>103</v>
      </c>
      <c r="I507" s="11" t="s">
        <v>91</v>
      </c>
      <c r="J507" s="11" t="s">
        <v>130</v>
      </c>
      <c r="K507" s="8" t="s">
        <v>675</v>
      </c>
      <c r="L507" s="8" t="s">
        <v>676</v>
      </c>
      <c r="M507" s="20">
        <v>45488.0</v>
      </c>
      <c r="N507" s="21">
        <v>60.0</v>
      </c>
      <c r="O507" s="22">
        <v>50.0</v>
      </c>
      <c r="P507" s="7"/>
      <c r="Q507" s="7"/>
      <c r="R507" s="7"/>
      <c r="S507" s="17"/>
      <c r="T507" s="10"/>
      <c r="U507" s="10"/>
      <c r="V507" s="10"/>
      <c r="W507" s="10"/>
      <c r="X507" s="10"/>
      <c r="Y507" s="10"/>
      <c r="Z507" s="10"/>
    </row>
    <row r="508" ht="13.5" customHeight="1">
      <c r="A508" s="13" t="s">
        <v>1089</v>
      </c>
      <c r="B508" s="8" t="s">
        <v>167</v>
      </c>
      <c r="C508" s="8" t="s">
        <v>296</v>
      </c>
      <c r="D508" s="8" t="s">
        <v>1061</v>
      </c>
      <c r="E508" s="9" t="s">
        <v>1090</v>
      </c>
      <c r="F508" s="8" t="s">
        <v>1091</v>
      </c>
      <c r="G508" s="8" t="s">
        <v>1092</v>
      </c>
      <c r="H508" s="11" t="s">
        <v>103</v>
      </c>
      <c r="I508" s="11" t="s">
        <v>91</v>
      </c>
      <c r="J508" s="11" t="s">
        <v>130</v>
      </c>
      <c r="K508" s="8" t="s">
        <v>675</v>
      </c>
      <c r="L508" s="8" t="s">
        <v>676</v>
      </c>
      <c r="M508" s="20">
        <v>45488.0</v>
      </c>
      <c r="N508" s="21">
        <v>644.0</v>
      </c>
      <c r="O508" s="22">
        <v>760.0</v>
      </c>
      <c r="P508" s="7"/>
      <c r="Q508" s="7"/>
      <c r="R508" s="7"/>
      <c r="S508" s="17"/>
      <c r="T508" s="10"/>
      <c r="U508" s="10"/>
      <c r="V508" s="10"/>
      <c r="W508" s="10"/>
      <c r="X508" s="10"/>
      <c r="Y508" s="10"/>
      <c r="Z508" s="10"/>
    </row>
    <row r="509" ht="13.5" customHeight="1">
      <c r="A509" s="13" t="s">
        <v>1093</v>
      </c>
      <c r="B509" s="8" t="s">
        <v>301</v>
      </c>
      <c r="C509" s="8" t="s">
        <v>296</v>
      </c>
      <c r="D509" s="8" t="s">
        <v>1065</v>
      </c>
      <c r="E509" s="9" t="s">
        <v>1094</v>
      </c>
      <c r="F509" s="8" t="s">
        <v>1095</v>
      </c>
      <c r="G509" s="8" t="s">
        <v>1092</v>
      </c>
      <c r="H509" s="11" t="s">
        <v>103</v>
      </c>
      <c r="I509" s="11" t="s">
        <v>91</v>
      </c>
      <c r="J509" s="11" t="s">
        <v>130</v>
      </c>
      <c r="K509" s="8" t="s">
        <v>675</v>
      </c>
      <c r="L509" s="8" t="s">
        <v>676</v>
      </c>
      <c r="M509" s="20">
        <v>45488.0</v>
      </c>
      <c r="N509" s="21">
        <v>60.0</v>
      </c>
      <c r="O509" s="22">
        <v>50.0</v>
      </c>
      <c r="P509" s="7"/>
      <c r="Q509" s="7"/>
      <c r="R509" s="7"/>
      <c r="S509" s="17"/>
      <c r="T509" s="10"/>
      <c r="U509" s="10"/>
      <c r="V509" s="10"/>
      <c r="W509" s="10"/>
      <c r="X509" s="10"/>
      <c r="Y509" s="10"/>
      <c r="Z509" s="10"/>
    </row>
    <row r="510" ht="13.5" customHeight="1">
      <c r="A510" s="13" t="s">
        <v>1096</v>
      </c>
      <c r="B510" s="8" t="s">
        <v>167</v>
      </c>
      <c r="C510" s="8" t="s">
        <v>296</v>
      </c>
      <c r="D510" s="8" t="s">
        <v>1061</v>
      </c>
      <c r="E510" s="9" t="s">
        <v>1097</v>
      </c>
      <c r="F510" s="8" t="s">
        <v>1098</v>
      </c>
      <c r="G510" s="8" t="s">
        <v>1099</v>
      </c>
      <c r="H510" s="11" t="s">
        <v>103</v>
      </c>
      <c r="I510" s="11" t="s">
        <v>91</v>
      </c>
      <c r="J510" s="11" t="s">
        <v>130</v>
      </c>
      <c r="K510" s="8" t="s">
        <v>675</v>
      </c>
      <c r="L510" s="8" t="s">
        <v>676</v>
      </c>
      <c r="M510" s="20">
        <v>45488.0</v>
      </c>
      <c r="N510" s="21">
        <v>644.0</v>
      </c>
      <c r="O510" s="22">
        <v>760.0</v>
      </c>
      <c r="P510" s="7"/>
      <c r="Q510" s="7"/>
      <c r="R510" s="7"/>
      <c r="S510" s="17"/>
      <c r="T510" s="10"/>
      <c r="U510" s="10"/>
      <c r="V510" s="10"/>
      <c r="W510" s="10"/>
      <c r="X510" s="10"/>
      <c r="Y510" s="10"/>
      <c r="Z510" s="10"/>
    </row>
    <row r="511" ht="13.5" customHeight="1">
      <c r="A511" s="13" t="s">
        <v>1100</v>
      </c>
      <c r="B511" s="8" t="s">
        <v>301</v>
      </c>
      <c r="C511" s="8" t="s">
        <v>296</v>
      </c>
      <c r="D511" s="8" t="s">
        <v>1065</v>
      </c>
      <c r="E511" s="9" t="s">
        <v>1101</v>
      </c>
      <c r="F511" s="8" t="s">
        <v>1102</v>
      </c>
      <c r="G511" s="8" t="s">
        <v>1099</v>
      </c>
      <c r="H511" s="11" t="s">
        <v>103</v>
      </c>
      <c r="I511" s="11" t="s">
        <v>91</v>
      </c>
      <c r="J511" s="11" t="s">
        <v>130</v>
      </c>
      <c r="K511" s="8" t="s">
        <v>675</v>
      </c>
      <c r="L511" s="8" t="s">
        <v>676</v>
      </c>
      <c r="M511" s="20">
        <v>45488.0</v>
      </c>
      <c r="N511" s="21">
        <v>60.0</v>
      </c>
      <c r="O511" s="22">
        <v>50.0</v>
      </c>
      <c r="P511" s="7"/>
      <c r="Q511" s="7"/>
      <c r="R511" s="7"/>
      <c r="S511" s="17"/>
      <c r="T511" s="10"/>
      <c r="U511" s="10"/>
      <c r="V511" s="10"/>
      <c r="W511" s="10"/>
      <c r="X511" s="10"/>
      <c r="Y511" s="10"/>
      <c r="Z511" s="10"/>
    </row>
    <row r="512" ht="13.5" customHeight="1">
      <c r="A512" s="13" t="s">
        <v>1103</v>
      </c>
      <c r="B512" s="8" t="s">
        <v>167</v>
      </c>
      <c r="C512" s="8" t="s">
        <v>296</v>
      </c>
      <c r="D512" s="8" t="s">
        <v>1061</v>
      </c>
      <c r="E512" s="9" t="s">
        <v>1104</v>
      </c>
      <c r="F512" s="8" t="s">
        <v>1105</v>
      </c>
      <c r="G512" s="8" t="s">
        <v>1106</v>
      </c>
      <c r="H512" s="11" t="s">
        <v>103</v>
      </c>
      <c r="I512" s="11" t="s">
        <v>91</v>
      </c>
      <c r="J512" s="11" t="s">
        <v>294</v>
      </c>
      <c r="K512" s="8" t="s">
        <v>675</v>
      </c>
      <c r="L512" s="8" t="s">
        <v>676</v>
      </c>
      <c r="M512" s="20">
        <v>45488.0</v>
      </c>
      <c r="N512" s="21">
        <v>644.0</v>
      </c>
      <c r="O512" s="22">
        <v>760.0</v>
      </c>
      <c r="P512" s="7"/>
      <c r="Q512" s="7"/>
      <c r="R512" s="7"/>
      <c r="S512" s="17"/>
      <c r="T512" s="10"/>
      <c r="U512" s="10"/>
      <c r="V512" s="10"/>
      <c r="W512" s="10"/>
      <c r="X512" s="10"/>
      <c r="Y512" s="10"/>
      <c r="Z512" s="10"/>
    </row>
    <row r="513" ht="13.5" customHeight="1">
      <c r="A513" s="13" t="s">
        <v>1107</v>
      </c>
      <c r="B513" s="8" t="s">
        <v>301</v>
      </c>
      <c r="C513" s="8" t="s">
        <v>296</v>
      </c>
      <c r="D513" s="8" t="s">
        <v>1065</v>
      </c>
      <c r="E513" s="9" t="s">
        <v>1108</v>
      </c>
      <c r="F513" s="8" t="s">
        <v>1109</v>
      </c>
      <c r="G513" s="8" t="s">
        <v>1106</v>
      </c>
      <c r="H513" s="11" t="s">
        <v>103</v>
      </c>
      <c r="I513" s="11" t="s">
        <v>91</v>
      </c>
      <c r="J513" s="11" t="s">
        <v>294</v>
      </c>
      <c r="K513" s="8" t="s">
        <v>675</v>
      </c>
      <c r="L513" s="8" t="s">
        <v>676</v>
      </c>
      <c r="M513" s="20">
        <v>45488.0</v>
      </c>
      <c r="N513" s="21">
        <v>60.0</v>
      </c>
      <c r="O513" s="22">
        <v>50.0</v>
      </c>
      <c r="P513" s="7"/>
      <c r="Q513" s="7"/>
      <c r="R513" s="7"/>
      <c r="S513" s="17"/>
      <c r="T513" s="10"/>
      <c r="U513" s="10"/>
      <c r="V513" s="10"/>
      <c r="W513" s="10"/>
      <c r="X513" s="10"/>
      <c r="Y513" s="10"/>
      <c r="Z513" s="10"/>
    </row>
    <row r="514" ht="13.5" customHeight="1">
      <c r="A514" s="13" t="s">
        <v>1110</v>
      </c>
      <c r="B514" s="8" t="s">
        <v>167</v>
      </c>
      <c r="C514" s="8" t="s">
        <v>296</v>
      </c>
      <c r="D514" s="8" t="s">
        <v>1061</v>
      </c>
      <c r="E514" s="9" t="s">
        <v>1111</v>
      </c>
      <c r="F514" s="8" t="s">
        <v>1112</v>
      </c>
      <c r="G514" s="8" t="s">
        <v>962</v>
      </c>
      <c r="H514" s="11" t="s">
        <v>259</v>
      </c>
      <c r="I514" s="11" t="s">
        <v>91</v>
      </c>
      <c r="J514" s="11" t="s">
        <v>130</v>
      </c>
      <c r="K514" s="8" t="s">
        <v>675</v>
      </c>
      <c r="L514" s="8" t="s">
        <v>676</v>
      </c>
      <c r="M514" s="20">
        <v>45488.0</v>
      </c>
      <c r="N514" s="21">
        <v>644.0</v>
      </c>
      <c r="O514" s="22">
        <v>760.0</v>
      </c>
      <c r="P514" s="7"/>
      <c r="Q514" s="7"/>
      <c r="R514" s="7"/>
      <c r="S514" s="17"/>
      <c r="T514" s="10"/>
      <c r="U514" s="10"/>
      <c r="V514" s="10"/>
      <c r="W514" s="10"/>
      <c r="X514" s="10"/>
      <c r="Y514" s="10"/>
      <c r="Z514" s="10"/>
    </row>
    <row r="515" ht="13.5" customHeight="1">
      <c r="A515" s="13" t="s">
        <v>1113</v>
      </c>
      <c r="B515" s="8" t="s">
        <v>301</v>
      </c>
      <c r="C515" s="8" t="s">
        <v>296</v>
      </c>
      <c r="D515" s="8" t="s">
        <v>1065</v>
      </c>
      <c r="E515" s="9" t="s">
        <v>1114</v>
      </c>
      <c r="F515" s="8" t="s">
        <v>1115</v>
      </c>
      <c r="G515" s="8" t="s">
        <v>962</v>
      </c>
      <c r="H515" s="11" t="s">
        <v>259</v>
      </c>
      <c r="I515" s="11" t="s">
        <v>91</v>
      </c>
      <c r="J515" s="11" t="s">
        <v>130</v>
      </c>
      <c r="K515" s="8" t="s">
        <v>675</v>
      </c>
      <c r="L515" s="8" t="s">
        <v>676</v>
      </c>
      <c r="M515" s="20">
        <v>45488.0</v>
      </c>
      <c r="N515" s="21">
        <v>60.0</v>
      </c>
      <c r="O515" s="22">
        <v>50.0</v>
      </c>
      <c r="P515" s="7"/>
      <c r="Q515" s="7"/>
      <c r="R515" s="7"/>
      <c r="S515" s="17"/>
      <c r="T515" s="10"/>
      <c r="U515" s="10"/>
      <c r="V515" s="10"/>
      <c r="W515" s="10"/>
      <c r="X515" s="10"/>
      <c r="Y515" s="10"/>
      <c r="Z515" s="10"/>
    </row>
    <row r="516" ht="13.5" customHeight="1">
      <c r="A516" s="13" t="s">
        <v>1116</v>
      </c>
      <c r="B516" s="8" t="s">
        <v>167</v>
      </c>
      <c r="C516" s="8" t="s">
        <v>296</v>
      </c>
      <c r="D516" s="8" t="s">
        <v>1061</v>
      </c>
      <c r="E516" s="9" t="s">
        <v>1117</v>
      </c>
      <c r="F516" s="8" t="s">
        <v>1118</v>
      </c>
      <c r="G516" s="8" t="s">
        <v>1119</v>
      </c>
      <c r="H516" s="11" t="s">
        <v>259</v>
      </c>
      <c r="I516" s="11" t="s">
        <v>91</v>
      </c>
      <c r="J516" s="11" t="s">
        <v>130</v>
      </c>
      <c r="K516" s="8" t="s">
        <v>675</v>
      </c>
      <c r="L516" s="8" t="s">
        <v>676</v>
      </c>
      <c r="M516" s="20">
        <v>45488.0</v>
      </c>
      <c r="N516" s="21">
        <v>644.0</v>
      </c>
      <c r="O516" s="22">
        <v>760.0</v>
      </c>
      <c r="P516" s="7"/>
      <c r="Q516" s="7"/>
      <c r="R516" s="7"/>
      <c r="S516" s="17"/>
      <c r="T516" s="10"/>
      <c r="U516" s="10"/>
      <c r="V516" s="10"/>
      <c r="W516" s="10"/>
      <c r="X516" s="10"/>
      <c r="Y516" s="10"/>
      <c r="Z516" s="10"/>
    </row>
    <row r="517" ht="13.5" customHeight="1">
      <c r="A517" s="13" t="s">
        <v>1120</v>
      </c>
      <c r="B517" s="8" t="s">
        <v>301</v>
      </c>
      <c r="C517" s="8" t="s">
        <v>296</v>
      </c>
      <c r="D517" s="8" t="s">
        <v>1065</v>
      </c>
      <c r="E517" s="9" t="s">
        <v>1121</v>
      </c>
      <c r="F517" s="8" t="s">
        <v>1122</v>
      </c>
      <c r="G517" s="8" t="s">
        <v>1119</v>
      </c>
      <c r="H517" s="11" t="s">
        <v>259</v>
      </c>
      <c r="I517" s="11" t="s">
        <v>91</v>
      </c>
      <c r="J517" s="11" t="s">
        <v>130</v>
      </c>
      <c r="K517" s="8" t="s">
        <v>675</v>
      </c>
      <c r="L517" s="8" t="s">
        <v>676</v>
      </c>
      <c r="M517" s="20">
        <v>45488.0</v>
      </c>
      <c r="N517" s="21">
        <v>60.0</v>
      </c>
      <c r="O517" s="22">
        <v>50.0</v>
      </c>
      <c r="P517" s="7"/>
      <c r="Q517" s="7"/>
      <c r="R517" s="7"/>
      <c r="S517" s="17"/>
      <c r="T517" s="10"/>
      <c r="U517" s="10"/>
      <c r="V517" s="10"/>
      <c r="W517" s="10"/>
      <c r="X517" s="10"/>
      <c r="Y517" s="10"/>
      <c r="Z517" s="10"/>
    </row>
    <row r="518" ht="13.5" customHeight="1">
      <c r="A518" s="13" t="s">
        <v>1123</v>
      </c>
      <c r="B518" s="8" t="s">
        <v>167</v>
      </c>
      <c r="C518" s="8" t="s">
        <v>296</v>
      </c>
      <c r="D518" s="8" t="s">
        <v>1061</v>
      </c>
      <c r="E518" s="9" t="s">
        <v>1124</v>
      </c>
      <c r="F518" s="8" t="s">
        <v>1125</v>
      </c>
      <c r="G518" s="8" t="s">
        <v>1126</v>
      </c>
      <c r="H518" s="11" t="s">
        <v>259</v>
      </c>
      <c r="I518" s="11" t="s">
        <v>91</v>
      </c>
      <c r="J518" s="11" t="s">
        <v>130</v>
      </c>
      <c r="K518" s="8" t="s">
        <v>675</v>
      </c>
      <c r="L518" s="8" t="s">
        <v>676</v>
      </c>
      <c r="M518" s="20">
        <v>45488.0</v>
      </c>
      <c r="N518" s="21">
        <v>644.0</v>
      </c>
      <c r="O518" s="22">
        <v>760.0</v>
      </c>
      <c r="P518" s="7"/>
      <c r="Q518" s="7"/>
      <c r="R518" s="7"/>
      <c r="S518" s="17"/>
      <c r="T518" s="10"/>
      <c r="U518" s="10"/>
      <c r="V518" s="10"/>
      <c r="W518" s="10"/>
      <c r="X518" s="10"/>
      <c r="Y518" s="10"/>
      <c r="Z518" s="10"/>
    </row>
    <row r="519" ht="13.5" customHeight="1">
      <c r="A519" s="13" t="s">
        <v>1127</v>
      </c>
      <c r="B519" s="8" t="s">
        <v>301</v>
      </c>
      <c r="C519" s="8" t="s">
        <v>296</v>
      </c>
      <c r="D519" s="8" t="s">
        <v>1065</v>
      </c>
      <c r="E519" s="9" t="s">
        <v>1128</v>
      </c>
      <c r="F519" s="8" t="s">
        <v>1129</v>
      </c>
      <c r="G519" s="8" t="s">
        <v>1126</v>
      </c>
      <c r="H519" s="11" t="s">
        <v>259</v>
      </c>
      <c r="I519" s="11" t="s">
        <v>91</v>
      </c>
      <c r="J519" s="11" t="s">
        <v>130</v>
      </c>
      <c r="K519" s="8" t="s">
        <v>675</v>
      </c>
      <c r="L519" s="8" t="s">
        <v>676</v>
      </c>
      <c r="M519" s="20">
        <v>45488.0</v>
      </c>
      <c r="N519" s="21">
        <v>60.0</v>
      </c>
      <c r="O519" s="22">
        <v>50.0</v>
      </c>
      <c r="P519" s="7"/>
      <c r="Q519" s="7"/>
      <c r="R519" s="7"/>
      <c r="S519" s="17"/>
      <c r="T519" s="10"/>
      <c r="U519" s="10"/>
      <c r="V519" s="10"/>
      <c r="W519" s="10"/>
      <c r="X519" s="10"/>
      <c r="Y519" s="10"/>
      <c r="Z519" s="10"/>
    </row>
    <row r="520" ht="13.5" customHeight="1">
      <c r="A520" s="13" t="s">
        <v>1130</v>
      </c>
      <c r="B520" s="8" t="s">
        <v>167</v>
      </c>
      <c r="C520" s="8" t="s">
        <v>296</v>
      </c>
      <c r="D520" s="8" t="s">
        <v>1061</v>
      </c>
      <c r="E520" s="9" t="s">
        <v>1131</v>
      </c>
      <c r="F520" s="8" t="s">
        <v>1132</v>
      </c>
      <c r="G520" s="8" t="s">
        <v>1133</v>
      </c>
      <c r="H520" s="11" t="s">
        <v>259</v>
      </c>
      <c r="I520" s="11" t="s">
        <v>91</v>
      </c>
      <c r="J520" s="11" t="s">
        <v>294</v>
      </c>
      <c r="K520" s="8" t="s">
        <v>1134</v>
      </c>
      <c r="L520" s="8" t="s">
        <v>676</v>
      </c>
      <c r="M520" s="20">
        <v>45488.0</v>
      </c>
      <c r="N520" s="21">
        <v>644.0</v>
      </c>
      <c r="O520" s="22">
        <v>760.0</v>
      </c>
      <c r="P520" s="7"/>
      <c r="Q520" s="7"/>
      <c r="R520" s="7"/>
      <c r="S520" s="17"/>
      <c r="T520" s="10"/>
      <c r="U520" s="10"/>
      <c r="V520" s="10"/>
      <c r="W520" s="10"/>
      <c r="X520" s="10"/>
      <c r="Y520" s="10"/>
      <c r="Z520" s="10"/>
    </row>
    <row r="521" ht="13.5" customHeight="1">
      <c r="A521" s="13" t="s">
        <v>1135</v>
      </c>
      <c r="B521" s="8" t="s">
        <v>301</v>
      </c>
      <c r="C521" s="8" t="s">
        <v>296</v>
      </c>
      <c r="D521" s="8" t="s">
        <v>1065</v>
      </c>
      <c r="E521" s="9" t="s">
        <v>1136</v>
      </c>
      <c r="F521" s="8" t="s">
        <v>1137</v>
      </c>
      <c r="G521" s="8" t="s">
        <v>1133</v>
      </c>
      <c r="H521" s="11" t="s">
        <v>259</v>
      </c>
      <c r="I521" s="11" t="s">
        <v>91</v>
      </c>
      <c r="J521" s="11" t="s">
        <v>294</v>
      </c>
      <c r="K521" s="8" t="s">
        <v>1134</v>
      </c>
      <c r="L521" s="8" t="s">
        <v>676</v>
      </c>
      <c r="M521" s="20">
        <v>45488.0</v>
      </c>
      <c r="N521" s="21">
        <v>60.0</v>
      </c>
      <c r="O521" s="22">
        <v>50.0</v>
      </c>
      <c r="P521" s="7"/>
      <c r="Q521" s="7"/>
      <c r="R521" s="7"/>
      <c r="S521" s="17"/>
      <c r="T521" s="10"/>
      <c r="U521" s="10"/>
      <c r="V521" s="10"/>
      <c r="W521" s="10"/>
      <c r="X521" s="10"/>
      <c r="Y521" s="10"/>
      <c r="Z521" s="10"/>
    </row>
    <row r="522" ht="13.5" customHeight="1">
      <c r="A522" s="13" t="s">
        <v>1138</v>
      </c>
      <c r="B522" s="8" t="s">
        <v>167</v>
      </c>
      <c r="C522" s="8" t="s">
        <v>296</v>
      </c>
      <c r="D522" s="8" t="s">
        <v>1061</v>
      </c>
      <c r="E522" s="9" t="s">
        <v>1139</v>
      </c>
      <c r="F522" s="8" t="s">
        <v>1140</v>
      </c>
      <c r="G522" s="8" t="s">
        <v>186</v>
      </c>
      <c r="H522" s="11" t="s">
        <v>143</v>
      </c>
      <c r="I522" s="11" t="s">
        <v>91</v>
      </c>
      <c r="J522" s="11" t="s">
        <v>130</v>
      </c>
      <c r="K522" s="8" t="s">
        <v>675</v>
      </c>
      <c r="L522" s="8" t="s">
        <v>676</v>
      </c>
      <c r="M522" s="20">
        <v>45488.0</v>
      </c>
      <c r="N522" s="21">
        <v>644.0</v>
      </c>
      <c r="O522" s="22">
        <v>760.0</v>
      </c>
      <c r="P522" s="7"/>
      <c r="Q522" s="7"/>
      <c r="R522" s="7"/>
      <c r="S522" s="17"/>
      <c r="T522" s="10"/>
      <c r="U522" s="10"/>
      <c r="V522" s="10"/>
      <c r="W522" s="10"/>
      <c r="X522" s="10"/>
      <c r="Y522" s="10"/>
      <c r="Z522" s="10"/>
    </row>
    <row r="523" ht="13.5" customHeight="1">
      <c r="A523" s="13" t="s">
        <v>1141</v>
      </c>
      <c r="B523" s="8" t="s">
        <v>301</v>
      </c>
      <c r="C523" s="8" t="s">
        <v>296</v>
      </c>
      <c r="D523" s="8" t="s">
        <v>1065</v>
      </c>
      <c r="E523" s="9" t="s">
        <v>1142</v>
      </c>
      <c r="F523" s="8" t="s">
        <v>1143</v>
      </c>
      <c r="G523" s="8" t="s">
        <v>186</v>
      </c>
      <c r="H523" s="11" t="s">
        <v>143</v>
      </c>
      <c r="I523" s="11" t="s">
        <v>91</v>
      </c>
      <c r="J523" s="11" t="s">
        <v>130</v>
      </c>
      <c r="K523" s="8" t="s">
        <v>675</v>
      </c>
      <c r="L523" s="8" t="s">
        <v>676</v>
      </c>
      <c r="M523" s="20">
        <v>45488.0</v>
      </c>
      <c r="N523" s="21">
        <v>60.0</v>
      </c>
      <c r="O523" s="22">
        <v>50.0</v>
      </c>
      <c r="P523" s="7"/>
      <c r="Q523" s="7"/>
      <c r="R523" s="7"/>
      <c r="S523" s="17"/>
      <c r="T523" s="10"/>
      <c r="U523" s="10"/>
      <c r="V523" s="10"/>
      <c r="W523" s="10"/>
      <c r="X523" s="10"/>
      <c r="Y523" s="10"/>
      <c r="Z523" s="10"/>
    </row>
    <row r="524" ht="13.5" customHeight="1">
      <c r="A524" s="13" t="s">
        <v>1144</v>
      </c>
      <c r="B524" s="8" t="s">
        <v>167</v>
      </c>
      <c r="C524" s="8" t="s">
        <v>296</v>
      </c>
      <c r="D524" s="8" t="s">
        <v>1061</v>
      </c>
      <c r="E524" s="9" t="s">
        <v>1145</v>
      </c>
      <c r="F524" s="8" t="s">
        <v>1146</v>
      </c>
      <c r="G524" s="8" t="s">
        <v>1147</v>
      </c>
      <c r="H524" s="11" t="s">
        <v>143</v>
      </c>
      <c r="I524" s="11" t="s">
        <v>91</v>
      </c>
      <c r="J524" s="11" t="s">
        <v>130</v>
      </c>
      <c r="K524" s="8" t="s">
        <v>675</v>
      </c>
      <c r="L524" s="8" t="s">
        <v>676</v>
      </c>
      <c r="M524" s="20">
        <v>45488.0</v>
      </c>
      <c r="N524" s="21">
        <v>644.0</v>
      </c>
      <c r="O524" s="22">
        <v>760.0</v>
      </c>
      <c r="P524" s="7"/>
      <c r="Q524" s="7"/>
      <c r="R524" s="7"/>
      <c r="S524" s="17"/>
      <c r="T524" s="10"/>
      <c r="U524" s="10"/>
      <c r="V524" s="10"/>
      <c r="W524" s="10"/>
      <c r="X524" s="10"/>
      <c r="Y524" s="10"/>
      <c r="Z524" s="10"/>
    </row>
    <row r="525" ht="13.5" customHeight="1">
      <c r="A525" s="13" t="s">
        <v>1148</v>
      </c>
      <c r="B525" s="8" t="s">
        <v>301</v>
      </c>
      <c r="C525" s="8" t="s">
        <v>296</v>
      </c>
      <c r="D525" s="8" t="s">
        <v>1065</v>
      </c>
      <c r="E525" s="9" t="s">
        <v>1149</v>
      </c>
      <c r="F525" s="8" t="s">
        <v>1150</v>
      </c>
      <c r="G525" s="8" t="s">
        <v>1147</v>
      </c>
      <c r="H525" s="11" t="s">
        <v>143</v>
      </c>
      <c r="I525" s="11" t="s">
        <v>91</v>
      </c>
      <c r="J525" s="11" t="s">
        <v>130</v>
      </c>
      <c r="K525" s="8" t="s">
        <v>675</v>
      </c>
      <c r="L525" s="8" t="s">
        <v>676</v>
      </c>
      <c r="M525" s="20">
        <v>45488.0</v>
      </c>
      <c r="N525" s="21">
        <v>60.0</v>
      </c>
      <c r="O525" s="22">
        <v>50.0</v>
      </c>
      <c r="P525" s="7"/>
      <c r="Q525" s="7"/>
      <c r="R525" s="7"/>
      <c r="S525" s="17"/>
      <c r="T525" s="10"/>
      <c r="U525" s="10"/>
      <c r="V525" s="10"/>
      <c r="W525" s="10"/>
      <c r="X525" s="10"/>
      <c r="Y525" s="10"/>
      <c r="Z525" s="10"/>
    </row>
    <row r="526" ht="13.5" customHeight="1">
      <c r="A526" s="13" t="s">
        <v>1151</v>
      </c>
      <c r="B526" s="8" t="s">
        <v>167</v>
      </c>
      <c r="C526" s="8" t="s">
        <v>296</v>
      </c>
      <c r="D526" s="8" t="s">
        <v>1061</v>
      </c>
      <c r="E526" s="9" t="s">
        <v>1152</v>
      </c>
      <c r="F526" s="8" t="s">
        <v>1153</v>
      </c>
      <c r="G526" s="8" t="s">
        <v>1154</v>
      </c>
      <c r="H526" s="11" t="s">
        <v>143</v>
      </c>
      <c r="I526" s="11" t="s">
        <v>91</v>
      </c>
      <c r="J526" s="11" t="s">
        <v>130</v>
      </c>
      <c r="K526" s="8" t="s">
        <v>675</v>
      </c>
      <c r="L526" s="8" t="s">
        <v>676</v>
      </c>
      <c r="M526" s="20">
        <v>45488.0</v>
      </c>
      <c r="N526" s="21">
        <v>644.0</v>
      </c>
      <c r="O526" s="22">
        <v>760.0</v>
      </c>
      <c r="P526" s="7"/>
      <c r="Q526" s="7"/>
      <c r="R526" s="7"/>
      <c r="S526" s="17"/>
      <c r="T526" s="10"/>
      <c r="U526" s="10"/>
      <c r="V526" s="10"/>
      <c r="W526" s="10"/>
      <c r="X526" s="10"/>
      <c r="Y526" s="10"/>
      <c r="Z526" s="10"/>
    </row>
    <row r="527" ht="13.5" customHeight="1">
      <c r="A527" s="13" t="s">
        <v>1155</v>
      </c>
      <c r="B527" s="8" t="s">
        <v>301</v>
      </c>
      <c r="C527" s="8" t="s">
        <v>296</v>
      </c>
      <c r="D527" s="8" t="s">
        <v>1065</v>
      </c>
      <c r="E527" s="9" t="s">
        <v>1156</v>
      </c>
      <c r="F527" s="8" t="s">
        <v>1157</v>
      </c>
      <c r="G527" s="8" t="s">
        <v>1154</v>
      </c>
      <c r="H527" s="11" t="s">
        <v>143</v>
      </c>
      <c r="I527" s="11" t="s">
        <v>91</v>
      </c>
      <c r="J527" s="11" t="s">
        <v>130</v>
      </c>
      <c r="K527" s="8" t="s">
        <v>675</v>
      </c>
      <c r="L527" s="8" t="s">
        <v>676</v>
      </c>
      <c r="M527" s="20">
        <v>45488.0</v>
      </c>
      <c r="N527" s="21">
        <v>60.0</v>
      </c>
      <c r="O527" s="22">
        <v>50.0</v>
      </c>
      <c r="P527" s="7"/>
      <c r="Q527" s="7"/>
      <c r="R527" s="7"/>
      <c r="S527" s="17"/>
      <c r="T527" s="10"/>
      <c r="U527" s="10"/>
      <c r="V527" s="10"/>
      <c r="W527" s="10"/>
      <c r="X527" s="10"/>
      <c r="Y527" s="10"/>
      <c r="Z527" s="10"/>
    </row>
    <row r="528" ht="13.5" customHeight="1">
      <c r="A528" s="13" t="s">
        <v>1158</v>
      </c>
      <c r="B528" s="8" t="s">
        <v>167</v>
      </c>
      <c r="C528" s="8" t="s">
        <v>296</v>
      </c>
      <c r="D528" s="8" t="s">
        <v>1061</v>
      </c>
      <c r="E528" s="9" t="s">
        <v>1159</v>
      </c>
      <c r="F528" s="8" t="s">
        <v>1160</v>
      </c>
      <c r="G528" s="8" t="s">
        <v>1161</v>
      </c>
      <c r="H528" s="11" t="s">
        <v>143</v>
      </c>
      <c r="I528" s="11" t="s">
        <v>91</v>
      </c>
      <c r="J528" s="11" t="s">
        <v>130</v>
      </c>
      <c r="K528" s="8" t="s">
        <v>675</v>
      </c>
      <c r="L528" s="8" t="s">
        <v>676</v>
      </c>
      <c r="M528" s="20">
        <v>45488.0</v>
      </c>
      <c r="N528" s="21">
        <v>644.0</v>
      </c>
      <c r="O528" s="22">
        <v>760.0</v>
      </c>
      <c r="P528" s="7"/>
      <c r="Q528" s="7"/>
      <c r="R528" s="7"/>
      <c r="S528" s="17"/>
      <c r="T528" s="10"/>
      <c r="U528" s="10"/>
      <c r="V528" s="10"/>
      <c r="W528" s="10"/>
      <c r="X528" s="10"/>
      <c r="Y528" s="10"/>
      <c r="Z528" s="10"/>
    </row>
    <row r="529" ht="13.5" customHeight="1">
      <c r="A529" s="13" t="s">
        <v>1162</v>
      </c>
      <c r="B529" s="8" t="s">
        <v>301</v>
      </c>
      <c r="C529" s="8" t="s">
        <v>296</v>
      </c>
      <c r="D529" s="8" t="s">
        <v>1065</v>
      </c>
      <c r="E529" s="9" t="s">
        <v>1163</v>
      </c>
      <c r="F529" s="8" t="s">
        <v>1164</v>
      </c>
      <c r="G529" s="8" t="s">
        <v>1161</v>
      </c>
      <c r="H529" s="11" t="s">
        <v>143</v>
      </c>
      <c r="I529" s="11" t="s">
        <v>91</v>
      </c>
      <c r="J529" s="11" t="s">
        <v>130</v>
      </c>
      <c r="K529" s="8" t="s">
        <v>675</v>
      </c>
      <c r="L529" s="8" t="s">
        <v>676</v>
      </c>
      <c r="M529" s="20">
        <v>45488.0</v>
      </c>
      <c r="N529" s="21">
        <v>60.0</v>
      </c>
      <c r="O529" s="22">
        <v>50.0</v>
      </c>
      <c r="P529" s="7"/>
      <c r="Q529" s="7"/>
      <c r="R529" s="7"/>
      <c r="S529" s="17"/>
      <c r="T529" s="10"/>
      <c r="U529" s="10"/>
      <c r="V529" s="10"/>
      <c r="W529" s="10"/>
      <c r="X529" s="10"/>
      <c r="Y529" s="10"/>
      <c r="Z529" s="10"/>
    </row>
    <row r="530" ht="13.5" customHeight="1">
      <c r="A530" s="13" t="s">
        <v>1165</v>
      </c>
      <c r="B530" s="8" t="s">
        <v>167</v>
      </c>
      <c r="C530" s="8" t="s">
        <v>296</v>
      </c>
      <c r="D530" s="8" t="s">
        <v>1061</v>
      </c>
      <c r="E530" s="9" t="s">
        <v>1166</v>
      </c>
      <c r="F530" s="8" t="s">
        <v>1167</v>
      </c>
      <c r="G530" s="8" t="s">
        <v>226</v>
      </c>
      <c r="H530" s="11" t="s">
        <v>207</v>
      </c>
      <c r="I530" s="11" t="s">
        <v>91</v>
      </c>
      <c r="J530" s="11" t="s">
        <v>130</v>
      </c>
      <c r="K530" s="8" t="s">
        <v>675</v>
      </c>
      <c r="L530" s="8" t="s">
        <v>676</v>
      </c>
      <c r="M530" s="20">
        <v>45488.0</v>
      </c>
      <c r="N530" s="21">
        <v>644.0</v>
      </c>
      <c r="O530" s="22">
        <v>760.0</v>
      </c>
      <c r="P530" s="7"/>
      <c r="Q530" s="7"/>
      <c r="R530" s="7"/>
      <c r="S530" s="17"/>
      <c r="T530" s="10"/>
      <c r="U530" s="10"/>
      <c r="V530" s="10"/>
      <c r="W530" s="10"/>
      <c r="X530" s="10"/>
      <c r="Y530" s="10"/>
      <c r="Z530" s="10"/>
    </row>
    <row r="531" ht="13.5" customHeight="1">
      <c r="A531" s="13" t="s">
        <v>1168</v>
      </c>
      <c r="B531" s="8" t="s">
        <v>301</v>
      </c>
      <c r="C531" s="8" t="s">
        <v>296</v>
      </c>
      <c r="D531" s="8" t="s">
        <v>1065</v>
      </c>
      <c r="E531" s="9" t="s">
        <v>1169</v>
      </c>
      <c r="F531" s="8" t="s">
        <v>1170</v>
      </c>
      <c r="G531" s="8" t="s">
        <v>226</v>
      </c>
      <c r="H531" s="11" t="s">
        <v>207</v>
      </c>
      <c r="I531" s="11" t="s">
        <v>91</v>
      </c>
      <c r="J531" s="11" t="s">
        <v>130</v>
      </c>
      <c r="K531" s="8" t="s">
        <v>675</v>
      </c>
      <c r="L531" s="8" t="s">
        <v>676</v>
      </c>
      <c r="M531" s="20">
        <v>45488.0</v>
      </c>
      <c r="N531" s="21">
        <v>60.0</v>
      </c>
      <c r="O531" s="22">
        <v>50.0</v>
      </c>
      <c r="P531" s="7"/>
      <c r="Q531" s="7"/>
      <c r="R531" s="7"/>
      <c r="S531" s="17"/>
      <c r="T531" s="10"/>
      <c r="U531" s="10"/>
      <c r="V531" s="10"/>
      <c r="W531" s="10"/>
      <c r="X531" s="10"/>
      <c r="Y531" s="10"/>
      <c r="Z531" s="10"/>
    </row>
    <row r="532" ht="13.5" customHeight="1">
      <c r="A532" s="13" t="s">
        <v>1171</v>
      </c>
      <c r="B532" s="8" t="s">
        <v>167</v>
      </c>
      <c r="C532" s="8" t="s">
        <v>296</v>
      </c>
      <c r="D532" s="8" t="s">
        <v>1061</v>
      </c>
      <c r="E532" s="9" t="s">
        <v>1172</v>
      </c>
      <c r="F532" s="8" t="s">
        <v>1173</v>
      </c>
      <c r="G532" s="8" t="s">
        <v>1174</v>
      </c>
      <c r="H532" s="11" t="s">
        <v>207</v>
      </c>
      <c r="I532" s="11" t="s">
        <v>91</v>
      </c>
      <c r="J532" s="11" t="s">
        <v>130</v>
      </c>
      <c r="K532" s="8" t="s">
        <v>675</v>
      </c>
      <c r="L532" s="8" t="s">
        <v>676</v>
      </c>
      <c r="M532" s="20">
        <v>45488.0</v>
      </c>
      <c r="N532" s="21">
        <v>644.0</v>
      </c>
      <c r="O532" s="22">
        <v>760.0</v>
      </c>
      <c r="P532" s="7"/>
      <c r="Q532" s="7"/>
      <c r="R532" s="7"/>
      <c r="S532" s="17"/>
      <c r="T532" s="10"/>
      <c r="U532" s="10"/>
      <c r="V532" s="10"/>
      <c r="W532" s="10"/>
      <c r="X532" s="10"/>
      <c r="Y532" s="10"/>
      <c r="Z532" s="10"/>
    </row>
    <row r="533" ht="13.5" customHeight="1">
      <c r="A533" s="13" t="s">
        <v>1175</v>
      </c>
      <c r="B533" s="8" t="s">
        <v>301</v>
      </c>
      <c r="C533" s="8" t="s">
        <v>296</v>
      </c>
      <c r="D533" s="8" t="s">
        <v>1065</v>
      </c>
      <c r="E533" s="9" t="s">
        <v>1176</v>
      </c>
      <c r="F533" s="8" t="s">
        <v>1177</v>
      </c>
      <c r="G533" s="8" t="s">
        <v>1174</v>
      </c>
      <c r="H533" s="11" t="s">
        <v>207</v>
      </c>
      <c r="I533" s="11" t="s">
        <v>91</v>
      </c>
      <c r="J533" s="11" t="s">
        <v>130</v>
      </c>
      <c r="K533" s="8" t="s">
        <v>675</v>
      </c>
      <c r="L533" s="8" t="s">
        <v>676</v>
      </c>
      <c r="M533" s="20">
        <v>45488.0</v>
      </c>
      <c r="N533" s="21">
        <v>60.0</v>
      </c>
      <c r="O533" s="22">
        <v>50.0</v>
      </c>
      <c r="P533" s="7"/>
      <c r="Q533" s="7"/>
      <c r="R533" s="7"/>
      <c r="S533" s="17"/>
      <c r="T533" s="10"/>
      <c r="U533" s="10"/>
      <c r="V533" s="10"/>
      <c r="W533" s="10"/>
      <c r="X533" s="10"/>
      <c r="Y533" s="10"/>
      <c r="Z533" s="10"/>
    </row>
    <row r="534" ht="13.5" customHeight="1">
      <c r="A534" s="13" t="s">
        <v>1178</v>
      </c>
      <c r="B534" s="8" t="s">
        <v>167</v>
      </c>
      <c r="C534" s="8" t="s">
        <v>296</v>
      </c>
      <c r="D534" s="8" t="s">
        <v>1061</v>
      </c>
      <c r="E534" s="9" t="s">
        <v>1179</v>
      </c>
      <c r="F534" s="8" t="s">
        <v>1180</v>
      </c>
      <c r="G534" s="8" t="s">
        <v>1181</v>
      </c>
      <c r="H534" s="11" t="s">
        <v>207</v>
      </c>
      <c r="I534" s="11" t="s">
        <v>91</v>
      </c>
      <c r="J534" s="11" t="s">
        <v>130</v>
      </c>
      <c r="K534" s="8" t="s">
        <v>675</v>
      </c>
      <c r="L534" s="8" t="s">
        <v>676</v>
      </c>
      <c r="M534" s="20">
        <v>45488.0</v>
      </c>
      <c r="N534" s="21">
        <v>644.0</v>
      </c>
      <c r="O534" s="22">
        <v>760.0</v>
      </c>
      <c r="P534" s="7"/>
      <c r="Q534" s="7"/>
      <c r="R534" s="7"/>
      <c r="S534" s="17"/>
      <c r="T534" s="10"/>
      <c r="U534" s="10"/>
      <c r="V534" s="10"/>
      <c r="W534" s="10"/>
      <c r="X534" s="10"/>
      <c r="Y534" s="10"/>
      <c r="Z534" s="10"/>
    </row>
    <row r="535" ht="13.5" customHeight="1">
      <c r="A535" s="13" t="s">
        <v>1182</v>
      </c>
      <c r="B535" s="8" t="s">
        <v>301</v>
      </c>
      <c r="C535" s="8" t="s">
        <v>296</v>
      </c>
      <c r="D535" s="8" t="s">
        <v>1065</v>
      </c>
      <c r="E535" s="9" t="s">
        <v>1183</v>
      </c>
      <c r="F535" s="8" t="s">
        <v>1184</v>
      </c>
      <c r="G535" s="8" t="s">
        <v>1181</v>
      </c>
      <c r="H535" s="11" t="s">
        <v>207</v>
      </c>
      <c r="I535" s="11" t="s">
        <v>91</v>
      </c>
      <c r="J535" s="11" t="s">
        <v>130</v>
      </c>
      <c r="K535" s="8" t="s">
        <v>675</v>
      </c>
      <c r="L535" s="8" t="s">
        <v>676</v>
      </c>
      <c r="M535" s="20">
        <v>45488.0</v>
      </c>
      <c r="N535" s="21">
        <v>60.0</v>
      </c>
      <c r="O535" s="22">
        <v>50.0</v>
      </c>
      <c r="P535" s="7"/>
      <c r="Q535" s="7"/>
      <c r="R535" s="7"/>
      <c r="S535" s="17"/>
      <c r="T535" s="10"/>
      <c r="U535" s="10"/>
      <c r="V535" s="10"/>
      <c r="W535" s="10"/>
      <c r="X535" s="10"/>
      <c r="Y535" s="10"/>
      <c r="Z535" s="10"/>
    </row>
    <row r="536" ht="13.5" customHeight="1">
      <c r="A536" s="13" t="s">
        <v>1185</v>
      </c>
      <c r="B536" s="8" t="s">
        <v>167</v>
      </c>
      <c r="C536" s="8" t="s">
        <v>296</v>
      </c>
      <c r="D536" s="8" t="s">
        <v>1061</v>
      </c>
      <c r="E536" s="9" t="s">
        <v>1186</v>
      </c>
      <c r="F536" s="8" t="s">
        <v>1187</v>
      </c>
      <c r="G536" s="8" t="s">
        <v>1188</v>
      </c>
      <c r="H536" s="11" t="s">
        <v>207</v>
      </c>
      <c r="I536" s="11" t="s">
        <v>91</v>
      </c>
      <c r="J536" s="11" t="s">
        <v>130</v>
      </c>
      <c r="K536" s="8" t="s">
        <v>675</v>
      </c>
      <c r="L536" s="8" t="s">
        <v>676</v>
      </c>
      <c r="M536" s="20">
        <v>45488.0</v>
      </c>
      <c r="N536" s="21">
        <v>644.0</v>
      </c>
      <c r="O536" s="22">
        <v>760.0</v>
      </c>
      <c r="P536" s="7"/>
      <c r="Q536" s="7"/>
      <c r="R536" s="7"/>
      <c r="S536" s="17"/>
      <c r="T536" s="10"/>
      <c r="U536" s="10"/>
      <c r="V536" s="10"/>
      <c r="W536" s="10"/>
      <c r="X536" s="10"/>
      <c r="Y536" s="10"/>
      <c r="Z536" s="10"/>
    </row>
    <row r="537" ht="13.5" customHeight="1">
      <c r="A537" s="13" t="s">
        <v>1189</v>
      </c>
      <c r="B537" s="8" t="s">
        <v>301</v>
      </c>
      <c r="C537" s="8" t="s">
        <v>296</v>
      </c>
      <c r="D537" s="8" t="s">
        <v>1065</v>
      </c>
      <c r="E537" s="9" t="s">
        <v>1190</v>
      </c>
      <c r="F537" s="8" t="s">
        <v>1191</v>
      </c>
      <c r="G537" s="8" t="s">
        <v>1188</v>
      </c>
      <c r="H537" s="11" t="s">
        <v>207</v>
      </c>
      <c r="I537" s="11" t="s">
        <v>91</v>
      </c>
      <c r="J537" s="11" t="s">
        <v>130</v>
      </c>
      <c r="K537" s="8" t="s">
        <v>675</v>
      </c>
      <c r="L537" s="8" t="s">
        <v>676</v>
      </c>
      <c r="M537" s="20">
        <v>45488.0</v>
      </c>
      <c r="N537" s="21">
        <v>60.0</v>
      </c>
      <c r="O537" s="22">
        <v>50.0</v>
      </c>
      <c r="P537" s="7"/>
      <c r="Q537" s="7"/>
      <c r="R537" s="7"/>
      <c r="S537" s="17"/>
      <c r="T537" s="10"/>
      <c r="U537" s="10"/>
      <c r="V537" s="10"/>
      <c r="W537" s="10"/>
      <c r="X537" s="10"/>
      <c r="Y537" s="10"/>
      <c r="Z537" s="10"/>
    </row>
    <row r="538" ht="13.5" customHeight="1">
      <c r="A538" s="13" t="s">
        <v>1192</v>
      </c>
      <c r="B538" s="8" t="s">
        <v>167</v>
      </c>
      <c r="C538" s="8" t="s">
        <v>296</v>
      </c>
      <c r="D538" s="8" t="s">
        <v>1061</v>
      </c>
      <c r="E538" s="9" t="s">
        <v>1193</v>
      </c>
      <c r="F538" s="8" t="s">
        <v>1194</v>
      </c>
      <c r="G538" s="8" t="s">
        <v>973</v>
      </c>
      <c r="H538" s="11" t="s">
        <v>26</v>
      </c>
      <c r="I538" s="11" t="s">
        <v>260</v>
      </c>
      <c r="J538" s="11" t="s">
        <v>130</v>
      </c>
      <c r="K538" s="8" t="s">
        <v>675</v>
      </c>
      <c r="L538" s="8" t="s">
        <v>676</v>
      </c>
      <c r="M538" s="20">
        <v>45488.0</v>
      </c>
      <c r="N538" s="21">
        <v>644.0</v>
      </c>
      <c r="O538" s="22">
        <v>760.0</v>
      </c>
      <c r="P538" s="7"/>
      <c r="Q538" s="7"/>
      <c r="R538" s="7"/>
      <c r="S538" s="17"/>
      <c r="T538" s="10"/>
      <c r="U538" s="10"/>
      <c r="V538" s="10"/>
      <c r="W538" s="10"/>
      <c r="X538" s="10"/>
      <c r="Y538" s="10"/>
      <c r="Z538" s="10"/>
    </row>
    <row r="539" ht="13.5" customHeight="1">
      <c r="A539" s="13" t="s">
        <v>1195</v>
      </c>
      <c r="B539" s="8" t="s">
        <v>301</v>
      </c>
      <c r="C539" s="8" t="s">
        <v>296</v>
      </c>
      <c r="D539" s="8" t="s">
        <v>1065</v>
      </c>
      <c r="E539" s="9" t="s">
        <v>1196</v>
      </c>
      <c r="F539" s="8" t="s">
        <v>1197</v>
      </c>
      <c r="G539" s="8" t="s">
        <v>973</v>
      </c>
      <c r="H539" s="11" t="s">
        <v>26</v>
      </c>
      <c r="I539" s="11" t="s">
        <v>260</v>
      </c>
      <c r="J539" s="11" t="s">
        <v>130</v>
      </c>
      <c r="K539" s="8" t="s">
        <v>675</v>
      </c>
      <c r="L539" s="8" t="s">
        <v>676</v>
      </c>
      <c r="M539" s="20">
        <v>45488.0</v>
      </c>
      <c r="N539" s="21">
        <v>60.0</v>
      </c>
      <c r="O539" s="22">
        <v>50.0</v>
      </c>
      <c r="P539" s="7"/>
      <c r="Q539" s="7"/>
      <c r="R539" s="7"/>
      <c r="S539" s="17"/>
      <c r="T539" s="10"/>
      <c r="U539" s="10"/>
      <c r="V539" s="10"/>
      <c r="W539" s="10"/>
      <c r="X539" s="10"/>
      <c r="Y539" s="10"/>
      <c r="Z539" s="10"/>
    </row>
    <row r="540" ht="13.5" customHeight="1">
      <c r="A540" s="13" t="s">
        <v>1198</v>
      </c>
      <c r="B540" s="8" t="s">
        <v>167</v>
      </c>
      <c r="C540" s="8" t="s">
        <v>296</v>
      </c>
      <c r="D540" s="8" t="s">
        <v>1061</v>
      </c>
      <c r="E540" s="9" t="s">
        <v>1199</v>
      </c>
      <c r="F540" s="8" t="s">
        <v>1200</v>
      </c>
      <c r="G540" s="8" t="s">
        <v>1201</v>
      </c>
      <c r="H540" s="11" t="s">
        <v>26</v>
      </c>
      <c r="I540" s="11" t="s">
        <v>260</v>
      </c>
      <c r="J540" s="11" t="s">
        <v>130</v>
      </c>
      <c r="K540" s="8" t="s">
        <v>675</v>
      </c>
      <c r="L540" s="8" t="s">
        <v>676</v>
      </c>
      <c r="M540" s="20">
        <v>45488.0</v>
      </c>
      <c r="N540" s="21">
        <v>644.0</v>
      </c>
      <c r="O540" s="22">
        <v>760.0</v>
      </c>
      <c r="P540" s="7"/>
      <c r="Q540" s="7"/>
      <c r="R540" s="7"/>
      <c r="S540" s="17"/>
      <c r="T540" s="10"/>
      <c r="U540" s="10"/>
      <c r="V540" s="10"/>
      <c r="W540" s="10"/>
      <c r="X540" s="10"/>
      <c r="Y540" s="10"/>
      <c r="Z540" s="10"/>
    </row>
    <row r="541" ht="13.5" customHeight="1">
      <c r="A541" s="13" t="s">
        <v>1202</v>
      </c>
      <c r="B541" s="8" t="s">
        <v>301</v>
      </c>
      <c r="C541" s="8" t="s">
        <v>296</v>
      </c>
      <c r="D541" s="8" t="s">
        <v>1065</v>
      </c>
      <c r="E541" s="9" t="s">
        <v>1203</v>
      </c>
      <c r="F541" s="8" t="s">
        <v>1204</v>
      </c>
      <c r="G541" s="8" t="s">
        <v>1201</v>
      </c>
      <c r="H541" s="11" t="s">
        <v>26</v>
      </c>
      <c r="I541" s="11" t="s">
        <v>260</v>
      </c>
      <c r="J541" s="11" t="s">
        <v>130</v>
      </c>
      <c r="K541" s="8" t="s">
        <v>675</v>
      </c>
      <c r="L541" s="8" t="s">
        <v>676</v>
      </c>
      <c r="M541" s="20">
        <v>45488.0</v>
      </c>
      <c r="N541" s="21">
        <v>60.0</v>
      </c>
      <c r="O541" s="22">
        <v>50.0</v>
      </c>
      <c r="P541" s="7"/>
      <c r="Q541" s="7"/>
      <c r="R541" s="7"/>
      <c r="S541" s="17"/>
      <c r="T541" s="10"/>
      <c r="U541" s="10"/>
      <c r="V541" s="10"/>
      <c r="W541" s="10"/>
      <c r="X541" s="10"/>
      <c r="Y541" s="10"/>
      <c r="Z541" s="10"/>
    </row>
    <row r="542" ht="13.5" customHeight="1">
      <c r="A542" s="13" t="s">
        <v>1205</v>
      </c>
      <c r="B542" s="8" t="s">
        <v>167</v>
      </c>
      <c r="C542" s="8" t="s">
        <v>296</v>
      </c>
      <c r="D542" s="8" t="s">
        <v>1061</v>
      </c>
      <c r="E542" s="9" t="s">
        <v>1206</v>
      </c>
      <c r="F542" s="8" t="s">
        <v>1207</v>
      </c>
      <c r="G542" s="8" t="s">
        <v>1208</v>
      </c>
      <c r="H542" s="11" t="s">
        <v>26</v>
      </c>
      <c r="I542" s="11" t="s">
        <v>260</v>
      </c>
      <c r="J542" s="11" t="s">
        <v>130</v>
      </c>
      <c r="K542" s="8" t="s">
        <v>675</v>
      </c>
      <c r="L542" s="8" t="s">
        <v>676</v>
      </c>
      <c r="M542" s="20">
        <v>45488.0</v>
      </c>
      <c r="N542" s="21">
        <v>644.0</v>
      </c>
      <c r="O542" s="22">
        <v>760.0</v>
      </c>
      <c r="P542" s="7"/>
      <c r="Q542" s="7"/>
      <c r="R542" s="7"/>
      <c r="S542" s="17"/>
      <c r="T542" s="10"/>
      <c r="U542" s="10"/>
      <c r="V542" s="10"/>
      <c r="W542" s="10"/>
      <c r="X542" s="10"/>
      <c r="Y542" s="10"/>
      <c r="Z542" s="10"/>
    </row>
    <row r="543" ht="13.5" customHeight="1">
      <c r="A543" s="13" t="s">
        <v>1209</v>
      </c>
      <c r="B543" s="8" t="s">
        <v>301</v>
      </c>
      <c r="C543" s="8" t="s">
        <v>296</v>
      </c>
      <c r="D543" s="8" t="s">
        <v>1065</v>
      </c>
      <c r="E543" s="9" t="s">
        <v>1210</v>
      </c>
      <c r="F543" s="8" t="s">
        <v>1211</v>
      </c>
      <c r="G543" s="8" t="s">
        <v>1208</v>
      </c>
      <c r="H543" s="11" t="s">
        <v>26</v>
      </c>
      <c r="I543" s="11" t="s">
        <v>260</v>
      </c>
      <c r="J543" s="11" t="s">
        <v>130</v>
      </c>
      <c r="K543" s="8" t="s">
        <v>675</v>
      </c>
      <c r="L543" s="8" t="s">
        <v>676</v>
      </c>
      <c r="M543" s="20">
        <v>45488.0</v>
      </c>
      <c r="N543" s="21">
        <v>60.0</v>
      </c>
      <c r="O543" s="22">
        <v>50.0</v>
      </c>
      <c r="P543" s="7"/>
      <c r="Q543" s="7"/>
      <c r="R543" s="7"/>
      <c r="S543" s="17"/>
      <c r="T543" s="10"/>
      <c r="U543" s="10"/>
      <c r="V543" s="10"/>
      <c r="W543" s="10"/>
      <c r="X543" s="10"/>
      <c r="Y543" s="10"/>
      <c r="Z543" s="10"/>
    </row>
    <row r="544" ht="13.5" customHeight="1">
      <c r="A544" s="13" t="s">
        <v>1212</v>
      </c>
      <c r="B544" s="8" t="s">
        <v>167</v>
      </c>
      <c r="C544" s="8" t="s">
        <v>296</v>
      </c>
      <c r="D544" s="8" t="s">
        <v>1061</v>
      </c>
      <c r="E544" s="9" t="s">
        <v>1213</v>
      </c>
      <c r="F544" s="8" t="s">
        <v>1214</v>
      </c>
      <c r="G544" s="8" t="s">
        <v>1215</v>
      </c>
      <c r="H544" s="11" t="s">
        <v>26</v>
      </c>
      <c r="I544" s="11" t="s">
        <v>260</v>
      </c>
      <c r="J544" s="11" t="s">
        <v>130</v>
      </c>
      <c r="K544" s="8" t="s">
        <v>675</v>
      </c>
      <c r="L544" s="8" t="s">
        <v>676</v>
      </c>
      <c r="M544" s="20">
        <v>45488.0</v>
      </c>
      <c r="N544" s="21">
        <v>644.0</v>
      </c>
      <c r="O544" s="22">
        <v>760.0</v>
      </c>
      <c r="P544" s="7"/>
      <c r="Q544" s="7"/>
      <c r="R544" s="7"/>
      <c r="S544" s="17"/>
      <c r="T544" s="10"/>
      <c r="U544" s="10"/>
      <c r="V544" s="10"/>
      <c r="W544" s="10"/>
      <c r="X544" s="10"/>
      <c r="Y544" s="10"/>
      <c r="Z544" s="10"/>
    </row>
    <row r="545" ht="13.5" customHeight="1">
      <c r="A545" s="13" t="s">
        <v>1216</v>
      </c>
      <c r="B545" s="8" t="s">
        <v>301</v>
      </c>
      <c r="C545" s="8" t="s">
        <v>296</v>
      </c>
      <c r="D545" s="8" t="s">
        <v>1065</v>
      </c>
      <c r="E545" s="9" t="s">
        <v>1217</v>
      </c>
      <c r="F545" s="8" t="s">
        <v>1218</v>
      </c>
      <c r="G545" s="8" t="s">
        <v>1215</v>
      </c>
      <c r="H545" s="11" t="s">
        <v>26</v>
      </c>
      <c r="I545" s="11" t="s">
        <v>260</v>
      </c>
      <c r="J545" s="11" t="s">
        <v>130</v>
      </c>
      <c r="K545" s="8" t="s">
        <v>675</v>
      </c>
      <c r="L545" s="8" t="s">
        <v>676</v>
      </c>
      <c r="M545" s="20">
        <v>45488.0</v>
      </c>
      <c r="N545" s="21">
        <v>60.0</v>
      </c>
      <c r="O545" s="22">
        <v>50.0</v>
      </c>
      <c r="P545" s="7"/>
      <c r="Q545" s="7"/>
      <c r="R545" s="7"/>
      <c r="S545" s="17"/>
      <c r="T545" s="10"/>
      <c r="U545" s="10"/>
      <c r="V545" s="10"/>
      <c r="W545" s="10"/>
      <c r="X545" s="10"/>
      <c r="Y545" s="10"/>
      <c r="Z545" s="10"/>
    </row>
    <row r="546" ht="13.5" customHeight="1">
      <c r="A546" s="24" t="s">
        <v>1219</v>
      </c>
      <c r="B546" s="25" t="s">
        <v>167</v>
      </c>
      <c r="C546" s="25" t="s">
        <v>296</v>
      </c>
      <c r="D546" s="25" t="s">
        <v>1061</v>
      </c>
      <c r="E546" s="26" t="s">
        <v>1220</v>
      </c>
      <c r="F546" s="25" t="s">
        <v>1221</v>
      </c>
      <c r="G546" s="25" t="s">
        <v>550</v>
      </c>
      <c r="H546" s="27" t="s">
        <v>259</v>
      </c>
      <c r="I546" s="27" t="s">
        <v>91</v>
      </c>
      <c r="J546" s="27" t="s">
        <v>275</v>
      </c>
      <c r="K546" s="25" t="s">
        <v>675</v>
      </c>
      <c r="L546" s="25" t="s">
        <v>676</v>
      </c>
      <c r="M546" s="28">
        <v>45488.0</v>
      </c>
      <c r="N546" s="29">
        <v>644.0</v>
      </c>
      <c r="O546" s="30">
        <v>760.0</v>
      </c>
      <c r="P546" s="31"/>
      <c r="Q546" s="31"/>
      <c r="R546" s="31"/>
      <c r="S546" s="32"/>
      <c r="T546" s="10"/>
      <c r="U546" s="10"/>
      <c r="V546" s="10"/>
      <c r="W546" s="10"/>
      <c r="X546" s="10"/>
      <c r="Y546" s="10"/>
      <c r="Z546" s="10"/>
    </row>
    <row r="547" ht="13.5" customHeight="1">
      <c r="A547" s="24" t="s">
        <v>1222</v>
      </c>
      <c r="B547" s="25" t="s">
        <v>301</v>
      </c>
      <c r="C547" s="25" t="s">
        <v>296</v>
      </c>
      <c r="D547" s="25" t="s">
        <v>1065</v>
      </c>
      <c r="E547" s="26" t="s">
        <v>1223</v>
      </c>
      <c r="F547" s="25" t="s">
        <v>1224</v>
      </c>
      <c r="G547" s="25" t="s">
        <v>550</v>
      </c>
      <c r="H547" s="27" t="s">
        <v>259</v>
      </c>
      <c r="I547" s="27" t="s">
        <v>91</v>
      </c>
      <c r="J547" s="27" t="s">
        <v>275</v>
      </c>
      <c r="K547" s="25" t="s">
        <v>675</v>
      </c>
      <c r="L547" s="25" t="s">
        <v>676</v>
      </c>
      <c r="M547" s="28">
        <v>45488.0</v>
      </c>
      <c r="N547" s="29">
        <v>60.0</v>
      </c>
      <c r="O547" s="30">
        <v>50.0</v>
      </c>
      <c r="P547" s="31"/>
      <c r="Q547" s="31"/>
      <c r="R547" s="31"/>
      <c r="S547" s="32"/>
      <c r="T547" s="10"/>
      <c r="U547" s="10"/>
      <c r="V547" s="10"/>
      <c r="W547" s="10"/>
      <c r="X547" s="10"/>
      <c r="Y547" s="10"/>
      <c r="Z547" s="10"/>
    </row>
    <row r="548" ht="13.5" customHeight="1">
      <c r="A548" s="13" t="s">
        <v>1225</v>
      </c>
      <c r="B548" s="8" t="s">
        <v>167</v>
      </c>
      <c r="C548" s="8" t="s">
        <v>296</v>
      </c>
      <c r="D548" s="8" t="s">
        <v>1061</v>
      </c>
      <c r="E548" s="9" t="s">
        <v>1226</v>
      </c>
      <c r="F548" s="8" t="s">
        <v>1227</v>
      </c>
      <c r="G548" s="8" t="s">
        <v>1228</v>
      </c>
      <c r="H548" s="11" t="s">
        <v>670</v>
      </c>
      <c r="I548" s="11" t="s">
        <v>91</v>
      </c>
      <c r="J548" s="11" t="s">
        <v>1079</v>
      </c>
      <c r="K548" s="8" t="s">
        <v>675</v>
      </c>
      <c r="L548" s="8" t="s">
        <v>676</v>
      </c>
      <c r="M548" s="20">
        <v>45488.0</v>
      </c>
      <c r="N548" s="21">
        <v>644.0</v>
      </c>
      <c r="O548" s="22">
        <v>760.0</v>
      </c>
      <c r="P548" s="7"/>
      <c r="Q548" s="7"/>
      <c r="R548" s="7"/>
      <c r="S548" s="17"/>
      <c r="T548" s="10"/>
      <c r="U548" s="10"/>
      <c r="V548" s="10"/>
      <c r="W548" s="10"/>
      <c r="X548" s="10"/>
      <c r="Y548" s="10"/>
      <c r="Z548" s="10"/>
    </row>
    <row r="549" ht="13.5" customHeight="1">
      <c r="A549" s="13" t="s">
        <v>1229</v>
      </c>
      <c r="B549" s="8" t="s">
        <v>301</v>
      </c>
      <c r="C549" s="8" t="s">
        <v>296</v>
      </c>
      <c r="D549" s="8" t="s">
        <v>1065</v>
      </c>
      <c r="E549" s="9" t="s">
        <v>1230</v>
      </c>
      <c r="F549" s="8" t="s">
        <v>1231</v>
      </c>
      <c r="G549" s="8" t="s">
        <v>1228</v>
      </c>
      <c r="H549" s="11" t="s">
        <v>670</v>
      </c>
      <c r="I549" s="11" t="s">
        <v>91</v>
      </c>
      <c r="J549" s="11" t="s">
        <v>1079</v>
      </c>
      <c r="K549" s="8" t="s">
        <v>675</v>
      </c>
      <c r="L549" s="8" t="s">
        <v>676</v>
      </c>
      <c r="M549" s="20">
        <v>45488.0</v>
      </c>
      <c r="N549" s="21">
        <v>60.0</v>
      </c>
      <c r="O549" s="22">
        <v>50.0</v>
      </c>
      <c r="P549" s="7"/>
      <c r="Q549" s="7"/>
      <c r="R549" s="7"/>
      <c r="S549" s="17"/>
      <c r="T549" s="10"/>
      <c r="U549" s="10"/>
      <c r="V549" s="10"/>
      <c r="W549" s="10"/>
      <c r="X549" s="10"/>
      <c r="Y549" s="10"/>
      <c r="Z549" s="10"/>
    </row>
    <row r="550" ht="13.5" customHeight="1">
      <c r="A550" s="13" t="s">
        <v>1232</v>
      </c>
      <c r="B550" s="8" t="s">
        <v>167</v>
      </c>
      <c r="C550" s="8" t="s">
        <v>296</v>
      </c>
      <c r="D550" s="8" t="s">
        <v>1061</v>
      </c>
      <c r="E550" s="9" t="s">
        <v>1233</v>
      </c>
      <c r="F550" s="8" t="s">
        <v>1234</v>
      </c>
      <c r="G550" s="8" t="s">
        <v>258</v>
      </c>
      <c r="H550" s="11" t="s">
        <v>259</v>
      </c>
      <c r="I550" s="11" t="s">
        <v>260</v>
      </c>
      <c r="J550" s="11" t="s">
        <v>261</v>
      </c>
      <c r="K550" s="8" t="s">
        <v>675</v>
      </c>
      <c r="L550" s="8" t="s">
        <v>676</v>
      </c>
      <c r="M550" s="20">
        <v>45488.0</v>
      </c>
      <c r="N550" s="21">
        <v>644.0</v>
      </c>
      <c r="O550" s="22">
        <v>760.0</v>
      </c>
      <c r="P550" s="7"/>
      <c r="Q550" s="7"/>
      <c r="R550" s="7"/>
      <c r="S550" s="17"/>
      <c r="T550" s="10"/>
      <c r="U550" s="10"/>
      <c r="V550" s="10"/>
      <c r="W550" s="10"/>
      <c r="X550" s="10"/>
      <c r="Y550" s="10"/>
      <c r="Z550" s="10"/>
    </row>
    <row r="551" ht="13.5" customHeight="1">
      <c r="A551" s="13" t="s">
        <v>1235</v>
      </c>
      <c r="B551" s="8" t="s">
        <v>301</v>
      </c>
      <c r="C551" s="8" t="s">
        <v>296</v>
      </c>
      <c r="D551" s="8" t="s">
        <v>1065</v>
      </c>
      <c r="E551" s="9" t="s">
        <v>1236</v>
      </c>
      <c r="F551" s="8" t="s">
        <v>1237</v>
      </c>
      <c r="G551" s="8" t="s">
        <v>258</v>
      </c>
      <c r="H551" s="11" t="s">
        <v>259</v>
      </c>
      <c r="I551" s="11" t="s">
        <v>260</v>
      </c>
      <c r="J551" s="11" t="s">
        <v>261</v>
      </c>
      <c r="K551" s="8" t="s">
        <v>675</v>
      </c>
      <c r="L551" s="8" t="s">
        <v>676</v>
      </c>
      <c r="M551" s="20">
        <v>45488.0</v>
      </c>
      <c r="N551" s="21">
        <v>60.0</v>
      </c>
      <c r="O551" s="22">
        <v>50.0</v>
      </c>
      <c r="P551" s="7"/>
      <c r="Q551" s="7"/>
      <c r="R551" s="7"/>
      <c r="S551" s="17"/>
      <c r="T551" s="10"/>
      <c r="U551" s="10"/>
      <c r="V551" s="10"/>
      <c r="W551" s="10"/>
      <c r="X551" s="10"/>
      <c r="Y551" s="10"/>
      <c r="Z551" s="10"/>
    </row>
    <row r="552" ht="13.5" customHeight="1">
      <c r="A552" s="13" t="s">
        <v>1238</v>
      </c>
      <c r="B552" s="8" t="s">
        <v>167</v>
      </c>
      <c r="C552" s="8" t="s">
        <v>296</v>
      </c>
      <c r="D552" s="8" t="s">
        <v>1061</v>
      </c>
      <c r="E552" s="9" t="s">
        <v>1239</v>
      </c>
      <c r="F552" s="8" t="s">
        <v>1240</v>
      </c>
      <c r="G552" s="8" t="s">
        <v>629</v>
      </c>
      <c r="H552" s="11" t="s">
        <v>259</v>
      </c>
      <c r="I552" s="11" t="s">
        <v>260</v>
      </c>
      <c r="J552" s="11" t="s">
        <v>261</v>
      </c>
      <c r="K552" s="8" t="s">
        <v>675</v>
      </c>
      <c r="L552" s="8" t="s">
        <v>676</v>
      </c>
      <c r="M552" s="20">
        <v>45488.0</v>
      </c>
      <c r="N552" s="21">
        <v>644.0</v>
      </c>
      <c r="O552" s="22">
        <v>760.0</v>
      </c>
      <c r="P552" s="11" t="s">
        <v>630</v>
      </c>
      <c r="Q552" s="7"/>
      <c r="R552" s="7"/>
      <c r="S552" s="17"/>
      <c r="T552" s="10"/>
      <c r="U552" s="10"/>
      <c r="V552" s="10"/>
      <c r="W552" s="10"/>
      <c r="X552" s="10"/>
      <c r="Y552" s="10"/>
      <c r="Z552" s="10"/>
    </row>
    <row r="553" ht="13.5" customHeight="1">
      <c r="A553" s="13" t="s">
        <v>1241</v>
      </c>
      <c r="B553" s="8" t="s">
        <v>301</v>
      </c>
      <c r="C553" s="8" t="s">
        <v>296</v>
      </c>
      <c r="D553" s="8" t="s">
        <v>1065</v>
      </c>
      <c r="E553" s="9" t="s">
        <v>1242</v>
      </c>
      <c r="F553" s="8" t="s">
        <v>1243</v>
      </c>
      <c r="G553" s="8" t="s">
        <v>629</v>
      </c>
      <c r="H553" s="11" t="s">
        <v>259</v>
      </c>
      <c r="I553" s="11" t="s">
        <v>260</v>
      </c>
      <c r="J553" s="11" t="s">
        <v>261</v>
      </c>
      <c r="K553" s="8" t="s">
        <v>675</v>
      </c>
      <c r="L553" s="8" t="s">
        <v>676</v>
      </c>
      <c r="M553" s="20">
        <v>45488.0</v>
      </c>
      <c r="N553" s="21">
        <v>60.0</v>
      </c>
      <c r="O553" s="22">
        <v>50.0</v>
      </c>
      <c r="P553" s="11" t="s">
        <v>630</v>
      </c>
      <c r="Q553" s="7"/>
      <c r="R553" s="7"/>
      <c r="S553" s="17"/>
      <c r="T553" s="10"/>
      <c r="U553" s="10"/>
      <c r="V553" s="10"/>
      <c r="W553" s="10"/>
      <c r="X553" s="10"/>
      <c r="Y553" s="10"/>
      <c r="Z553" s="10"/>
    </row>
    <row r="554" ht="13.5" customHeight="1">
      <c r="A554" s="13" t="s">
        <v>1244</v>
      </c>
      <c r="B554" s="8" t="s">
        <v>167</v>
      </c>
      <c r="C554" s="8" t="s">
        <v>296</v>
      </c>
      <c r="D554" s="8" t="s">
        <v>1061</v>
      </c>
      <c r="E554" s="9" t="s">
        <v>1245</v>
      </c>
      <c r="F554" s="8" t="s">
        <v>1246</v>
      </c>
      <c r="G554" s="8" t="s">
        <v>1247</v>
      </c>
      <c r="H554" s="11" t="s">
        <v>259</v>
      </c>
      <c r="I554" s="11" t="s">
        <v>260</v>
      </c>
      <c r="J554" s="11" t="s">
        <v>294</v>
      </c>
      <c r="K554" s="8" t="s">
        <v>675</v>
      </c>
      <c r="L554" s="8" t="s">
        <v>676</v>
      </c>
      <c r="M554" s="20">
        <v>45488.0</v>
      </c>
      <c r="N554" s="21">
        <v>644.0</v>
      </c>
      <c r="O554" s="22">
        <v>760.0</v>
      </c>
      <c r="P554" s="7"/>
      <c r="Q554" s="7"/>
      <c r="R554" s="7"/>
      <c r="S554" s="17"/>
      <c r="T554" s="10"/>
      <c r="U554" s="10"/>
      <c r="V554" s="10"/>
      <c r="W554" s="10"/>
      <c r="X554" s="10"/>
      <c r="Y554" s="10"/>
      <c r="Z554" s="10"/>
    </row>
    <row r="555" ht="13.5" customHeight="1">
      <c r="A555" s="13" t="s">
        <v>1248</v>
      </c>
      <c r="B555" s="8" t="s">
        <v>301</v>
      </c>
      <c r="C555" s="8" t="s">
        <v>296</v>
      </c>
      <c r="D555" s="8" t="s">
        <v>1065</v>
      </c>
      <c r="E555" s="9" t="s">
        <v>1249</v>
      </c>
      <c r="F555" s="8" t="s">
        <v>1250</v>
      </c>
      <c r="G555" s="8" t="s">
        <v>1247</v>
      </c>
      <c r="H555" s="11" t="s">
        <v>259</v>
      </c>
      <c r="I555" s="11" t="s">
        <v>260</v>
      </c>
      <c r="J555" s="11" t="s">
        <v>294</v>
      </c>
      <c r="K555" s="8" t="s">
        <v>675</v>
      </c>
      <c r="L555" s="8" t="s">
        <v>676</v>
      </c>
      <c r="M555" s="20">
        <v>45488.0</v>
      </c>
      <c r="N555" s="21">
        <v>60.0</v>
      </c>
      <c r="O555" s="22">
        <v>50.0</v>
      </c>
      <c r="P555" s="7"/>
      <c r="Q555" s="7"/>
      <c r="R555" s="7"/>
      <c r="S555" s="17"/>
      <c r="T555" s="10"/>
      <c r="U555" s="10"/>
      <c r="V555" s="10"/>
      <c r="W555" s="10"/>
      <c r="X555" s="10"/>
      <c r="Y555" s="10"/>
      <c r="Z555" s="10"/>
    </row>
    <row r="556" ht="13.5" customHeight="1">
      <c r="A556" s="13" t="s">
        <v>1251</v>
      </c>
      <c r="B556" s="8" t="s">
        <v>167</v>
      </c>
      <c r="C556" s="8" t="s">
        <v>296</v>
      </c>
      <c r="D556" s="8" t="s">
        <v>1061</v>
      </c>
      <c r="E556" s="9" t="s">
        <v>1252</v>
      </c>
      <c r="F556" s="8" t="s">
        <v>1253</v>
      </c>
      <c r="G556" s="8" t="s">
        <v>84</v>
      </c>
      <c r="H556" s="11" t="s">
        <v>259</v>
      </c>
      <c r="I556" s="11" t="s">
        <v>260</v>
      </c>
      <c r="J556" s="11" t="s">
        <v>294</v>
      </c>
      <c r="K556" s="8" t="s">
        <v>675</v>
      </c>
      <c r="L556" s="8" t="s">
        <v>676</v>
      </c>
      <c r="M556" s="20">
        <v>45488.0</v>
      </c>
      <c r="N556" s="21">
        <v>644.0</v>
      </c>
      <c r="O556" s="22">
        <v>760.0</v>
      </c>
      <c r="P556" s="7"/>
      <c r="Q556" s="7"/>
      <c r="R556" s="7"/>
      <c r="S556" s="17"/>
      <c r="T556" s="10"/>
      <c r="U556" s="10"/>
      <c r="V556" s="10"/>
      <c r="W556" s="10"/>
      <c r="X556" s="10"/>
      <c r="Y556" s="10"/>
      <c r="Z556" s="10"/>
    </row>
    <row r="557" ht="13.5" customHeight="1">
      <c r="A557" s="13" t="s">
        <v>1254</v>
      </c>
      <c r="B557" s="8" t="s">
        <v>301</v>
      </c>
      <c r="C557" s="8" t="s">
        <v>296</v>
      </c>
      <c r="D557" s="8" t="s">
        <v>1065</v>
      </c>
      <c r="E557" s="9" t="s">
        <v>1255</v>
      </c>
      <c r="F557" s="8" t="s">
        <v>1256</v>
      </c>
      <c r="G557" s="8" t="s">
        <v>84</v>
      </c>
      <c r="H557" s="11" t="s">
        <v>259</v>
      </c>
      <c r="I557" s="11" t="s">
        <v>260</v>
      </c>
      <c r="J557" s="11" t="s">
        <v>294</v>
      </c>
      <c r="K557" s="8" t="s">
        <v>675</v>
      </c>
      <c r="L557" s="8" t="s">
        <v>676</v>
      </c>
      <c r="M557" s="20">
        <v>45488.0</v>
      </c>
      <c r="N557" s="21">
        <v>60.0</v>
      </c>
      <c r="O557" s="22">
        <v>50.0</v>
      </c>
      <c r="P557" s="7"/>
      <c r="Q557" s="7"/>
      <c r="R557" s="7"/>
      <c r="S557" s="17"/>
      <c r="T557" s="10"/>
      <c r="U557" s="10"/>
      <c r="V557" s="10"/>
      <c r="W557" s="10"/>
      <c r="X557" s="10"/>
      <c r="Y557" s="10"/>
      <c r="Z557" s="10"/>
    </row>
    <row r="558" ht="13.5" customHeight="1">
      <c r="A558" s="13" t="s">
        <v>1257</v>
      </c>
      <c r="B558" s="8" t="s">
        <v>167</v>
      </c>
      <c r="C558" s="8" t="s">
        <v>296</v>
      </c>
      <c r="D558" s="8" t="s">
        <v>1061</v>
      </c>
      <c r="E558" s="9" t="s">
        <v>1258</v>
      </c>
      <c r="F558" s="8" t="s">
        <v>1259</v>
      </c>
      <c r="G558" s="8" t="s">
        <v>84</v>
      </c>
      <c r="H558" s="11" t="s">
        <v>259</v>
      </c>
      <c r="I558" s="11" t="s">
        <v>260</v>
      </c>
      <c r="J558" s="11" t="s">
        <v>294</v>
      </c>
      <c r="K558" s="8" t="s">
        <v>675</v>
      </c>
      <c r="L558" s="8" t="s">
        <v>676</v>
      </c>
      <c r="M558" s="20">
        <v>45488.0</v>
      </c>
      <c r="N558" s="21">
        <v>644.0</v>
      </c>
      <c r="O558" s="22">
        <v>760.0</v>
      </c>
      <c r="P558" s="7"/>
      <c r="Q558" s="7"/>
      <c r="R558" s="7"/>
      <c r="S558" s="17"/>
      <c r="T558" s="10"/>
      <c r="U558" s="10"/>
      <c r="V558" s="10"/>
      <c r="W558" s="10"/>
      <c r="X558" s="10"/>
      <c r="Y558" s="10"/>
      <c r="Z558" s="10"/>
    </row>
    <row r="559" ht="13.5" customHeight="1">
      <c r="A559" s="13" t="s">
        <v>1260</v>
      </c>
      <c r="B559" s="8" t="s">
        <v>301</v>
      </c>
      <c r="C559" s="8" t="s">
        <v>296</v>
      </c>
      <c r="D559" s="8" t="s">
        <v>1065</v>
      </c>
      <c r="E559" s="9" t="s">
        <v>1261</v>
      </c>
      <c r="F559" s="8" t="s">
        <v>1262</v>
      </c>
      <c r="G559" s="8" t="s">
        <v>84</v>
      </c>
      <c r="H559" s="11" t="s">
        <v>259</v>
      </c>
      <c r="I559" s="11" t="s">
        <v>260</v>
      </c>
      <c r="J559" s="11" t="s">
        <v>294</v>
      </c>
      <c r="K559" s="8" t="s">
        <v>675</v>
      </c>
      <c r="L559" s="8" t="s">
        <v>676</v>
      </c>
      <c r="M559" s="20">
        <v>45488.0</v>
      </c>
      <c r="N559" s="21">
        <v>60.0</v>
      </c>
      <c r="O559" s="22">
        <v>50.0</v>
      </c>
      <c r="P559" s="7"/>
      <c r="Q559" s="7"/>
      <c r="R559" s="7"/>
      <c r="S559" s="17"/>
      <c r="T559" s="10"/>
      <c r="U559" s="10"/>
      <c r="V559" s="10"/>
      <c r="W559" s="10"/>
      <c r="X559" s="10"/>
      <c r="Y559" s="10"/>
      <c r="Z559" s="10"/>
    </row>
    <row r="560" ht="13.5" customHeight="1">
      <c r="A560" s="13" t="s">
        <v>1263</v>
      </c>
      <c r="B560" s="8" t="s">
        <v>167</v>
      </c>
      <c r="C560" s="8" t="s">
        <v>296</v>
      </c>
      <c r="D560" s="8" t="s">
        <v>1061</v>
      </c>
      <c r="E560" s="9" t="s">
        <v>1264</v>
      </c>
      <c r="F560" s="8" t="s">
        <v>1265</v>
      </c>
      <c r="G560" s="8" t="s">
        <v>84</v>
      </c>
      <c r="H560" s="11" t="s">
        <v>259</v>
      </c>
      <c r="I560" s="11" t="s">
        <v>260</v>
      </c>
      <c r="J560" s="11" t="s">
        <v>294</v>
      </c>
      <c r="K560" s="8" t="s">
        <v>675</v>
      </c>
      <c r="L560" s="8" t="s">
        <v>676</v>
      </c>
      <c r="M560" s="20">
        <v>45488.0</v>
      </c>
      <c r="N560" s="21">
        <v>644.0</v>
      </c>
      <c r="O560" s="22">
        <v>760.0</v>
      </c>
      <c r="P560" s="7"/>
      <c r="Q560" s="7"/>
      <c r="R560" s="7"/>
      <c r="S560" s="17"/>
      <c r="T560" s="10"/>
      <c r="U560" s="10"/>
      <c r="V560" s="10"/>
      <c r="W560" s="10"/>
      <c r="X560" s="10"/>
      <c r="Y560" s="10"/>
      <c r="Z560" s="10"/>
    </row>
    <row r="561" ht="13.5" customHeight="1">
      <c r="A561" s="13" t="s">
        <v>1266</v>
      </c>
      <c r="B561" s="8" t="s">
        <v>301</v>
      </c>
      <c r="C561" s="8" t="s">
        <v>296</v>
      </c>
      <c r="D561" s="8" t="s">
        <v>1065</v>
      </c>
      <c r="E561" s="9" t="s">
        <v>1267</v>
      </c>
      <c r="F561" s="8" t="s">
        <v>1268</v>
      </c>
      <c r="G561" s="8" t="s">
        <v>84</v>
      </c>
      <c r="H561" s="11" t="s">
        <v>259</v>
      </c>
      <c r="I561" s="11" t="s">
        <v>260</v>
      </c>
      <c r="J561" s="11" t="s">
        <v>294</v>
      </c>
      <c r="K561" s="8" t="s">
        <v>675</v>
      </c>
      <c r="L561" s="8" t="s">
        <v>676</v>
      </c>
      <c r="M561" s="20">
        <v>45488.0</v>
      </c>
      <c r="N561" s="21">
        <v>60.0</v>
      </c>
      <c r="O561" s="22">
        <v>50.0</v>
      </c>
      <c r="P561" s="7"/>
      <c r="Q561" s="7"/>
      <c r="R561" s="7"/>
      <c r="S561" s="17"/>
      <c r="T561" s="10"/>
      <c r="U561" s="10"/>
      <c r="V561" s="10"/>
      <c r="W561" s="10"/>
      <c r="X561" s="10"/>
      <c r="Y561" s="10"/>
      <c r="Z561" s="10"/>
    </row>
    <row r="562" ht="13.5" customHeight="1">
      <c r="A562" s="13" t="s">
        <v>1269</v>
      </c>
      <c r="B562" s="8" t="s">
        <v>167</v>
      </c>
      <c r="C562" s="8" t="s">
        <v>296</v>
      </c>
      <c r="D562" s="8" t="s">
        <v>1061</v>
      </c>
      <c r="E562" s="9" t="s">
        <v>1270</v>
      </c>
      <c r="F562" s="8" t="s">
        <v>1271</v>
      </c>
      <c r="G562" s="8" t="s">
        <v>84</v>
      </c>
      <c r="H562" s="11" t="s">
        <v>259</v>
      </c>
      <c r="I562" s="11" t="s">
        <v>260</v>
      </c>
      <c r="J562" s="11" t="s">
        <v>294</v>
      </c>
      <c r="K562" s="8" t="s">
        <v>675</v>
      </c>
      <c r="L562" s="8" t="s">
        <v>676</v>
      </c>
      <c r="M562" s="20">
        <v>45488.0</v>
      </c>
      <c r="N562" s="21">
        <v>644.0</v>
      </c>
      <c r="O562" s="22">
        <v>760.0</v>
      </c>
      <c r="P562" s="7"/>
      <c r="Q562" s="7"/>
      <c r="R562" s="7"/>
      <c r="S562" s="17"/>
      <c r="T562" s="10"/>
      <c r="U562" s="10"/>
      <c r="V562" s="10"/>
      <c r="W562" s="10"/>
      <c r="X562" s="10"/>
      <c r="Y562" s="10"/>
      <c r="Z562" s="10"/>
    </row>
    <row r="563" ht="13.5" customHeight="1">
      <c r="A563" s="13" t="s">
        <v>1272</v>
      </c>
      <c r="B563" s="8" t="s">
        <v>301</v>
      </c>
      <c r="C563" s="8" t="s">
        <v>296</v>
      </c>
      <c r="D563" s="8" t="s">
        <v>1065</v>
      </c>
      <c r="E563" s="9" t="s">
        <v>1273</v>
      </c>
      <c r="F563" s="8" t="s">
        <v>1274</v>
      </c>
      <c r="G563" s="8" t="s">
        <v>84</v>
      </c>
      <c r="H563" s="11" t="s">
        <v>259</v>
      </c>
      <c r="I563" s="11" t="s">
        <v>260</v>
      </c>
      <c r="J563" s="11" t="s">
        <v>294</v>
      </c>
      <c r="K563" s="8" t="s">
        <v>675</v>
      </c>
      <c r="L563" s="8" t="s">
        <v>676</v>
      </c>
      <c r="M563" s="20">
        <v>45488.0</v>
      </c>
      <c r="N563" s="21">
        <v>60.0</v>
      </c>
      <c r="O563" s="22">
        <v>50.0</v>
      </c>
      <c r="P563" s="7"/>
      <c r="Q563" s="7"/>
      <c r="R563" s="7"/>
      <c r="S563" s="17"/>
      <c r="T563" s="10"/>
      <c r="U563" s="10"/>
      <c r="V563" s="10"/>
      <c r="W563" s="10"/>
      <c r="X563" s="10"/>
      <c r="Y563" s="10"/>
      <c r="Z563" s="10"/>
    </row>
    <row r="564" ht="13.5" customHeight="1">
      <c r="A564" s="13" t="s">
        <v>1275</v>
      </c>
      <c r="B564" s="8" t="s">
        <v>167</v>
      </c>
      <c r="C564" s="8" t="s">
        <v>296</v>
      </c>
      <c r="D564" s="8" t="s">
        <v>1061</v>
      </c>
      <c r="E564" s="9" t="s">
        <v>1276</v>
      </c>
      <c r="F564" s="8" t="s">
        <v>1277</v>
      </c>
      <c r="G564" s="8" t="s">
        <v>84</v>
      </c>
      <c r="H564" s="11" t="s">
        <v>259</v>
      </c>
      <c r="I564" s="11" t="s">
        <v>260</v>
      </c>
      <c r="J564" s="11" t="s">
        <v>294</v>
      </c>
      <c r="K564" s="8" t="s">
        <v>675</v>
      </c>
      <c r="L564" s="8" t="s">
        <v>676</v>
      </c>
      <c r="M564" s="20">
        <v>45488.0</v>
      </c>
      <c r="N564" s="21">
        <v>644.0</v>
      </c>
      <c r="O564" s="22">
        <v>760.0</v>
      </c>
      <c r="P564" s="7"/>
      <c r="Q564" s="7"/>
      <c r="R564" s="7"/>
      <c r="S564" s="17"/>
      <c r="T564" s="10"/>
      <c r="U564" s="10"/>
      <c r="V564" s="10"/>
      <c r="W564" s="10"/>
      <c r="X564" s="10"/>
      <c r="Y564" s="10"/>
      <c r="Z564" s="10"/>
    </row>
    <row r="565" ht="13.5" customHeight="1">
      <c r="A565" s="13" t="s">
        <v>1278</v>
      </c>
      <c r="B565" s="8" t="s">
        <v>301</v>
      </c>
      <c r="C565" s="8" t="s">
        <v>296</v>
      </c>
      <c r="D565" s="8" t="s">
        <v>1065</v>
      </c>
      <c r="E565" s="9" t="s">
        <v>1279</v>
      </c>
      <c r="F565" s="8" t="s">
        <v>1280</v>
      </c>
      <c r="G565" s="8" t="s">
        <v>84</v>
      </c>
      <c r="H565" s="11" t="s">
        <v>259</v>
      </c>
      <c r="I565" s="11" t="s">
        <v>260</v>
      </c>
      <c r="J565" s="11" t="s">
        <v>294</v>
      </c>
      <c r="K565" s="8" t="s">
        <v>675</v>
      </c>
      <c r="L565" s="8" t="s">
        <v>676</v>
      </c>
      <c r="M565" s="20">
        <v>45488.0</v>
      </c>
      <c r="N565" s="21">
        <v>60.0</v>
      </c>
      <c r="O565" s="22">
        <v>50.0</v>
      </c>
      <c r="P565" s="7"/>
      <c r="Q565" s="7"/>
      <c r="R565" s="7"/>
      <c r="S565" s="17"/>
      <c r="T565" s="10"/>
      <c r="U565" s="10"/>
      <c r="V565" s="10"/>
      <c r="W565" s="10"/>
      <c r="X565" s="10"/>
      <c r="Y565" s="10"/>
      <c r="Z565" s="10"/>
    </row>
    <row r="566" ht="13.5" customHeight="1">
      <c r="A566" s="13" t="s">
        <v>1281</v>
      </c>
      <c r="B566" s="8" t="s">
        <v>167</v>
      </c>
      <c r="C566" s="8" t="s">
        <v>296</v>
      </c>
      <c r="D566" s="8" t="s">
        <v>1282</v>
      </c>
      <c r="E566" s="9" t="s">
        <v>1283</v>
      </c>
      <c r="F566" s="8" t="s">
        <v>1284</v>
      </c>
      <c r="G566" s="8" t="s">
        <v>1285</v>
      </c>
      <c r="H566" s="11" t="s">
        <v>670</v>
      </c>
      <c r="I566" s="11" t="s">
        <v>260</v>
      </c>
      <c r="J566" s="11" t="s">
        <v>865</v>
      </c>
      <c r="K566" s="8" t="s">
        <v>675</v>
      </c>
      <c r="L566" s="8" t="s">
        <v>676</v>
      </c>
      <c r="M566" s="20">
        <v>45488.0</v>
      </c>
      <c r="N566" s="21">
        <v>322.0</v>
      </c>
      <c r="O566" s="22">
        <v>380.0</v>
      </c>
      <c r="P566" s="7"/>
      <c r="Q566" s="7"/>
      <c r="R566" s="7"/>
      <c r="S566" s="17"/>
      <c r="T566" s="10"/>
      <c r="U566" s="10"/>
      <c r="V566" s="10"/>
      <c r="W566" s="10"/>
      <c r="X566" s="10"/>
      <c r="Y566" s="10"/>
      <c r="Z566" s="10"/>
    </row>
    <row r="567" ht="13.5" customHeight="1">
      <c r="A567" s="13" t="s">
        <v>1286</v>
      </c>
      <c r="B567" s="8" t="s">
        <v>301</v>
      </c>
      <c r="C567" s="8" t="s">
        <v>296</v>
      </c>
      <c r="D567" s="8" t="s">
        <v>1287</v>
      </c>
      <c r="E567" s="9" t="s">
        <v>1288</v>
      </c>
      <c r="F567" s="8" t="s">
        <v>1289</v>
      </c>
      <c r="G567" s="8" t="s">
        <v>1285</v>
      </c>
      <c r="H567" s="11" t="s">
        <v>670</v>
      </c>
      <c r="I567" s="11" t="s">
        <v>260</v>
      </c>
      <c r="J567" s="11" t="s">
        <v>865</v>
      </c>
      <c r="K567" s="8" t="s">
        <v>675</v>
      </c>
      <c r="L567" s="8" t="s">
        <v>676</v>
      </c>
      <c r="M567" s="20">
        <v>45488.0</v>
      </c>
      <c r="N567" s="21">
        <v>50.0</v>
      </c>
      <c r="O567" s="22">
        <v>50.0</v>
      </c>
      <c r="P567" s="7"/>
      <c r="Q567" s="7"/>
      <c r="R567" s="7"/>
      <c r="S567" s="17"/>
      <c r="T567" s="10"/>
      <c r="U567" s="10"/>
      <c r="V567" s="10"/>
      <c r="W567" s="10"/>
      <c r="X567" s="10"/>
      <c r="Y567" s="10"/>
      <c r="Z567" s="10"/>
    </row>
    <row r="568" ht="13.5" customHeight="1">
      <c r="A568" s="13" t="s">
        <v>1290</v>
      </c>
      <c r="B568" s="8" t="s">
        <v>167</v>
      </c>
      <c r="C568" s="8" t="s">
        <v>296</v>
      </c>
      <c r="D568" s="8" t="s">
        <v>1282</v>
      </c>
      <c r="E568" s="9" t="s">
        <v>1291</v>
      </c>
      <c r="F568" s="8" t="s">
        <v>1292</v>
      </c>
      <c r="G568" s="8" t="s">
        <v>1293</v>
      </c>
      <c r="H568" s="11" t="s">
        <v>670</v>
      </c>
      <c r="I568" s="11" t="s">
        <v>27</v>
      </c>
      <c r="J568" s="11" t="s">
        <v>1294</v>
      </c>
      <c r="K568" s="8" t="s">
        <v>675</v>
      </c>
      <c r="L568" s="8" t="s">
        <v>676</v>
      </c>
      <c r="M568" s="20">
        <v>45488.0</v>
      </c>
      <c r="N568" s="21">
        <v>322.0</v>
      </c>
      <c r="O568" s="22">
        <v>380.0</v>
      </c>
      <c r="P568" s="7"/>
      <c r="Q568" s="7"/>
      <c r="R568" s="7"/>
      <c r="S568" s="17"/>
      <c r="T568" s="10"/>
      <c r="U568" s="10"/>
      <c r="V568" s="10"/>
      <c r="W568" s="10"/>
      <c r="X568" s="10"/>
      <c r="Y568" s="10"/>
      <c r="Z568" s="10"/>
    </row>
    <row r="569" ht="13.5" customHeight="1">
      <c r="A569" s="13" t="s">
        <v>1295</v>
      </c>
      <c r="B569" s="8" t="s">
        <v>301</v>
      </c>
      <c r="C569" s="8" t="s">
        <v>296</v>
      </c>
      <c r="D569" s="8" t="s">
        <v>1287</v>
      </c>
      <c r="E569" s="9" t="s">
        <v>1296</v>
      </c>
      <c r="F569" s="8" t="s">
        <v>1297</v>
      </c>
      <c r="G569" s="8" t="s">
        <v>1293</v>
      </c>
      <c r="H569" s="11" t="s">
        <v>670</v>
      </c>
      <c r="I569" s="11" t="s">
        <v>27</v>
      </c>
      <c r="J569" s="11" t="s">
        <v>1294</v>
      </c>
      <c r="K569" s="8" t="s">
        <v>675</v>
      </c>
      <c r="L569" s="8" t="s">
        <v>676</v>
      </c>
      <c r="M569" s="20">
        <v>45488.0</v>
      </c>
      <c r="N569" s="21">
        <v>50.0</v>
      </c>
      <c r="O569" s="22">
        <v>50.0</v>
      </c>
      <c r="P569" s="7"/>
      <c r="Q569" s="7"/>
      <c r="R569" s="7"/>
      <c r="S569" s="17"/>
      <c r="T569" s="10"/>
      <c r="U569" s="10"/>
      <c r="V569" s="10"/>
      <c r="W569" s="10"/>
      <c r="X569" s="10"/>
      <c r="Y569" s="10"/>
      <c r="Z569" s="10"/>
    </row>
    <row r="570" ht="13.5" customHeight="1">
      <c r="A570" s="13" t="s">
        <v>1298</v>
      </c>
      <c r="B570" s="8" t="s">
        <v>167</v>
      </c>
      <c r="C570" s="8" t="s">
        <v>296</v>
      </c>
      <c r="D570" s="8" t="s">
        <v>1282</v>
      </c>
      <c r="E570" s="9" t="s">
        <v>1299</v>
      </c>
      <c r="F570" s="8" t="s">
        <v>1300</v>
      </c>
      <c r="G570" s="8" t="s">
        <v>1301</v>
      </c>
      <c r="H570" s="11" t="s">
        <v>670</v>
      </c>
      <c r="I570" s="11" t="s">
        <v>260</v>
      </c>
      <c r="J570" s="11" t="s">
        <v>1302</v>
      </c>
      <c r="K570" s="8" t="s">
        <v>675</v>
      </c>
      <c r="L570" s="8" t="s">
        <v>676</v>
      </c>
      <c r="M570" s="20">
        <v>45488.0</v>
      </c>
      <c r="N570" s="21">
        <v>322.0</v>
      </c>
      <c r="O570" s="22">
        <v>380.0</v>
      </c>
      <c r="P570" s="7"/>
      <c r="Q570" s="7"/>
      <c r="R570" s="7"/>
      <c r="S570" s="17"/>
      <c r="T570" s="10"/>
      <c r="U570" s="10"/>
      <c r="V570" s="10"/>
      <c r="W570" s="10"/>
      <c r="X570" s="10"/>
      <c r="Y570" s="10"/>
      <c r="Z570" s="10"/>
    </row>
    <row r="571" ht="13.5" customHeight="1">
      <c r="A571" s="13" t="s">
        <v>1303</v>
      </c>
      <c r="B571" s="8" t="s">
        <v>301</v>
      </c>
      <c r="C571" s="8" t="s">
        <v>296</v>
      </c>
      <c r="D571" s="8" t="s">
        <v>1287</v>
      </c>
      <c r="E571" s="9" t="s">
        <v>1304</v>
      </c>
      <c r="F571" s="8" t="s">
        <v>1305</v>
      </c>
      <c r="G571" s="8" t="s">
        <v>1301</v>
      </c>
      <c r="H571" s="11" t="s">
        <v>670</v>
      </c>
      <c r="I571" s="11" t="s">
        <v>260</v>
      </c>
      <c r="J571" s="11" t="s">
        <v>1302</v>
      </c>
      <c r="K571" s="8" t="s">
        <v>675</v>
      </c>
      <c r="L571" s="8" t="s">
        <v>676</v>
      </c>
      <c r="M571" s="20">
        <v>45488.0</v>
      </c>
      <c r="N571" s="21">
        <v>50.0</v>
      </c>
      <c r="O571" s="22">
        <v>50.0</v>
      </c>
      <c r="P571" s="7"/>
      <c r="Q571" s="7"/>
      <c r="R571" s="7"/>
      <c r="S571" s="17"/>
      <c r="T571" s="10"/>
      <c r="U571" s="10"/>
      <c r="V571" s="10"/>
      <c r="W571" s="10"/>
      <c r="X571" s="10"/>
      <c r="Y571" s="10"/>
      <c r="Z571" s="10"/>
    </row>
    <row r="572" ht="13.5" customHeight="1">
      <c r="A572" s="13" t="s">
        <v>1306</v>
      </c>
      <c r="B572" s="8" t="s">
        <v>167</v>
      </c>
      <c r="C572" s="8" t="s">
        <v>296</v>
      </c>
      <c r="D572" s="8" t="s">
        <v>1282</v>
      </c>
      <c r="E572" s="9" t="s">
        <v>1307</v>
      </c>
      <c r="F572" s="8" t="s">
        <v>1308</v>
      </c>
      <c r="G572" s="8" t="s">
        <v>294</v>
      </c>
      <c r="H572" s="11" t="s">
        <v>670</v>
      </c>
      <c r="I572" s="11" t="s">
        <v>91</v>
      </c>
      <c r="J572" s="11" t="s">
        <v>490</v>
      </c>
      <c r="K572" s="8" t="s">
        <v>675</v>
      </c>
      <c r="L572" s="8" t="s">
        <v>676</v>
      </c>
      <c r="M572" s="20">
        <v>45488.0</v>
      </c>
      <c r="N572" s="21">
        <v>322.0</v>
      </c>
      <c r="O572" s="22">
        <v>380.0</v>
      </c>
      <c r="P572" s="8" t="s">
        <v>1309</v>
      </c>
      <c r="Q572" s="7"/>
      <c r="R572" s="7"/>
      <c r="S572" s="17"/>
      <c r="T572" s="10"/>
      <c r="U572" s="10"/>
      <c r="V572" s="10"/>
      <c r="W572" s="10"/>
      <c r="X572" s="10"/>
      <c r="Y572" s="10"/>
      <c r="Z572" s="10"/>
    </row>
    <row r="573" ht="13.5" customHeight="1">
      <c r="A573" s="13" t="s">
        <v>1310</v>
      </c>
      <c r="B573" s="8" t="s">
        <v>301</v>
      </c>
      <c r="C573" s="8" t="s">
        <v>296</v>
      </c>
      <c r="D573" s="8" t="s">
        <v>1287</v>
      </c>
      <c r="E573" s="9" t="s">
        <v>1311</v>
      </c>
      <c r="F573" s="8" t="s">
        <v>1312</v>
      </c>
      <c r="G573" s="8" t="s">
        <v>294</v>
      </c>
      <c r="H573" s="11" t="s">
        <v>670</v>
      </c>
      <c r="I573" s="11" t="s">
        <v>91</v>
      </c>
      <c r="J573" s="11" t="s">
        <v>490</v>
      </c>
      <c r="K573" s="8" t="s">
        <v>675</v>
      </c>
      <c r="L573" s="8" t="s">
        <v>676</v>
      </c>
      <c r="M573" s="20">
        <v>45488.0</v>
      </c>
      <c r="N573" s="21">
        <v>50.0</v>
      </c>
      <c r="O573" s="22">
        <v>50.0</v>
      </c>
      <c r="P573" s="8" t="s">
        <v>1309</v>
      </c>
      <c r="Q573" s="7"/>
      <c r="R573" s="7"/>
      <c r="S573" s="17"/>
      <c r="T573" s="10"/>
      <c r="U573" s="10"/>
      <c r="V573" s="10"/>
      <c r="W573" s="10"/>
      <c r="X573" s="10"/>
      <c r="Y573" s="10"/>
      <c r="Z573" s="10"/>
    </row>
    <row r="574" ht="13.5" customHeight="1">
      <c r="A574" s="13" t="s">
        <v>1313</v>
      </c>
      <c r="B574" s="8" t="s">
        <v>167</v>
      </c>
      <c r="C574" s="8" t="s">
        <v>296</v>
      </c>
      <c r="D574" s="8" t="s">
        <v>1282</v>
      </c>
      <c r="E574" s="9" t="s">
        <v>1314</v>
      </c>
      <c r="F574" s="8" t="s">
        <v>1315</v>
      </c>
      <c r="G574" s="8" t="s">
        <v>690</v>
      </c>
      <c r="H574" s="11" t="s">
        <v>670</v>
      </c>
      <c r="I574" s="11" t="s">
        <v>27</v>
      </c>
      <c r="J574" s="11" t="s">
        <v>691</v>
      </c>
      <c r="K574" s="8" t="s">
        <v>675</v>
      </c>
      <c r="L574" s="8" t="s">
        <v>676</v>
      </c>
      <c r="M574" s="20">
        <v>45488.0</v>
      </c>
      <c r="N574" s="21">
        <v>322.0</v>
      </c>
      <c r="O574" s="22">
        <v>380.0</v>
      </c>
      <c r="P574" s="7"/>
      <c r="Q574" s="7"/>
      <c r="R574" s="7"/>
      <c r="S574" s="17"/>
      <c r="T574" s="10"/>
      <c r="U574" s="10"/>
      <c r="V574" s="10"/>
      <c r="W574" s="10"/>
      <c r="X574" s="10"/>
      <c r="Y574" s="10"/>
      <c r="Z574" s="10"/>
    </row>
    <row r="575" ht="13.5" customHeight="1">
      <c r="A575" s="13" t="s">
        <v>1316</v>
      </c>
      <c r="B575" s="8" t="s">
        <v>301</v>
      </c>
      <c r="C575" s="8" t="s">
        <v>296</v>
      </c>
      <c r="D575" s="8" t="s">
        <v>1287</v>
      </c>
      <c r="E575" s="9" t="s">
        <v>1317</v>
      </c>
      <c r="F575" s="8" t="s">
        <v>1318</v>
      </c>
      <c r="G575" s="8" t="s">
        <v>690</v>
      </c>
      <c r="H575" s="11" t="s">
        <v>670</v>
      </c>
      <c r="I575" s="11" t="s">
        <v>27</v>
      </c>
      <c r="J575" s="11" t="s">
        <v>691</v>
      </c>
      <c r="K575" s="8" t="s">
        <v>675</v>
      </c>
      <c r="L575" s="8" t="s">
        <v>676</v>
      </c>
      <c r="M575" s="20">
        <v>45488.0</v>
      </c>
      <c r="N575" s="21">
        <v>50.0</v>
      </c>
      <c r="O575" s="22">
        <v>50.0</v>
      </c>
      <c r="P575" s="7"/>
      <c r="Q575" s="7"/>
      <c r="R575" s="7"/>
      <c r="S575" s="17"/>
      <c r="T575" s="10"/>
      <c r="U575" s="10"/>
      <c r="V575" s="10"/>
      <c r="W575" s="10"/>
      <c r="X575" s="10"/>
      <c r="Y575" s="10"/>
      <c r="Z575" s="10"/>
    </row>
    <row r="576" ht="13.5" customHeight="1">
      <c r="A576" s="13" t="s">
        <v>1319</v>
      </c>
      <c r="B576" s="8" t="s">
        <v>167</v>
      </c>
      <c r="C576" s="8" t="s">
        <v>296</v>
      </c>
      <c r="D576" s="8" t="s">
        <v>1282</v>
      </c>
      <c r="E576" s="9" t="s">
        <v>1320</v>
      </c>
      <c r="F576" s="8" t="s">
        <v>1321</v>
      </c>
      <c r="G576" s="8" t="s">
        <v>1322</v>
      </c>
      <c r="H576" s="11" t="s">
        <v>670</v>
      </c>
      <c r="I576" s="11" t="s">
        <v>260</v>
      </c>
      <c r="J576" s="11" t="s">
        <v>294</v>
      </c>
      <c r="K576" s="8" t="s">
        <v>675</v>
      </c>
      <c r="L576" s="8" t="s">
        <v>676</v>
      </c>
      <c r="M576" s="20">
        <v>45488.0</v>
      </c>
      <c r="N576" s="21">
        <v>322.0</v>
      </c>
      <c r="O576" s="22">
        <v>380.0</v>
      </c>
      <c r="P576" s="7"/>
      <c r="Q576" s="7"/>
      <c r="R576" s="7"/>
      <c r="S576" s="17"/>
      <c r="T576" s="10"/>
      <c r="U576" s="10"/>
      <c r="V576" s="10"/>
      <c r="W576" s="10"/>
      <c r="X576" s="10"/>
      <c r="Y576" s="10"/>
      <c r="Z576" s="10"/>
    </row>
    <row r="577" ht="13.5" customHeight="1">
      <c r="A577" s="13" t="s">
        <v>1323</v>
      </c>
      <c r="B577" s="8" t="s">
        <v>301</v>
      </c>
      <c r="C577" s="8" t="s">
        <v>296</v>
      </c>
      <c r="D577" s="8" t="s">
        <v>1324</v>
      </c>
      <c r="E577" s="9" t="s">
        <v>1325</v>
      </c>
      <c r="F577" s="8" t="s">
        <v>1326</v>
      </c>
      <c r="G577" s="8" t="s">
        <v>1322</v>
      </c>
      <c r="H577" s="11" t="s">
        <v>670</v>
      </c>
      <c r="I577" s="11" t="s">
        <v>260</v>
      </c>
      <c r="J577" s="11" t="s">
        <v>294</v>
      </c>
      <c r="K577" s="8" t="s">
        <v>675</v>
      </c>
      <c r="L577" s="8" t="s">
        <v>676</v>
      </c>
      <c r="M577" s="20">
        <v>45488.0</v>
      </c>
      <c r="N577" s="21">
        <v>50.0</v>
      </c>
      <c r="O577" s="22">
        <v>50.0</v>
      </c>
      <c r="P577" s="7"/>
      <c r="Q577" s="7"/>
      <c r="R577" s="7"/>
      <c r="S577" s="17"/>
      <c r="T577" s="10"/>
      <c r="U577" s="10"/>
      <c r="V577" s="10"/>
      <c r="W577" s="10"/>
      <c r="X577" s="10"/>
      <c r="Y577" s="10"/>
      <c r="Z577" s="10"/>
    </row>
    <row r="578" ht="13.5" customHeight="1">
      <c r="A578" s="13" t="s">
        <v>1327</v>
      </c>
      <c r="B578" s="8" t="s">
        <v>167</v>
      </c>
      <c r="C578" s="8" t="s">
        <v>296</v>
      </c>
      <c r="D578" s="8" t="s">
        <v>1282</v>
      </c>
      <c r="E578" s="9" t="s">
        <v>1328</v>
      </c>
      <c r="F578" s="8" t="s">
        <v>1329</v>
      </c>
      <c r="G578" s="8" t="s">
        <v>294</v>
      </c>
      <c r="H578" s="11" t="s">
        <v>670</v>
      </c>
      <c r="I578" s="11" t="s">
        <v>260</v>
      </c>
      <c r="J578" s="11" t="s">
        <v>294</v>
      </c>
      <c r="K578" s="8" t="s">
        <v>675</v>
      </c>
      <c r="L578" s="8" t="s">
        <v>676</v>
      </c>
      <c r="M578" s="20">
        <v>45488.0</v>
      </c>
      <c r="N578" s="21">
        <v>322.0</v>
      </c>
      <c r="O578" s="22">
        <v>380.0</v>
      </c>
      <c r="P578" s="8" t="s">
        <v>1330</v>
      </c>
      <c r="Q578" s="7"/>
      <c r="R578" s="7"/>
      <c r="S578" s="17"/>
      <c r="T578" s="10"/>
      <c r="U578" s="10"/>
      <c r="V578" s="10"/>
      <c r="W578" s="10"/>
      <c r="X578" s="10"/>
      <c r="Y578" s="10"/>
      <c r="Z578" s="10"/>
    </row>
    <row r="579" ht="13.5" customHeight="1">
      <c r="A579" s="13" t="s">
        <v>1331</v>
      </c>
      <c r="B579" s="8" t="s">
        <v>301</v>
      </c>
      <c r="C579" s="8" t="s">
        <v>296</v>
      </c>
      <c r="D579" s="8" t="s">
        <v>1287</v>
      </c>
      <c r="E579" s="9" t="s">
        <v>1332</v>
      </c>
      <c r="F579" s="8" t="s">
        <v>1333</v>
      </c>
      <c r="G579" s="8" t="s">
        <v>294</v>
      </c>
      <c r="H579" s="11" t="s">
        <v>670</v>
      </c>
      <c r="I579" s="11" t="s">
        <v>260</v>
      </c>
      <c r="J579" s="11" t="s">
        <v>294</v>
      </c>
      <c r="K579" s="8" t="s">
        <v>675</v>
      </c>
      <c r="L579" s="8" t="s">
        <v>676</v>
      </c>
      <c r="M579" s="20">
        <v>45488.0</v>
      </c>
      <c r="N579" s="21">
        <v>50.0</v>
      </c>
      <c r="O579" s="22">
        <v>50.0</v>
      </c>
      <c r="P579" s="8" t="s">
        <v>1330</v>
      </c>
      <c r="Q579" s="7"/>
      <c r="R579" s="7"/>
      <c r="S579" s="17"/>
      <c r="T579" s="10"/>
      <c r="U579" s="10"/>
      <c r="V579" s="10"/>
      <c r="W579" s="10"/>
      <c r="X579" s="10"/>
      <c r="Y579" s="10"/>
      <c r="Z579" s="10"/>
    </row>
    <row r="580" ht="13.5" customHeight="1">
      <c r="A580" s="13" t="s">
        <v>1334</v>
      </c>
      <c r="B580" s="8" t="s">
        <v>167</v>
      </c>
      <c r="C580" s="8" t="s">
        <v>296</v>
      </c>
      <c r="D580" s="8" t="s">
        <v>1282</v>
      </c>
      <c r="E580" s="9" t="s">
        <v>1335</v>
      </c>
      <c r="F580" s="8" t="s">
        <v>1336</v>
      </c>
      <c r="G580" s="8" t="s">
        <v>749</v>
      </c>
      <c r="H580" s="11" t="s">
        <v>670</v>
      </c>
      <c r="I580" s="11" t="s">
        <v>260</v>
      </c>
      <c r="J580" s="11" t="s">
        <v>294</v>
      </c>
      <c r="K580" s="8" t="s">
        <v>675</v>
      </c>
      <c r="L580" s="8" t="s">
        <v>676</v>
      </c>
      <c r="M580" s="20">
        <v>45488.0</v>
      </c>
      <c r="N580" s="21">
        <v>322.0</v>
      </c>
      <c r="O580" s="22">
        <v>380.0</v>
      </c>
      <c r="P580" s="7"/>
      <c r="Q580" s="7"/>
      <c r="R580" s="7"/>
      <c r="S580" s="17"/>
      <c r="T580" s="10"/>
      <c r="U580" s="10"/>
      <c r="V580" s="10"/>
      <c r="W580" s="10"/>
      <c r="X580" s="10"/>
      <c r="Y580" s="10"/>
      <c r="Z580" s="10"/>
    </row>
    <row r="581" ht="13.5" customHeight="1">
      <c r="A581" s="13" t="s">
        <v>1337</v>
      </c>
      <c r="B581" s="8" t="s">
        <v>301</v>
      </c>
      <c r="C581" s="8" t="s">
        <v>296</v>
      </c>
      <c r="D581" s="8" t="s">
        <v>1287</v>
      </c>
      <c r="E581" s="9" t="s">
        <v>1338</v>
      </c>
      <c r="F581" s="8" t="s">
        <v>1339</v>
      </c>
      <c r="G581" s="8" t="s">
        <v>749</v>
      </c>
      <c r="H581" s="11" t="s">
        <v>670</v>
      </c>
      <c r="I581" s="11" t="s">
        <v>260</v>
      </c>
      <c r="J581" s="11" t="s">
        <v>294</v>
      </c>
      <c r="K581" s="8" t="s">
        <v>675</v>
      </c>
      <c r="L581" s="8" t="s">
        <v>676</v>
      </c>
      <c r="M581" s="20">
        <v>45488.0</v>
      </c>
      <c r="N581" s="21">
        <v>50.0</v>
      </c>
      <c r="O581" s="22">
        <v>50.0</v>
      </c>
      <c r="P581" s="7"/>
      <c r="Q581" s="7"/>
      <c r="R581" s="7"/>
      <c r="S581" s="17"/>
      <c r="T581" s="10"/>
      <c r="U581" s="10"/>
      <c r="V581" s="10"/>
      <c r="W581" s="10"/>
      <c r="X581" s="10"/>
      <c r="Y581" s="10"/>
      <c r="Z581" s="10"/>
    </row>
    <row r="582" ht="13.5" customHeight="1">
      <c r="A582" s="13" t="s">
        <v>1340</v>
      </c>
      <c r="B582" s="8" t="s">
        <v>167</v>
      </c>
      <c r="C582" s="8" t="s">
        <v>296</v>
      </c>
      <c r="D582" s="8" t="s">
        <v>1282</v>
      </c>
      <c r="E582" s="9" t="s">
        <v>1341</v>
      </c>
      <c r="F582" s="8" t="s">
        <v>1342</v>
      </c>
      <c r="G582" s="8" t="s">
        <v>1343</v>
      </c>
      <c r="H582" s="11" t="s">
        <v>670</v>
      </c>
      <c r="I582" s="11" t="s">
        <v>27</v>
      </c>
      <c r="J582" s="11" t="s">
        <v>1344</v>
      </c>
      <c r="K582" s="8" t="s">
        <v>675</v>
      </c>
      <c r="L582" s="8" t="s">
        <v>676</v>
      </c>
      <c r="M582" s="20">
        <v>45488.0</v>
      </c>
      <c r="N582" s="21">
        <v>322.0</v>
      </c>
      <c r="O582" s="22">
        <v>380.0</v>
      </c>
      <c r="P582" s="7"/>
      <c r="Q582" s="7"/>
      <c r="R582" s="7"/>
      <c r="S582" s="17"/>
      <c r="T582" s="10"/>
      <c r="U582" s="10"/>
      <c r="V582" s="10"/>
      <c r="W582" s="10"/>
      <c r="X582" s="10"/>
      <c r="Y582" s="10"/>
      <c r="Z582" s="10"/>
    </row>
    <row r="583" ht="13.5" customHeight="1">
      <c r="A583" s="13" t="s">
        <v>1345</v>
      </c>
      <c r="B583" s="8" t="s">
        <v>301</v>
      </c>
      <c r="C583" s="8" t="s">
        <v>296</v>
      </c>
      <c r="D583" s="8" t="s">
        <v>1287</v>
      </c>
      <c r="E583" s="9" t="s">
        <v>1346</v>
      </c>
      <c r="F583" s="8" t="s">
        <v>1347</v>
      </c>
      <c r="G583" s="8" t="s">
        <v>1343</v>
      </c>
      <c r="H583" s="11" t="s">
        <v>670</v>
      </c>
      <c r="I583" s="11" t="s">
        <v>27</v>
      </c>
      <c r="J583" s="11" t="s">
        <v>1344</v>
      </c>
      <c r="K583" s="8" t="s">
        <v>675</v>
      </c>
      <c r="L583" s="8" t="s">
        <v>676</v>
      </c>
      <c r="M583" s="20">
        <v>45488.0</v>
      </c>
      <c r="N583" s="21">
        <v>50.0</v>
      </c>
      <c r="O583" s="22">
        <v>50.0</v>
      </c>
      <c r="P583" s="7"/>
      <c r="Q583" s="7"/>
      <c r="R583" s="7"/>
      <c r="S583" s="17"/>
      <c r="T583" s="10"/>
      <c r="U583" s="10"/>
      <c r="V583" s="10"/>
      <c r="W583" s="10"/>
      <c r="X583" s="10"/>
      <c r="Y583" s="10"/>
      <c r="Z583" s="10"/>
    </row>
    <row r="584" ht="13.5" customHeight="1">
      <c r="A584" s="13" t="s">
        <v>1348</v>
      </c>
      <c r="B584" s="8" t="s">
        <v>167</v>
      </c>
      <c r="C584" s="8" t="s">
        <v>296</v>
      </c>
      <c r="D584" s="8" t="s">
        <v>1282</v>
      </c>
      <c r="E584" s="9" t="s">
        <v>1349</v>
      </c>
      <c r="F584" s="8" t="s">
        <v>1350</v>
      </c>
      <c r="G584" s="8" t="s">
        <v>1351</v>
      </c>
      <c r="H584" s="11" t="s">
        <v>670</v>
      </c>
      <c r="I584" s="11" t="s">
        <v>260</v>
      </c>
      <c r="J584" s="11" t="s">
        <v>1302</v>
      </c>
      <c r="K584" s="8" t="s">
        <v>675</v>
      </c>
      <c r="L584" s="8" t="s">
        <v>676</v>
      </c>
      <c r="M584" s="20">
        <v>45488.0</v>
      </c>
      <c r="N584" s="21">
        <v>322.0</v>
      </c>
      <c r="O584" s="22">
        <v>380.0</v>
      </c>
      <c r="P584" s="7"/>
      <c r="Q584" s="7"/>
      <c r="R584" s="7"/>
      <c r="S584" s="17"/>
      <c r="T584" s="10"/>
      <c r="U584" s="10"/>
      <c r="V584" s="10"/>
      <c r="W584" s="10"/>
      <c r="X584" s="10"/>
      <c r="Y584" s="10"/>
      <c r="Z584" s="10"/>
    </row>
    <row r="585" ht="13.5" customHeight="1">
      <c r="A585" s="13" t="s">
        <v>1352</v>
      </c>
      <c r="B585" s="8" t="s">
        <v>301</v>
      </c>
      <c r="C585" s="8" t="s">
        <v>296</v>
      </c>
      <c r="D585" s="8" t="s">
        <v>1287</v>
      </c>
      <c r="E585" s="9" t="s">
        <v>1353</v>
      </c>
      <c r="F585" s="8" t="s">
        <v>1354</v>
      </c>
      <c r="G585" s="8" t="s">
        <v>1351</v>
      </c>
      <c r="H585" s="11" t="s">
        <v>670</v>
      </c>
      <c r="I585" s="11" t="s">
        <v>260</v>
      </c>
      <c r="J585" s="11" t="s">
        <v>1302</v>
      </c>
      <c r="K585" s="8" t="s">
        <v>675</v>
      </c>
      <c r="L585" s="8" t="s">
        <v>676</v>
      </c>
      <c r="M585" s="20">
        <v>45488.0</v>
      </c>
      <c r="N585" s="21">
        <v>50.0</v>
      </c>
      <c r="O585" s="22">
        <v>50.0</v>
      </c>
      <c r="P585" s="7"/>
      <c r="Q585" s="7"/>
      <c r="R585" s="7"/>
      <c r="S585" s="17"/>
      <c r="T585" s="10"/>
      <c r="U585" s="10"/>
      <c r="V585" s="10"/>
      <c r="W585" s="10"/>
      <c r="X585" s="10"/>
      <c r="Y585" s="10"/>
      <c r="Z585" s="10"/>
    </row>
    <row r="586" ht="13.5" customHeight="1">
      <c r="A586" s="13" t="s">
        <v>1355</v>
      </c>
      <c r="B586" s="8" t="s">
        <v>167</v>
      </c>
      <c r="C586" s="8" t="s">
        <v>296</v>
      </c>
      <c r="D586" s="8" t="s">
        <v>1282</v>
      </c>
      <c r="E586" s="9" t="s">
        <v>1356</v>
      </c>
      <c r="F586" s="8" t="s">
        <v>1357</v>
      </c>
      <c r="G586" s="8" t="s">
        <v>756</v>
      </c>
      <c r="H586" s="11" t="s">
        <v>670</v>
      </c>
      <c r="I586" s="11" t="s">
        <v>27</v>
      </c>
      <c r="J586" s="11" t="s">
        <v>684</v>
      </c>
      <c r="K586" s="8" t="s">
        <v>675</v>
      </c>
      <c r="L586" s="8" t="s">
        <v>676</v>
      </c>
      <c r="M586" s="20">
        <v>45488.0</v>
      </c>
      <c r="N586" s="21">
        <v>322.0</v>
      </c>
      <c r="O586" s="22">
        <v>380.0</v>
      </c>
      <c r="P586" s="7"/>
      <c r="Q586" s="7"/>
      <c r="R586" s="7"/>
      <c r="S586" s="17"/>
      <c r="T586" s="10"/>
      <c r="U586" s="10"/>
      <c r="V586" s="10"/>
      <c r="W586" s="10"/>
      <c r="X586" s="10"/>
      <c r="Y586" s="10"/>
      <c r="Z586" s="10"/>
    </row>
    <row r="587" ht="13.5" customHeight="1">
      <c r="A587" s="13" t="s">
        <v>1358</v>
      </c>
      <c r="B587" s="8" t="s">
        <v>301</v>
      </c>
      <c r="C587" s="8" t="s">
        <v>296</v>
      </c>
      <c r="D587" s="8" t="s">
        <v>1287</v>
      </c>
      <c r="E587" s="9" t="s">
        <v>1359</v>
      </c>
      <c r="F587" s="8" t="s">
        <v>1360</v>
      </c>
      <c r="G587" s="8" t="s">
        <v>756</v>
      </c>
      <c r="H587" s="11" t="s">
        <v>670</v>
      </c>
      <c r="I587" s="11" t="s">
        <v>27</v>
      </c>
      <c r="J587" s="11" t="s">
        <v>684</v>
      </c>
      <c r="K587" s="8" t="s">
        <v>675</v>
      </c>
      <c r="L587" s="8" t="s">
        <v>676</v>
      </c>
      <c r="M587" s="20">
        <v>45488.0</v>
      </c>
      <c r="N587" s="21">
        <v>50.0</v>
      </c>
      <c r="O587" s="22">
        <v>50.0</v>
      </c>
      <c r="P587" s="7"/>
      <c r="Q587" s="7"/>
      <c r="R587" s="7"/>
      <c r="S587" s="17"/>
      <c r="T587" s="10"/>
      <c r="U587" s="10"/>
      <c r="V587" s="10"/>
      <c r="W587" s="10"/>
      <c r="X587" s="10"/>
      <c r="Y587" s="10"/>
      <c r="Z587" s="10"/>
    </row>
    <row r="588" ht="13.5" customHeight="1">
      <c r="A588" s="13" t="s">
        <v>1361</v>
      </c>
      <c r="B588" s="8" t="s">
        <v>167</v>
      </c>
      <c r="C588" s="8" t="s">
        <v>296</v>
      </c>
      <c r="D588" s="8" t="s">
        <v>1282</v>
      </c>
      <c r="E588" s="9" t="s">
        <v>1362</v>
      </c>
      <c r="F588" s="8" t="s">
        <v>1363</v>
      </c>
      <c r="G588" s="8" t="s">
        <v>762</v>
      </c>
      <c r="H588" s="11" t="s">
        <v>670</v>
      </c>
      <c r="I588" s="11" t="s">
        <v>27</v>
      </c>
      <c r="J588" s="11" t="s">
        <v>684</v>
      </c>
      <c r="K588" s="8" t="s">
        <v>675</v>
      </c>
      <c r="L588" s="8" t="s">
        <v>676</v>
      </c>
      <c r="M588" s="20">
        <v>45488.0</v>
      </c>
      <c r="N588" s="21">
        <v>322.0</v>
      </c>
      <c r="O588" s="22">
        <v>380.0</v>
      </c>
      <c r="P588" s="7"/>
      <c r="Q588" s="7"/>
      <c r="R588" s="7"/>
      <c r="S588" s="20">
        <v>45516.0</v>
      </c>
      <c r="T588" s="10"/>
      <c r="U588" s="10"/>
      <c r="V588" s="10"/>
      <c r="W588" s="10"/>
      <c r="X588" s="10"/>
      <c r="Y588" s="10"/>
      <c r="Z588" s="10"/>
    </row>
    <row r="589" ht="13.5" customHeight="1">
      <c r="A589" s="13" t="s">
        <v>1364</v>
      </c>
      <c r="B589" s="8" t="s">
        <v>301</v>
      </c>
      <c r="C589" s="8" t="s">
        <v>296</v>
      </c>
      <c r="D589" s="8" t="s">
        <v>1287</v>
      </c>
      <c r="E589" s="9" t="s">
        <v>1365</v>
      </c>
      <c r="F589" s="8" t="s">
        <v>1366</v>
      </c>
      <c r="G589" s="8" t="s">
        <v>762</v>
      </c>
      <c r="H589" s="11" t="s">
        <v>670</v>
      </c>
      <c r="I589" s="11" t="s">
        <v>27</v>
      </c>
      <c r="J589" s="11" t="s">
        <v>684</v>
      </c>
      <c r="K589" s="8" t="s">
        <v>675</v>
      </c>
      <c r="L589" s="8" t="s">
        <v>676</v>
      </c>
      <c r="M589" s="20">
        <v>45488.0</v>
      </c>
      <c r="N589" s="21">
        <v>50.0</v>
      </c>
      <c r="O589" s="22">
        <v>50.0</v>
      </c>
      <c r="P589" s="7"/>
      <c r="Q589" s="7"/>
      <c r="R589" s="7"/>
      <c r="S589" s="20">
        <v>45516.0</v>
      </c>
      <c r="T589" s="10"/>
      <c r="U589" s="10"/>
      <c r="V589" s="10"/>
      <c r="W589" s="10"/>
      <c r="X589" s="10"/>
      <c r="Y589" s="10"/>
      <c r="Z589" s="10"/>
    </row>
    <row r="590" ht="13.5" customHeight="1">
      <c r="A590" s="13" t="s">
        <v>1367</v>
      </c>
      <c r="B590" s="8" t="s">
        <v>167</v>
      </c>
      <c r="C590" s="8" t="s">
        <v>296</v>
      </c>
      <c r="D590" s="8" t="s">
        <v>1282</v>
      </c>
      <c r="E590" s="9" t="s">
        <v>1368</v>
      </c>
      <c r="F590" s="8" t="s">
        <v>1369</v>
      </c>
      <c r="G590" s="8" t="s">
        <v>735</v>
      </c>
      <c r="H590" s="11" t="s">
        <v>670</v>
      </c>
      <c r="I590" s="11" t="s">
        <v>260</v>
      </c>
      <c r="J590" s="11" t="s">
        <v>555</v>
      </c>
      <c r="K590" s="8" t="s">
        <v>675</v>
      </c>
      <c r="L590" s="8" t="s">
        <v>676</v>
      </c>
      <c r="M590" s="20">
        <v>45488.0</v>
      </c>
      <c r="N590" s="21">
        <v>322.0</v>
      </c>
      <c r="O590" s="22">
        <v>380.0</v>
      </c>
      <c r="P590" s="7"/>
      <c r="Q590" s="7"/>
      <c r="R590" s="7"/>
      <c r="S590" s="17"/>
      <c r="T590" s="10"/>
      <c r="U590" s="10"/>
      <c r="V590" s="10"/>
      <c r="W590" s="10"/>
      <c r="X590" s="10"/>
      <c r="Y590" s="10"/>
      <c r="Z590" s="10"/>
    </row>
    <row r="591" ht="13.5" customHeight="1">
      <c r="A591" s="13" t="s">
        <v>1370</v>
      </c>
      <c r="B591" s="8" t="s">
        <v>301</v>
      </c>
      <c r="C591" s="8" t="s">
        <v>296</v>
      </c>
      <c r="D591" s="8" t="s">
        <v>1287</v>
      </c>
      <c r="E591" s="9" t="s">
        <v>1371</v>
      </c>
      <c r="F591" s="8" t="s">
        <v>1372</v>
      </c>
      <c r="G591" s="8" t="s">
        <v>735</v>
      </c>
      <c r="H591" s="11" t="s">
        <v>670</v>
      </c>
      <c r="I591" s="11" t="s">
        <v>260</v>
      </c>
      <c r="J591" s="11" t="s">
        <v>555</v>
      </c>
      <c r="K591" s="8" t="s">
        <v>675</v>
      </c>
      <c r="L591" s="8" t="s">
        <v>676</v>
      </c>
      <c r="M591" s="20">
        <v>45488.0</v>
      </c>
      <c r="N591" s="21">
        <v>50.0</v>
      </c>
      <c r="O591" s="22">
        <v>50.0</v>
      </c>
      <c r="P591" s="7"/>
      <c r="Q591" s="7"/>
      <c r="R591" s="7"/>
      <c r="S591" s="17"/>
      <c r="T591" s="10"/>
      <c r="U591" s="10"/>
      <c r="V591" s="10"/>
      <c r="W591" s="10"/>
      <c r="X591" s="10"/>
      <c r="Y591" s="10"/>
      <c r="Z591" s="10"/>
    </row>
    <row r="592" ht="13.5" customHeight="1">
      <c r="A592" s="13" t="s">
        <v>1373</v>
      </c>
      <c r="B592" s="8" t="s">
        <v>167</v>
      </c>
      <c r="C592" s="8" t="s">
        <v>296</v>
      </c>
      <c r="D592" s="8" t="s">
        <v>1282</v>
      </c>
      <c r="E592" s="9" t="s">
        <v>1374</v>
      </c>
      <c r="F592" s="8" t="s">
        <v>1375</v>
      </c>
      <c r="G592" s="8" t="s">
        <v>1376</v>
      </c>
      <c r="H592" s="11" t="s">
        <v>670</v>
      </c>
      <c r="I592" s="11" t="s">
        <v>27</v>
      </c>
      <c r="J592" s="11" t="s">
        <v>865</v>
      </c>
      <c r="K592" s="8" t="s">
        <v>675</v>
      </c>
      <c r="L592" s="8" t="s">
        <v>676</v>
      </c>
      <c r="M592" s="20">
        <v>45488.0</v>
      </c>
      <c r="N592" s="21">
        <v>322.0</v>
      </c>
      <c r="O592" s="22">
        <v>380.0</v>
      </c>
      <c r="P592" s="7"/>
      <c r="Q592" s="7"/>
      <c r="R592" s="7"/>
      <c r="S592" s="17"/>
      <c r="T592" s="10"/>
      <c r="U592" s="10"/>
      <c r="V592" s="10"/>
      <c r="W592" s="10"/>
      <c r="X592" s="10"/>
      <c r="Y592" s="10"/>
      <c r="Z592" s="10"/>
    </row>
    <row r="593" ht="13.5" customHeight="1">
      <c r="A593" s="13" t="s">
        <v>1377</v>
      </c>
      <c r="B593" s="8" t="s">
        <v>301</v>
      </c>
      <c r="C593" s="8" t="s">
        <v>296</v>
      </c>
      <c r="D593" s="8" t="s">
        <v>1287</v>
      </c>
      <c r="E593" s="9" t="s">
        <v>1378</v>
      </c>
      <c r="F593" s="8" t="s">
        <v>1379</v>
      </c>
      <c r="G593" s="8" t="s">
        <v>864</v>
      </c>
      <c r="H593" s="11" t="s">
        <v>670</v>
      </c>
      <c r="I593" s="11" t="s">
        <v>27</v>
      </c>
      <c r="J593" s="11" t="s">
        <v>865</v>
      </c>
      <c r="K593" s="8" t="s">
        <v>675</v>
      </c>
      <c r="L593" s="8" t="s">
        <v>676</v>
      </c>
      <c r="M593" s="20">
        <v>45488.0</v>
      </c>
      <c r="N593" s="21">
        <v>50.0</v>
      </c>
      <c r="O593" s="22">
        <v>50.0</v>
      </c>
      <c r="P593" s="7"/>
      <c r="Q593" s="7"/>
      <c r="R593" s="7"/>
      <c r="S593" s="17"/>
      <c r="T593" s="10"/>
      <c r="U593" s="10"/>
      <c r="V593" s="10"/>
      <c r="W593" s="10"/>
      <c r="X593" s="10"/>
      <c r="Y593" s="10"/>
      <c r="Z593" s="10"/>
    </row>
    <row r="594" ht="13.5" customHeight="1">
      <c r="A594" s="13" t="s">
        <v>1380</v>
      </c>
      <c r="B594" s="8" t="s">
        <v>167</v>
      </c>
      <c r="C594" s="8" t="s">
        <v>296</v>
      </c>
      <c r="D594" s="8" t="s">
        <v>1282</v>
      </c>
      <c r="E594" s="9" t="s">
        <v>1381</v>
      </c>
      <c r="F594" s="8" t="s">
        <v>1382</v>
      </c>
      <c r="G594" s="8" t="s">
        <v>1343</v>
      </c>
      <c r="H594" s="11" t="s">
        <v>670</v>
      </c>
      <c r="I594" s="11" t="s">
        <v>27</v>
      </c>
      <c r="J594" s="11" t="s">
        <v>1344</v>
      </c>
      <c r="K594" s="8" t="s">
        <v>956</v>
      </c>
      <c r="L594" s="8" t="s">
        <v>676</v>
      </c>
      <c r="M594" s="20">
        <v>45488.0</v>
      </c>
      <c r="N594" s="21">
        <v>322.0</v>
      </c>
      <c r="O594" s="22">
        <v>380.0</v>
      </c>
      <c r="P594" s="7"/>
      <c r="Q594" s="7"/>
      <c r="R594" s="7"/>
      <c r="S594" s="17"/>
      <c r="T594" s="10"/>
      <c r="U594" s="10"/>
      <c r="V594" s="10"/>
      <c r="W594" s="10"/>
      <c r="X594" s="10"/>
      <c r="Y594" s="10"/>
      <c r="Z594" s="10"/>
    </row>
    <row r="595" ht="13.5" customHeight="1">
      <c r="A595" s="13" t="s">
        <v>1383</v>
      </c>
      <c r="B595" s="8" t="s">
        <v>301</v>
      </c>
      <c r="C595" s="8" t="s">
        <v>296</v>
      </c>
      <c r="D595" s="8" t="s">
        <v>1287</v>
      </c>
      <c r="E595" s="9" t="s">
        <v>1384</v>
      </c>
      <c r="F595" s="8" t="s">
        <v>1385</v>
      </c>
      <c r="G595" s="8" t="s">
        <v>1343</v>
      </c>
      <c r="H595" s="11" t="s">
        <v>670</v>
      </c>
      <c r="I595" s="11" t="s">
        <v>27</v>
      </c>
      <c r="J595" s="11" t="s">
        <v>1344</v>
      </c>
      <c r="K595" s="8" t="s">
        <v>956</v>
      </c>
      <c r="L595" s="8" t="s">
        <v>676</v>
      </c>
      <c r="M595" s="20">
        <v>45488.0</v>
      </c>
      <c r="N595" s="21">
        <v>50.0</v>
      </c>
      <c r="O595" s="22">
        <v>50.0</v>
      </c>
      <c r="P595" s="7"/>
      <c r="Q595" s="7"/>
      <c r="R595" s="7"/>
      <c r="S595" s="17"/>
      <c r="T595" s="10"/>
      <c r="U595" s="10"/>
      <c r="V595" s="10"/>
      <c r="W595" s="10"/>
      <c r="X595" s="10"/>
      <c r="Y595" s="10"/>
      <c r="Z595" s="10"/>
    </row>
    <row r="596" ht="13.5" customHeight="1">
      <c r="A596" s="13" t="s">
        <v>1386</v>
      </c>
      <c r="B596" s="8" t="s">
        <v>167</v>
      </c>
      <c r="C596" s="8" t="s">
        <v>296</v>
      </c>
      <c r="D596" s="8" t="s">
        <v>1282</v>
      </c>
      <c r="E596" s="9" t="s">
        <v>1387</v>
      </c>
      <c r="F596" s="8" t="s">
        <v>1388</v>
      </c>
      <c r="G596" s="8" t="s">
        <v>1389</v>
      </c>
      <c r="H596" s="11" t="s">
        <v>670</v>
      </c>
      <c r="I596" s="11" t="s">
        <v>27</v>
      </c>
      <c r="J596" s="11" t="s">
        <v>684</v>
      </c>
      <c r="K596" s="8" t="s">
        <v>675</v>
      </c>
      <c r="L596" s="8" t="s">
        <v>676</v>
      </c>
      <c r="M596" s="20">
        <v>45488.0</v>
      </c>
      <c r="N596" s="21">
        <v>322.0</v>
      </c>
      <c r="O596" s="22">
        <v>380.0</v>
      </c>
      <c r="P596" s="7"/>
      <c r="Q596" s="7"/>
      <c r="R596" s="7"/>
      <c r="S596" s="17"/>
      <c r="T596" s="10"/>
      <c r="U596" s="10"/>
      <c r="V596" s="10"/>
      <c r="W596" s="10"/>
      <c r="X596" s="10"/>
      <c r="Y596" s="10"/>
      <c r="Z596" s="10"/>
    </row>
    <row r="597" ht="13.5" customHeight="1">
      <c r="A597" s="13" t="s">
        <v>1390</v>
      </c>
      <c r="B597" s="8" t="s">
        <v>301</v>
      </c>
      <c r="C597" s="8" t="s">
        <v>296</v>
      </c>
      <c r="D597" s="8" t="s">
        <v>1287</v>
      </c>
      <c r="E597" s="9" t="s">
        <v>1391</v>
      </c>
      <c r="F597" s="8" t="s">
        <v>1392</v>
      </c>
      <c r="G597" s="8" t="s">
        <v>1389</v>
      </c>
      <c r="H597" s="11" t="s">
        <v>670</v>
      </c>
      <c r="I597" s="11" t="s">
        <v>27</v>
      </c>
      <c r="J597" s="11" t="s">
        <v>684</v>
      </c>
      <c r="K597" s="8" t="s">
        <v>675</v>
      </c>
      <c r="L597" s="8" t="s">
        <v>676</v>
      </c>
      <c r="M597" s="20">
        <v>45488.0</v>
      </c>
      <c r="N597" s="21">
        <v>50.0</v>
      </c>
      <c r="O597" s="22">
        <v>50.0</v>
      </c>
      <c r="P597" s="7"/>
      <c r="Q597" s="7"/>
      <c r="R597" s="7"/>
      <c r="S597" s="17"/>
      <c r="T597" s="10"/>
      <c r="U597" s="10"/>
      <c r="V597" s="10"/>
      <c r="W597" s="10"/>
      <c r="X597" s="10"/>
      <c r="Y597" s="10"/>
      <c r="Z597" s="10"/>
    </row>
    <row r="598" ht="13.5" customHeight="1">
      <c r="A598" s="8" t="s">
        <v>1393</v>
      </c>
      <c r="B598" s="8" t="s">
        <v>167</v>
      </c>
      <c r="C598" s="8" t="s">
        <v>296</v>
      </c>
      <c r="D598" s="8" t="s">
        <v>1282</v>
      </c>
      <c r="E598" s="9" t="s">
        <v>1394</v>
      </c>
      <c r="F598" s="8" t="s">
        <v>1395</v>
      </c>
      <c r="G598" s="8" t="s">
        <v>1396</v>
      </c>
      <c r="H598" s="11" t="s">
        <v>259</v>
      </c>
      <c r="I598" s="11" t="s">
        <v>91</v>
      </c>
      <c r="J598" s="11" t="s">
        <v>490</v>
      </c>
      <c r="K598" s="8" t="s">
        <v>1397</v>
      </c>
      <c r="L598" s="8" t="s">
        <v>1398</v>
      </c>
      <c r="M598" s="20">
        <v>45673.0</v>
      </c>
      <c r="N598" s="21">
        <v>380.0</v>
      </c>
      <c r="O598" s="22">
        <v>380.0</v>
      </c>
      <c r="P598" s="8" t="s">
        <v>1399</v>
      </c>
      <c r="Q598" s="7"/>
      <c r="R598" s="7"/>
      <c r="S598" s="17"/>
      <c r="T598" s="10"/>
      <c r="U598" s="10"/>
      <c r="V598" s="10"/>
      <c r="W598" s="10"/>
      <c r="X598" s="10"/>
      <c r="Y598" s="10"/>
      <c r="Z598" s="10"/>
    </row>
    <row r="599" ht="13.5" customHeight="1">
      <c r="A599" s="8" t="s">
        <v>1400</v>
      </c>
      <c r="B599" s="8" t="s">
        <v>301</v>
      </c>
      <c r="C599" s="8" t="s">
        <v>296</v>
      </c>
      <c r="D599" s="8" t="s">
        <v>1287</v>
      </c>
      <c r="E599" s="9" t="s">
        <v>1391</v>
      </c>
      <c r="F599" s="8" t="s">
        <v>1392</v>
      </c>
      <c r="G599" s="8" t="s">
        <v>1396</v>
      </c>
      <c r="H599" s="11" t="s">
        <v>259</v>
      </c>
      <c r="I599" s="11" t="s">
        <v>91</v>
      </c>
      <c r="J599" s="11" t="s">
        <v>490</v>
      </c>
      <c r="K599" s="8" t="s">
        <v>1397</v>
      </c>
      <c r="L599" s="8" t="s">
        <v>1398</v>
      </c>
      <c r="M599" s="20">
        <v>45673.0</v>
      </c>
      <c r="N599" s="21">
        <v>50.0</v>
      </c>
      <c r="O599" s="22">
        <v>50.0</v>
      </c>
      <c r="P599" s="7"/>
      <c r="Q599" s="7"/>
      <c r="R599" s="7"/>
      <c r="S599" s="17"/>
      <c r="T599" s="10"/>
      <c r="U599" s="10"/>
      <c r="V599" s="10"/>
      <c r="W599" s="10"/>
      <c r="X599" s="10"/>
      <c r="Y599" s="10"/>
      <c r="Z599" s="10"/>
    </row>
    <row r="600" ht="13.5" customHeight="1">
      <c r="A600" s="13" t="s">
        <v>1393</v>
      </c>
      <c r="B600" s="8" t="s">
        <v>167</v>
      </c>
      <c r="C600" s="8" t="s">
        <v>296</v>
      </c>
      <c r="D600" s="8" t="s">
        <v>1282</v>
      </c>
      <c r="E600" s="9" t="s">
        <v>1401</v>
      </c>
      <c r="F600" s="8" t="s">
        <v>1402</v>
      </c>
      <c r="G600" s="8" t="s">
        <v>1403</v>
      </c>
      <c r="H600" s="11" t="s">
        <v>666</v>
      </c>
      <c r="I600" s="11" t="s">
        <v>27</v>
      </c>
      <c r="J600" s="11" t="s">
        <v>865</v>
      </c>
      <c r="K600" s="8" t="s">
        <v>675</v>
      </c>
      <c r="L600" s="8" t="s">
        <v>676</v>
      </c>
      <c r="M600" s="20">
        <v>45488.0</v>
      </c>
      <c r="N600" s="21">
        <v>322.0</v>
      </c>
      <c r="O600" s="22">
        <v>380.0</v>
      </c>
      <c r="P600" s="7"/>
      <c r="Q600" s="7"/>
      <c r="R600" s="7"/>
      <c r="S600" s="17"/>
      <c r="T600" s="10"/>
      <c r="U600" s="10"/>
      <c r="V600" s="10"/>
      <c r="W600" s="10"/>
      <c r="X600" s="10"/>
      <c r="Y600" s="10"/>
      <c r="Z600" s="10"/>
    </row>
    <row r="601" ht="13.5" customHeight="1">
      <c r="A601" s="13" t="s">
        <v>1400</v>
      </c>
      <c r="B601" s="8" t="s">
        <v>301</v>
      </c>
      <c r="C601" s="8" t="s">
        <v>296</v>
      </c>
      <c r="D601" s="8" t="s">
        <v>1287</v>
      </c>
      <c r="E601" s="9" t="s">
        <v>1404</v>
      </c>
      <c r="F601" s="8" t="s">
        <v>1405</v>
      </c>
      <c r="G601" s="8" t="s">
        <v>1403</v>
      </c>
      <c r="H601" s="11" t="s">
        <v>666</v>
      </c>
      <c r="I601" s="11" t="s">
        <v>27</v>
      </c>
      <c r="J601" s="11" t="s">
        <v>865</v>
      </c>
      <c r="K601" s="8" t="s">
        <v>675</v>
      </c>
      <c r="L601" s="8" t="s">
        <v>676</v>
      </c>
      <c r="M601" s="20">
        <v>45488.0</v>
      </c>
      <c r="N601" s="21">
        <v>50.0</v>
      </c>
      <c r="O601" s="22">
        <v>50.0</v>
      </c>
      <c r="P601" s="7"/>
      <c r="Q601" s="7"/>
      <c r="R601" s="7"/>
      <c r="S601" s="17"/>
      <c r="T601" s="10"/>
      <c r="U601" s="10"/>
      <c r="V601" s="10"/>
      <c r="W601" s="10"/>
      <c r="X601" s="10"/>
      <c r="Y601" s="10"/>
      <c r="Z601" s="10"/>
    </row>
    <row r="602" ht="13.5" customHeight="1">
      <c r="A602" s="13" t="s">
        <v>1406</v>
      </c>
      <c r="B602" s="8" t="s">
        <v>167</v>
      </c>
      <c r="C602" s="8" t="s">
        <v>296</v>
      </c>
      <c r="D602" s="8" t="s">
        <v>1282</v>
      </c>
      <c r="E602" s="9" t="s">
        <v>1394</v>
      </c>
      <c r="F602" s="8" t="s">
        <v>1395</v>
      </c>
      <c r="G602" s="8" t="s">
        <v>1407</v>
      </c>
      <c r="H602" s="11" t="s">
        <v>259</v>
      </c>
      <c r="I602" s="11" t="s">
        <v>260</v>
      </c>
      <c r="J602" s="11" t="s">
        <v>490</v>
      </c>
      <c r="K602" s="8" t="s">
        <v>675</v>
      </c>
      <c r="L602" s="8" t="s">
        <v>676</v>
      </c>
      <c r="M602" s="20">
        <v>45488.0</v>
      </c>
      <c r="N602" s="21">
        <v>322.0</v>
      </c>
      <c r="O602" s="22">
        <v>380.0</v>
      </c>
      <c r="P602" s="7"/>
      <c r="Q602" s="7"/>
      <c r="R602" s="7"/>
      <c r="S602" s="17"/>
      <c r="T602" s="10"/>
      <c r="U602" s="10"/>
      <c r="V602" s="10"/>
      <c r="W602" s="10"/>
      <c r="X602" s="10"/>
      <c r="Y602" s="10"/>
      <c r="Z602" s="10"/>
    </row>
    <row r="603" ht="13.5" customHeight="1">
      <c r="A603" s="13" t="s">
        <v>1408</v>
      </c>
      <c r="B603" s="8" t="s">
        <v>301</v>
      </c>
      <c r="C603" s="8" t="s">
        <v>296</v>
      </c>
      <c r="D603" s="8" t="s">
        <v>1287</v>
      </c>
      <c r="E603" s="9" t="s">
        <v>1409</v>
      </c>
      <c r="F603" s="8" t="s">
        <v>1410</v>
      </c>
      <c r="G603" s="8" t="s">
        <v>1407</v>
      </c>
      <c r="H603" s="11" t="s">
        <v>259</v>
      </c>
      <c r="I603" s="11" t="s">
        <v>260</v>
      </c>
      <c r="J603" s="11" t="s">
        <v>490</v>
      </c>
      <c r="K603" s="8" t="s">
        <v>675</v>
      </c>
      <c r="L603" s="8" t="s">
        <v>676</v>
      </c>
      <c r="M603" s="20">
        <v>45488.0</v>
      </c>
      <c r="N603" s="21">
        <v>50.0</v>
      </c>
      <c r="O603" s="22">
        <v>50.0</v>
      </c>
      <c r="P603" s="7"/>
      <c r="Q603" s="7"/>
      <c r="R603" s="7"/>
      <c r="S603" s="17"/>
      <c r="T603" s="10"/>
      <c r="U603" s="10"/>
      <c r="V603" s="10"/>
      <c r="W603" s="10"/>
      <c r="X603" s="10"/>
      <c r="Y603" s="10"/>
      <c r="Z603" s="10"/>
    </row>
    <row r="604" ht="13.5" customHeight="1">
      <c r="A604" s="13" t="s">
        <v>1411</v>
      </c>
      <c r="B604" s="8" t="s">
        <v>167</v>
      </c>
      <c r="C604" s="8" t="s">
        <v>296</v>
      </c>
      <c r="D604" s="8" t="s">
        <v>1282</v>
      </c>
      <c r="E604" s="9" t="s">
        <v>1412</v>
      </c>
      <c r="F604" s="8" t="s">
        <v>1413</v>
      </c>
      <c r="G604" s="8" t="s">
        <v>489</v>
      </c>
      <c r="H604" s="11" t="s">
        <v>259</v>
      </c>
      <c r="I604" s="11" t="s">
        <v>260</v>
      </c>
      <c r="J604" s="11" t="s">
        <v>490</v>
      </c>
      <c r="K604" s="8" t="s">
        <v>675</v>
      </c>
      <c r="L604" s="8" t="s">
        <v>676</v>
      </c>
      <c r="M604" s="20">
        <v>45488.0</v>
      </c>
      <c r="N604" s="21">
        <v>322.0</v>
      </c>
      <c r="O604" s="22">
        <v>380.0</v>
      </c>
      <c r="P604" s="7"/>
      <c r="Q604" s="7"/>
      <c r="R604" s="7"/>
      <c r="S604" s="17"/>
      <c r="T604" s="10"/>
      <c r="U604" s="10"/>
      <c r="V604" s="10"/>
      <c r="W604" s="10"/>
      <c r="X604" s="10"/>
      <c r="Y604" s="10"/>
      <c r="Z604" s="10"/>
    </row>
    <row r="605" ht="13.5" customHeight="1">
      <c r="A605" s="13" t="s">
        <v>1414</v>
      </c>
      <c r="B605" s="8" t="s">
        <v>301</v>
      </c>
      <c r="C605" s="8" t="s">
        <v>296</v>
      </c>
      <c r="D605" s="8" t="s">
        <v>1287</v>
      </c>
      <c r="E605" s="9" t="s">
        <v>1415</v>
      </c>
      <c r="F605" s="8" t="s">
        <v>1416</v>
      </c>
      <c r="G605" s="8" t="s">
        <v>489</v>
      </c>
      <c r="H605" s="11" t="s">
        <v>259</v>
      </c>
      <c r="I605" s="11" t="s">
        <v>260</v>
      </c>
      <c r="J605" s="11" t="s">
        <v>490</v>
      </c>
      <c r="K605" s="8" t="s">
        <v>675</v>
      </c>
      <c r="L605" s="8" t="s">
        <v>676</v>
      </c>
      <c r="M605" s="20">
        <v>45488.0</v>
      </c>
      <c r="N605" s="21">
        <v>50.0</v>
      </c>
      <c r="O605" s="22">
        <v>50.0</v>
      </c>
      <c r="P605" s="7"/>
      <c r="Q605" s="7"/>
      <c r="R605" s="7"/>
      <c r="S605" s="17"/>
      <c r="T605" s="10"/>
      <c r="U605" s="10"/>
      <c r="V605" s="10"/>
      <c r="W605" s="10"/>
      <c r="X605" s="10"/>
      <c r="Y605" s="10"/>
      <c r="Z605" s="10"/>
    </row>
    <row r="606" ht="13.5" customHeight="1">
      <c r="A606" s="13" t="s">
        <v>1417</v>
      </c>
      <c r="B606" s="8" t="s">
        <v>167</v>
      </c>
      <c r="C606" s="8" t="s">
        <v>296</v>
      </c>
      <c r="D606" s="8" t="s">
        <v>1282</v>
      </c>
      <c r="E606" s="9" t="s">
        <v>1418</v>
      </c>
      <c r="F606" s="8" t="s">
        <v>1419</v>
      </c>
      <c r="G606" s="8" t="s">
        <v>500</v>
      </c>
      <c r="H606" s="11" t="s">
        <v>259</v>
      </c>
      <c r="I606" s="11" t="s">
        <v>260</v>
      </c>
      <c r="J606" s="11" t="s">
        <v>490</v>
      </c>
      <c r="K606" s="8" t="s">
        <v>675</v>
      </c>
      <c r="L606" s="8" t="s">
        <v>676</v>
      </c>
      <c r="M606" s="20">
        <v>45488.0</v>
      </c>
      <c r="N606" s="21">
        <v>322.0</v>
      </c>
      <c r="O606" s="22">
        <v>380.0</v>
      </c>
      <c r="P606" s="7"/>
      <c r="Q606" s="7"/>
      <c r="R606" s="7"/>
      <c r="S606" s="17"/>
      <c r="T606" s="10"/>
      <c r="U606" s="10"/>
      <c r="V606" s="10"/>
      <c r="W606" s="10"/>
      <c r="X606" s="10"/>
      <c r="Y606" s="10"/>
      <c r="Z606" s="10"/>
    </row>
    <row r="607" ht="13.5" customHeight="1">
      <c r="A607" s="13" t="s">
        <v>1420</v>
      </c>
      <c r="B607" s="8" t="s">
        <v>301</v>
      </c>
      <c r="C607" s="8" t="s">
        <v>296</v>
      </c>
      <c r="D607" s="8" t="s">
        <v>1287</v>
      </c>
      <c r="E607" s="9" t="s">
        <v>1421</v>
      </c>
      <c r="F607" s="8" t="s">
        <v>1422</v>
      </c>
      <c r="G607" s="8" t="s">
        <v>500</v>
      </c>
      <c r="H607" s="11" t="s">
        <v>259</v>
      </c>
      <c r="I607" s="11" t="s">
        <v>260</v>
      </c>
      <c r="J607" s="11" t="s">
        <v>490</v>
      </c>
      <c r="K607" s="8" t="s">
        <v>675</v>
      </c>
      <c r="L607" s="8" t="s">
        <v>676</v>
      </c>
      <c r="M607" s="20">
        <v>45488.0</v>
      </c>
      <c r="N607" s="21">
        <v>50.0</v>
      </c>
      <c r="O607" s="22">
        <v>50.0</v>
      </c>
      <c r="P607" s="7"/>
      <c r="Q607" s="7"/>
      <c r="R607" s="7"/>
      <c r="S607" s="17"/>
      <c r="T607" s="10"/>
      <c r="U607" s="10"/>
      <c r="V607" s="10"/>
      <c r="W607" s="10"/>
      <c r="X607" s="10"/>
      <c r="Y607" s="10"/>
      <c r="Z607" s="10"/>
    </row>
    <row r="608" ht="13.5" customHeight="1">
      <c r="A608" s="13" t="s">
        <v>1423</v>
      </c>
      <c r="B608" s="8" t="s">
        <v>167</v>
      </c>
      <c r="C608" s="8" t="s">
        <v>296</v>
      </c>
      <c r="D608" s="8" t="s">
        <v>1282</v>
      </c>
      <c r="E608" s="9" t="s">
        <v>1424</v>
      </c>
      <c r="F608" s="8" t="s">
        <v>1425</v>
      </c>
      <c r="G608" s="8" t="s">
        <v>641</v>
      </c>
      <c r="H608" s="11" t="s">
        <v>259</v>
      </c>
      <c r="I608" s="11" t="s">
        <v>27</v>
      </c>
      <c r="J608" s="11" t="s">
        <v>635</v>
      </c>
      <c r="K608" s="8" t="s">
        <v>675</v>
      </c>
      <c r="L608" s="8" t="s">
        <v>676</v>
      </c>
      <c r="M608" s="20">
        <v>45488.0</v>
      </c>
      <c r="N608" s="21">
        <v>322.0</v>
      </c>
      <c r="O608" s="22">
        <v>380.0</v>
      </c>
      <c r="P608" s="7"/>
      <c r="Q608" s="7"/>
      <c r="R608" s="7"/>
      <c r="S608" s="17"/>
      <c r="T608" s="10"/>
      <c r="U608" s="10"/>
      <c r="V608" s="10"/>
      <c r="W608" s="10"/>
      <c r="X608" s="10"/>
      <c r="Y608" s="10"/>
      <c r="Z608" s="10"/>
    </row>
    <row r="609" ht="13.5" customHeight="1">
      <c r="A609" s="13" t="s">
        <v>1426</v>
      </c>
      <c r="B609" s="8" t="s">
        <v>301</v>
      </c>
      <c r="C609" s="8" t="s">
        <v>296</v>
      </c>
      <c r="D609" s="8" t="s">
        <v>1287</v>
      </c>
      <c r="E609" s="9" t="s">
        <v>1427</v>
      </c>
      <c r="F609" s="8" t="s">
        <v>1428</v>
      </c>
      <c r="G609" s="8" t="s">
        <v>641</v>
      </c>
      <c r="H609" s="11" t="s">
        <v>259</v>
      </c>
      <c r="I609" s="11" t="s">
        <v>27</v>
      </c>
      <c r="J609" s="11" t="s">
        <v>635</v>
      </c>
      <c r="K609" s="8" t="s">
        <v>675</v>
      </c>
      <c r="L609" s="8" t="s">
        <v>676</v>
      </c>
      <c r="M609" s="20">
        <v>45488.0</v>
      </c>
      <c r="N609" s="21">
        <v>50.0</v>
      </c>
      <c r="O609" s="22">
        <v>50.0</v>
      </c>
      <c r="P609" s="7"/>
      <c r="Q609" s="7"/>
      <c r="R609" s="7"/>
      <c r="S609" s="17"/>
      <c r="T609" s="10"/>
      <c r="U609" s="10"/>
      <c r="V609" s="10"/>
      <c r="W609" s="10"/>
      <c r="X609" s="10"/>
      <c r="Y609" s="10"/>
      <c r="Z609" s="10"/>
    </row>
    <row r="610" ht="13.5" customHeight="1">
      <c r="A610" s="13" t="s">
        <v>1429</v>
      </c>
      <c r="B610" s="8" t="s">
        <v>167</v>
      </c>
      <c r="C610" s="8" t="s">
        <v>296</v>
      </c>
      <c r="D610" s="8" t="s">
        <v>1282</v>
      </c>
      <c r="E610" s="9" t="s">
        <v>1430</v>
      </c>
      <c r="F610" s="8" t="s">
        <v>1431</v>
      </c>
      <c r="G610" s="8" t="s">
        <v>634</v>
      </c>
      <c r="H610" s="11" t="s">
        <v>259</v>
      </c>
      <c r="I610" s="11" t="s">
        <v>27</v>
      </c>
      <c r="J610" s="11" t="s">
        <v>635</v>
      </c>
      <c r="K610" s="8" t="s">
        <v>675</v>
      </c>
      <c r="L610" s="8" t="s">
        <v>676</v>
      </c>
      <c r="M610" s="20">
        <v>45488.0</v>
      </c>
      <c r="N610" s="21">
        <v>322.0</v>
      </c>
      <c r="O610" s="22">
        <v>380.0</v>
      </c>
      <c r="P610" s="7"/>
      <c r="Q610" s="7"/>
      <c r="R610" s="7"/>
      <c r="S610" s="17"/>
      <c r="T610" s="10"/>
      <c r="U610" s="10"/>
      <c r="V610" s="10"/>
      <c r="W610" s="10"/>
      <c r="X610" s="10"/>
      <c r="Y610" s="10"/>
      <c r="Z610" s="10"/>
    </row>
    <row r="611" ht="13.5" customHeight="1">
      <c r="A611" s="13" t="s">
        <v>1432</v>
      </c>
      <c r="B611" s="8" t="s">
        <v>301</v>
      </c>
      <c r="C611" s="8" t="s">
        <v>296</v>
      </c>
      <c r="D611" s="8" t="s">
        <v>1287</v>
      </c>
      <c r="E611" s="9" t="s">
        <v>1433</v>
      </c>
      <c r="F611" s="8" t="s">
        <v>1434</v>
      </c>
      <c r="G611" s="8" t="s">
        <v>634</v>
      </c>
      <c r="H611" s="11" t="s">
        <v>259</v>
      </c>
      <c r="I611" s="11" t="s">
        <v>27</v>
      </c>
      <c r="J611" s="11" t="s">
        <v>635</v>
      </c>
      <c r="K611" s="8" t="s">
        <v>675</v>
      </c>
      <c r="L611" s="8" t="s">
        <v>676</v>
      </c>
      <c r="M611" s="20">
        <v>45488.0</v>
      </c>
      <c r="N611" s="21">
        <v>50.0</v>
      </c>
      <c r="O611" s="22">
        <v>50.0</v>
      </c>
      <c r="P611" s="7"/>
      <c r="Q611" s="7"/>
      <c r="R611" s="7"/>
      <c r="S611" s="17"/>
      <c r="T611" s="10"/>
      <c r="U611" s="10"/>
      <c r="V611" s="10"/>
      <c r="W611" s="10"/>
      <c r="X611" s="10"/>
      <c r="Y611" s="10"/>
      <c r="Z611" s="10"/>
    </row>
    <row r="612" ht="13.5" customHeight="1">
      <c r="A612" s="13" t="s">
        <v>1435</v>
      </c>
      <c r="B612" s="8" t="s">
        <v>167</v>
      </c>
      <c r="C612" s="8" t="s">
        <v>296</v>
      </c>
      <c r="D612" s="8" t="s">
        <v>1282</v>
      </c>
      <c r="E612" s="9" t="s">
        <v>1436</v>
      </c>
      <c r="F612" s="8" t="s">
        <v>1437</v>
      </c>
      <c r="G612" s="8" t="s">
        <v>771</v>
      </c>
      <c r="H612" s="11" t="s">
        <v>259</v>
      </c>
      <c r="I612" s="11" t="s">
        <v>27</v>
      </c>
      <c r="J612" s="11" t="s">
        <v>635</v>
      </c>
      <c r="K612" s="8" t="s">
        <v>675</v>
      </c>
      <c r="L612" s="8" t="s">
        <v>676</v>
      </c>
      <c r="M612" s="20">
        <v>45488.0</v>
      </c>
      <c r="N612" s="21">
        <v>322.0</v>
      </c>
      <c r="O612" s="22">
        <v>380.0</v>
      </c>
      <c r="P612" s="7"/>
      <c r="Q612" s="7"/>
      <c r="R612" s="7"/>
      <c r="S612" s="17"/>
      <c r="T612" s="10"/>
      <c r="U612" s="10"/>
      <c r="V612" s="10"/>
      <c r="W612" s="10"/>
      <c r="X612" s="10"/>
      <c r="Y612" s="10"/>
      <c r="Z612" s="10"/>
    </row>
    <row r="613" ht="13.5" customHeight="1">
      <c r="A613" s="13" t="s">
        <v>1438</v>
      </c>
      <c r="B613" s="8" t="s">
        <v>301</v>
      </c>
      <c r="C613" s="8" t="s">
        <v>296</v>
      </c>
      <c r="D613" s="8" t="s">
        <v>1287</v>
      </c>
      <c r="E613" s="9" t="s">
        <v>1439</v>
      </c>
      <c r="F613" s="8" t="s">
        <v>1440</v>
      </c>
      <c r="G613" s="8" t="s">
        <v>771</v>
      </c>
      <c r="H613" s="11" t="s">
        <v>259</v>
      </c>
      <c r="I613" s="11" t="s">
        <v>27</v>
      </c>
      <c r="J613" s="11" t="s">
        <v>635</v>
      </c>
      <c r="K613" s="8" t="s">
        <v>675</v>
      </c>
      <c r="L613" s="8" t="s">
        <v>676</v>
      </c>
      <c r="M613" s="20">
        <v>45488.0</v>
      </c>
      <c r="N613" s="21">
        <v>50.0</v>
      </c>
      <c r="O613" s="22">
        <v>50.0</v>
      </c>
      <c r="P613" s="7"/>
      <c r="Q613" s="7"/>
      <c r="R613" s="7"/>
      <c r="S613" s="17"/>
      <c r="T613" s="10"/>
      <c r="U613" s="10"/>
      <c r="V613" s="10"/>
      <c r="W613" s="10"/>
      <c r="X613" s="10"/>
      <c r="Y613" s="10"/>
      <c r="Z613" s="10"/>
    </row>
    <row r="614" ht="13.5" customHeight="1">
      <c r="A614" s="13" t="s">
        <v>1441</v>
      </c>
      <c r="B614" s="8" t="s">
        <v>167</v>
      </c>
      <c r="C614" s="8" t="s">
        <v>296</v>
      </c>
      <c r="D614" s="8" t="s">
        <v>1282</v>
      </c>
      <c r="E614" s="9" t="s">
        <v>1442</v>
      </c>
      <c r="F614" s="8" t="s">
        <v>1443</v>
      </c>
      <c r="G614" s="8" t="s">
        <v>1444</v>
      </c>
      <c r="H614" s="11" t="s">
        <v>670</v>
      </c>
      <c r="I614" s="11" t="s">
        <v>27</v>
      </c>
      <c r="J614" s="11" t="s">
        <v>635</v>
      </c>
      <c r="K614" s="8" t="s">
        <v>675</v>
      </c>
      <c r="L614" s="8" t="s">
        <v>676</v>
      </c>
      <c r="M614" s="20">
        <v>45488.0</v>
      </c>
      <c r="N614" s="21">
        <v>322.0</v>
      </c>
      <c r="O614" s="22">
        <v>380.0</v>
      </c>
      <c r="P614" s="7"/>
      <c r="Q614" s="7"/>
      <c r="R614" s="7"/>
      <c r="S614" s="17"/>
      <c r="T614" s="10"/>
      <c r="U614" s="10"/>
      <c r="V614" s="10"/>
      <c r="W614" s="10"/>
      <c r="X614" s="10"/>
      <c r="Y614" s="10"/>
      <c r="Z614" s="10"/>
    </row>
    <row r="615" ht="13.5" customHeight="1">
      <c r="A615" s="13" t="s">
        <v>1445</v>
      </c>
      <c r="B615" s="8" t="s">
        <v>301</v>
      </c>
      <c r="C615" s="8" t="s">
        <v>296</v>
      </c>
      <c r="D615" s="8" t="s">
        <v>1287</v>
      </c>
      <c r="E615" s="9" t="s">
        <v>1446</v>
      </c>
      <c r="F615" s="8" t="s">
        <v>1447</v>
      </c>
      <c r="G615" s="8" t="s">
        <v>1444</v>
      </c>
      <c r="H615" s="11" t="s">
        <v>670</v>
      </c>
      <c r="I615" s="11" t="s">
        <v>27</v>
      </c>
      <c r="J615" s="11" t="s">
        <v>635</v>
      </c>
      <c r="K615" s="8" t="s">
        <v>675</v>
      </c>
      <c r="L615" s="8" t="s">
        <v>676</v>
      </c>
      <c r="M615" s="20">
        <v>45488.0</v>
      </c>
      <c r="N615" s="21">
        <v>50.0</v>
      </c>
      <c r="O615" s="22">
        <v>50.0</v>
      </c>
      <c r="P615" s="7"/>
      <c r="Q615" s="7"/>
      <c r="R615" s="7"/>
      <c r="S615" s="17"/>
      <c r="T615" s="10"/>
      <c r="U615" s="10"/>
      <c r="V615" s="10"/>
      <c r="W615" s="10"/>
      <c r="X615" s="10"/>
      <c r="Y615" s="10"/>
      <c r="Z615" s="10"/>
    </row>
    <row r="616" ht="13.5" customHeight="1">
      <c r="A616" s="13" t="s">
        <v>1448</v>
      </c>
      <c r="B616" s="8" t="s">
        <v>167</v>
      </c>
      <c r="C616" s="8" t="s">
        <v>296</v>
      </c>
      <c r="D616" s="8" t="s">
        <v>1282</v>
      </c>
      <c r="E616" s="9" t="s">
        <v>1449</v>
      </c>
      <c r="F616" s="8" t="s">
        <v>1450</v>
      </c>
      <c r="G616" s="8" t="s">
        <v>834</v>
      </c>
      <c r="H616" s="11" t="s">
        <v>259</v>
      </c>
      <c r="I616" s="11" t="s">
        <v>27</v>
      </c>
      <c r="J616" s="11" t="s">
        <v>635</v>
      </c>
      <c r="K616" s="8" t="s">
        <v>675</v>
      </c>
      <c r="L616" s="8" t="s">
        <v>676</v>
      </c>
      <c r="M616" s="20">
        <v>45488.0</v>
      </c>
      <c r="N616" s="21">
        <v>322.0</v>
      </c>
      <c r="O616" s="22">
        <v>380.0</v>
      </c>
      <c r="P616" s="7"/>
      <c r="Q616" s="7"/>
      <c r="R616" s="7"/>
      <c r="S616" s="17"/>
      <c r="T616" s="10"/>
      <c r="U616" s="10"/>
      <c r="V616" s="10"/>
      <c r="W616" s="10"/>
      <c r="X616" s="10"/>
      <c r="Y616" s="10"/>
      <c r="Z616" s="10"/>
    </row>
    <row r="617" ht="13.5" customHeight="1">
      <c r="A617" s="13" t="s">
        <v>1451</v>
      </c>
      <c r="B617" s="8" t="s">
        <v>301</v>
      </c>
      <c r="C617" s="8" t="s">
        <v>296</v>
      </c>
      <c r="D617" s="8" t="s">
        <v>1287</v>
      </c>
      <c r="E617" s="9" t="s">
        <v>1452</v>
      </c>
      <c r="F617" s="8" t="s">
        <v>1453</v>
      </c>
      <c r="G617" s="8" t="s">
        <v>834</v>
      </c>
      <c r="H617" s="11" t="s">
        <v>259</v>
      </c>
      <c r="I617" s="11" t="s">
        <v>27</v>
      </c>
      <c r="J617" s="11" t="s">
        <v>635</v>
      </c>
      <c r="K617" s="8" t="s">
        <v>675</v>
      </c>
      <c r="L617" s="8" t="s">
        <v>676</v>
      </c>
      <c r="M617" s="20">
        <v>45488.0</v>
      </c>
      <c r="N617" s="21">
        <v>50.0</v>
      </c>
      <c r="O617" s="22">
        <v>50.0</v>
      </c>
      <c r="P617" s="7"/>
      <c r="Q617" s="7"/>
      <c r="R617" s="7"/>
      <c r="S617" s="17"/>
      <c r="T617" s="10"/>
      <c r="U617" s="10"/>
      <c r="V617" s="10"/>
      <c r="W617" s="10"/>
      <c r="X617" s="10"/>
      <c r="Y617" s="10"/>
      <c r="Z617" s="10"/>
    </row>
    <row r="618" ht="13.5" customHeight="1">
      <c r="A618" s="13" t="s">
        <v>1454</v>
      </c>
      <c r="B618" s="8" t="s">
        <v>167</v>
      </c>
      <c r="C618" s="8" t="s">
        <v>296</v>
      </c>
      <c r="D618" s="8" t="s">
        <v>1282</v>
      </c>
      <c r="E618" s="9" t="s">
        <v>1455</v>
      </c>
      <c r="F618" s="8" t="s">
        <v>1456</v>
      </c>
      <c r="G618" s="8" t="s">
        <v>774</v>
      </c>
      <c r="H618" s="11" t="s">
        <v>259</v>
      </c>
      <c r="I618" s="11" t="s">
        <v>27</v>
      </c>
      <c r="J618" s="11" t="s">
        <v>635</v>
      </c>
      <c r="K618" s="8" t="s">
        <v>675</v>
      </c>
      <c r="L618" s="8" t="s">
        <v>676</v>
      </c>
      <c r="M618" s="20">
        <v>45488.0</v>
      </c>
      <c r="N618" s="21">
        <v>322.0</v>
      </c>
      <c r="O618" s="22">
        <v>380.0</v>
      </c>
      <c r="P618" s="7"/>
      <c r="Q618" s="7"/>
      <c r="R618" s="7"/>
      <c r="S618" s="17"/>
      <c r="T618" s="10"/>
      <c r="U618" s="10"/>
      <c r="V618" s="10"/>
      <c r="W618" s="10"/>
      <c r="X618" s="10"/>
      <c r="Y618" s="10"/>
      <c r="Z618" s="10"/>
    </row>
    <row r="619" ht="13.5" customHeight="1">
      <c r="A619" s="13" t="s">
        <v>1457</v>
      </c>
      <c r="B619" s="8" t="s">
        <v>301</v>
      </c>
      <c r="C619" s="8" t="s">
        <v>296</v>
      </c>
      <c r="D619" s="8" t="s">
        <v>1287</v>
      </c>
      <c r="E619" s="9" t="s">
        <v>1458</v>
      </c>
      <c r="F619" s="8" t="s">
        <v>1459</v>
      </c>
      <c r="G619" s="8" t="s">
        <v>774</v>
      </c>
      <c r="H619" s="11" t="s">
        <v>259</v>
      </c>
      <c r="I619" s="11" t="s">
        <v>27</v>
      </c>
      <c r="J619" s="11" t="s">
        <v>635</v>
      </c>
      <c r="K619" s="8" t="s">
        <v>675</v>
      </c>
      <c r="L619" s="8" t="s">
        <v>676</v>
      </c>
      <c r="M619" s="20">
        <v>45488.0</v>
      </c>
      <c r="N619" s="21">
        <v>50.0</v>
      </c>
      <c r="O619" s="22">
        <v>50.0</v>
      </c>
      <c r="P619" s="7"/>
      <c r="Q619" s="7"/>
      <c r="R619" s="7"/>
      <c r="S619" s="17"/>
      <c r="T619" s="10"/>
      <c r="U619" s="10"/>
      <c r="V619" s="10"/>
      <c r="W619" s="10"/>
      <c r="X619" s="10"/>
      <c r="Y619" s="10"/>
      <c r="Z619" s="10"/>
    </row>
    <row r="620" ht="13.5" customHeight="1">
      <c r="A620" s="13" t="s">
        <v>1460</v>
      </c>
      <c r="B620" s="8" t="s">
        <v>167</v>
      </c>
      <c r="C620" s="8" t="s">
        <v>296</v>
      </c>
      <c r="D620" s="8" t="s">
        <v>1282</v>
      </c>
      <c r="E620" s="9" t="s">
        <v>1461</v>
      </c>
      <c r="F620" s="8" t="s">
        <v>1462</v>
      </c>
      <c r="G620" s="8" t="s">
        <v>646</v>
      </c>
      <c r="H620" s="11" t="s">
        <v>259</v>
      </c>
      <c r="I620" s="11" t="s">
        <v>27</v>
      </c>
      <c r="J620" s="11" t="s">
        <v>635</v>
      </c>
      <c r="K620" s="8" t="s">
        <v>675</v>
      </c>
      <c r="L620" s="8" t="s">
        <v>676</v>
      </c>
      <c r="M620" s="20">
        <v>45488.0</v>
      </c>
      <c r="N620" s="21">
        <v>322.0</v>
      </c>
      <c r="O620" s="22">
        <v>380.0</v>
      </c>
      <c r="P620" s="7"/>
      <c r="Q620" s="7"/>
      <c r="R620" s="7"/>
      <c r="S620" s="17"/>
      <c r="T620" s="10"/>
      <c r="U620" s="10"/>
      <c r="V620" s="10"/>
      <c r="W620" s="10"/>
      <c r="X620" s="10"/>
      <c r="Y620" s="10"/>
      <c r="Z620" s="10"/>
    </row>
    <row r="621" ht="13.5" customHeight="1">
      <c r="A621" s="13" t="s">
        <v>1463</v>
      </c>
      <c r="B621" s="8" t="s">
        <v>301</v>
      </c>
      <c r="C621" s="8" t="s">
        <v>296</v>
      </c>
      <c r="D621" s="8" t="s">
        <v>1287</v>
      </c>
      <c r="E621" s="9" t="s">
        <v>1464</v>
      </c>
      <c r="F621" s="8" t="s">
        <v>1465</v>
      </c>
      <c r="G621" s="8" t="s">
        <v>646</v>
      </c>
      <c r="H621" s="11" t="s">
        <v>259</v>
      </c>
      <c r="I621" s="11" t="s">
        <v>27</v>
      </c>
      <c r="J621" s="11" t="s">
        <v>635</v>
      </c>
      <c r="K621" s="8" t="s">
        <v>675</v>
      </c>
      <c r="L621" s="8" t="s">
        <v>676</v>
      </c>
      <c r="M621" s="20">
        <v>45488.0</v>
      </c>
      <c r="N621" s="21">
        <v>50.0</v>
      </c>
      <c r="O621" s="22">
        <v>50.0</v>
      </c>
      <c r="P621" s="7"/>
      <c r="Q621" s="7"/>
      <c r="R621" s="7"/>
      <c r="S621" s="17"/>
      <c r="T621" s="10"/>
      <c r="U621" s="10"/>
      <c r="V621" s="10"/>
      <c r="W621" s="10"/>
      <c r="X621" s="10"/>
      <c r="Y621" s="10"/>
      <c r="Z621" s="10"/>
    </row>
    <row r="622" ht="13.5" customHeight="1">
      <c r="A622" s="13" t="s">
        <v>1466</v>
      </c>
      <c r="B622" s="8" t="s">
        <v>167</v>
      </c>
      <c r="C622" s="8" t="s">
        <v>296</v>
      </c>
      <c r="D622" s="8" t="s">
        <v>1282</v>
      </c>
      <c r="E622" s="9" t="s">
        <v>1467</v>
      </c>
      <c r="F622" s="8" t="s">
        <v>1468</v>
      </c>
      <c r="G622" s="8" t="s">
        <v>777</v>
      </c>
      <c r="H622" s="11" t="s">
        <v>259</v>
      </c>
      <c r="I622" s="11" t="s">
        <v>27</v>
      </c>
      <c r="J622" s="11" t="s">
        <v>635</v>
      </c>
      <c r="K622" s="8" t="s">
        <v>675</v>
      </c>
      <c r="L622" s="8" t="s">
        <v>676</v>
      </c>
      <c r="M622" s="20">
        <v>45488.0</v>
      </c>
      <c r="N622" s="21">
        <v>322.0</v>
      </c>
      <c r="O622" s="22">
        <v>380.0</v>
      </c>
      <c r="P622" s="7"/>
      <c r="Q622" s="7"/>
      <c r="R622" s="7"/>
      <c r="S622" s="17"/>
      <c r="T622" s="10"/>
      <c r="U622" s="10"/>
      <c r="V622" s="10"/>
      <c r="W622" s="10"/>
      <c r="X622" s="10"/>
      <c r="Y622" s="10"/>
      <c r="Z622" s="10"/>
    </row>
    <row r="623" ht="13.5" customHeight="1">
      <c r="A623" s="13" t="s">
        <v>1469</v>
      </c>
      <c r="B623" s="8" t="s">
        <v>301</v>
      </c>
      <c r="C623" s="8" t="s">
        <v>296</v>
      </c>
      <c r="D623" s="8" t="s">
        <v>1287</v>
      </c>
      <c r="E623" s="9" t="s">
        <v>1470</v>
      </c>
      <c r="F623" s="8" t="s">
        <v>1471</v>
      </c>
      <c r="G623" s="8" t="s">
        <v>777</v>
      </c>
      <c r="H623" s="11" t="s">
        <v>259</v>
      </c>
      <c r="I623" s="11" t="s">
        <v>27</v>
      </c>
      <c r="J623" s="11" t="s">
        <v>635</v>
      </c>
      <c r="K623" s="8" t="s">
        <v>675</v>
      </c>
      <c r="L623" s="8" t="s">
        <v>676</v>
      </c>
      <c r="M623" s="20">
        <v>45488.0</v>
      </c>
      <c r="N623" s="21">
        <v>50.0</v>
      </c>
      <c r="O623" s="22">
        <v>50.0</v>
      </c>
      <c r="P623" s="7"/>
      <c r="Q623" s="7"/>
      <c r="R623" s="7"/>
      <c r="S623" s="17"/>
      <c r="T623" s="10"/>
      <c r="U623" s="10"/>
      <c r="V623" s="10"/>
      <c r="W623" s="10"/>
      <c r="X623" s="10"/>
      <c r="Y623" s="10"/>
      <c r="Z623" s="10"/>
    </row>
    <row r="624" ht="13.5" customHeight="1">
      <c r="A624" s="13" t="s">
        <v>1472</v>
      </c>
      <c r="B624" s="8" t="s">
        <v>167</v>
      </c>
      <c r="C624" s="8" t="s">
        <v>296</v>
      </c>
      <c r="D624" s="8" t="s">
        <v>1282</v>
      </c>
      <c r="E624" s="9" t="s">
        <v>1473</v>
      </c>
      <c r="F624" s="8" t="s">
        <v>1474</v>
      </c>
      <c r="G624" s="8" t="s">
        <v>662</v>
      </c>
      <c r="H624" s="11" t="s">
        <v>259</v>
      </c>
      <c r="I624" s="11" t="s">
        <v>27</v>
      </c>
      <c r="J624" s="11" t="s">
        <v>635</v>
      </c>
      <c r="K624" s="8" t="s">
        <v>675</v>
      </c>
      <c r="L624" s="8" t="s">
        <v>676</v>
      </c>
      <c r="M624" s="20">
        <v>45488.0</v>
      </c>
      <c r="N624" s="21">
        <v>322.0</v>
      </c>
      <c r="O624" s="22">
        <v>380.0</v>
      </c>
      <c r="P624" s="7"/>
      <c r="Q624" s="7"/>
      <c r="R624" s="7"/>
      <c r="S624" s="17"/>
      <c r="T624" s="10"/>
      <c r="U624" s="10"/>
      <c r="V624" s="10"/>
      <c r="W624" s="10"/>
      <c r="X624" s="10"/>
      <c r="Y624" s="10"/>
      <c r="Z624" s="10"/>
    </row>
    <row r="625" ht="13.5" customHeight="1">
      <c r="A625" s="13" t="s">
        <v>1475</v>
      </c>
      <c r="B625" s="8" t="s">
        <v>301</v>
      </c>
      <c r="C625" s="8" t="s">
        <v>296</v>
      </c>
      <c r="D625" s="8" t="s">
        <v>1287</v>
      </c>
      <c r="E625" s="9" t="s">
        <v>1476</v>
      </c>
      <c r="F625" s="8" t="s">
        <v>1477</v>
      </c>
      <c r="G625" s="8" t="s">
        <v>662</v>
      </c>
      <c r="H625" s="11" t="s">
        <v>259</v>
      </c>
      <c r="I625" s="11" t="s">
        <v>27</v>
      </c>
      <c r="J625" s="11" t="s">
        <v>635</v>
      </c>
      <c r="K625" s="8" t="s">
        <v>675</v>
      </c>
      <c r="L625" s="8" t="s">
        <v>676</v>
      </c>
      <c r="M625" s="20">
        <v>45488.0</v>
      </c>
      <c r="N625" s="21">
        <v>50.0</v>
      </c>
      <c r="O625" s="22">
        <v>50.0</v>
      </c>
      <c r="P625" s="7"/>
      <c r="Q625" s="7"/>
      <c r="R625" s="7"/>
      <c r="S625" s="17"/>
      <c r="T625" s="10"/>
      <c r="U625" s="10"/>
      <c r="V625" s="10"/>
      <c r="W625" s="10"/>
      <c r="X625" s="10"/>
      <c r="Y625" s="10"/>
      <c r="Z625" s="10"/>
    </row>
    <row r="626" ht="13.5" customHeight="1">
      <c r="A626" s="13" t="s">
        <v>1478</v>
      </c>
      <c r="B626" s="8" t="s">
        <v>167</v>
      </c>
      <c r="C626" s="8" t="s">
        <v>296</v>
      </c>
      <c r="D626" s="8" t="s">
        <v>1282</v>
      </c>
      <c r="E626" s="9" t="s">
        <v>1479</v>
      </c>
      <c r="F626" s="8" t="s">
        <v>1480</v>
      </c>
      <c r="G626" s="8" t="s">
        <v>825</v>
      </c>
      <c r="H626" s="11" t="s">
        <v>259</v>
      </c>
      <c r="I626" s="11" t="s">
        <v>27</v>
      </c>
      <c r="J626" s="11" t="s">
        <v>635</v>
      </c>
      <c r="K626" s="8" t="s">
        <v>675</v>
      </c>
      <c r="L626" s="8" t="s">
        <v>676</v>
      </c>
      <c r="M626" s="20">
        <v>45488.0</v>
      </c>
      <c r="N626" s="21">
        <v>322.0</v>
      </c>
      <c r="O626" s="22">
        <v>380.0</v>
      </c>
      <c r="P626" s="7"/>
      <c r="Q626" s="7"/>
      <c r="R626" s="7"/>
      <c r="S626" s="17"/>
      <c r="T626" s="10"/>
      <c r="U626" s="10"/>
      <c r="V626" s="10"/>
      <c r="W626" s="10"/>
      <c r="X626" s="10"/>
      <c r="Y626" s="10"/>
      <c r="Z626" s="10"/>
    </row>
    <row r="627" ht="13.5" customHeight="1">
      <c r="A627" s="13" t="s">
        <v>1481</v>
      </c>
      <c r="B627" s="8" t="s">
        <v>301</v>
      </c>
      <c r="C627" s="8" t="s">
        <v>296</v>
      </c>
      <c r="D627" s="8" t="s">
        <v>1287</v>
      </c>
      <c r="E627" s="9" t="s">
        <v>1482</v>
      </c>
      <c r="F627" s="8" t="s">
        <v>1483</v>
      </c>
      <c r="G627" s="8" t="s">
        <v>825</v>
      </c>
      <c r="H627" s="11" t="s">
        <v>259</v>
      </c>
      <c r="I627" s="11" t="s">
        <v>27</v>
      </c>
      <c r="J627" s="11" t="s">
        <v>635</v>
      </c>
      <c r="K627" s="8" t="s">
        <v>675</v>
      </c>
      <c r="L627" s="8" t="s">
        <v>676</v>
      </c>
      <c r="M627" s="20">
        <v>45488.0</v>
      </c>
      <c r="N627" s="21">
        <v>50.0</v>
      </c>
      <c r="O627" s="22">
        <v>50.0</v>
      </c>
      <c r="P627" s="7"/>
      <c r="Q627" s="7"/>
      <c r="R627" s="7"/>
      <c r="S627" s="17"/>
      <c r="T627" s="10"/>
      <c r="U627" s="10"/>
      <c r="V627" s="10"/>
      <c r="W627" s="10"/>
      <c r="X627" s="10"/>
      <c r="Y627" s="10"/>
      <c r="Z627" s="10"/>
    </row>
    <row r="628" ht="13.5" customHeight="1">
      <c r="A628" s="13" t="s">
        <v>1484</v>
      </c>
      <c r="B628" s="8" t="s">
        <v>167</v>
      </c>
      <c r="C628" s="8" t="s">
        <v>296</v>
      </c>
      <c r="D628" s="8" t="s">
        <v>1282</v>
      </c>
      <c r="E628" s="9" t="s">
        <v>1485</v>
      </c>
      <c r="F628" s="8" t="s">
        <v>1486</v>
      </c>
      <c r="G628" s="8" t="s">
        <v>1487</v>
      </c>
      <c r="H628" s="11" t="s">
        <v>259</v>
      </c>
      <c r="I628" s="11" t="s">
        <v>27</v>
      </c>
      <c r="J628" s="11" t="s">
        <v>28</v>
      </c>
      <c r="K628" s="8" t="s">
        <v>675</v>
      </c>
      <c r="L628" s="8" t="s">
        <v>676</v>
      </c>
      <c r="M628" s="20">
        <v>45488.0</v>
      </c>
      <c r="N628" s="21">
        <v>322.0</v>
      </c>
      <c r="O628" s="22">
        <v>380.0</v>
      </c>
      <c r="P628" s="7"/>
      <c r="Q628" s="7"/>
      <c r="R628" s="7"/>
      <c r="S628" s="17"/>
      <c r="T628" s="10"/>
      <c r="U628" s="10"/>
      <c r="V628" s="10"/>
      <c r="W628" s="10"/>
      <c r="X628" s="10"/>
      <c r="Y628" s="10"/>
      <c r="Z628" s="10"/>
    </row>
    <row r="629" ht="13.5" customHeight="1">
      <c r="A629" s="13" t="s">
        <v>1488</v>
      </c>
      <c r="B629" s="8" t="s">
        <v>301</v>
      </c>
      <c r="C629" s="8" t="s">
        <v>296</v>
      </c>
      <c r="D629" s="8" t="s">
        <v>1287</v>
      </c>
      <c r="E629" s="9" t="s">
        <v>1489</v>
      </c>
      <c r="F629" s="8" t="s">
        <v>1490</v>
      </c>
      <c r="G629" s="8" t="s">
        <v>1487</v>
      </c>
      <c r="H629" s="11" t="s">
        <v>259</v>
      </c>
      <c r="I629" s="11" t="s">
        <v>27</v>
      </c>
      <c r="J629" s="11" t="s">
        <v>28</v>
      </c>
      <c r="K629" s="8" t="s">
        <v>675</v>
      </c>
      <c r="L629" s="8" t="s">
        <v>676</v>
      </c>
      <c r="M629" s="20">
        <v>45488.0</v>
      </c>
      <c r="N629" s="21">
        <v>50.0</v>
      </c>
      <c r="O629" s="22">
        <v>50.0</v>
      </c>
      <c r="P629" s="7"/>
      <c r="Q629" s="7"/>
      <c r="R629" s="7"/>
      <c r="S629" s="17"/>
      <c r="T629" s="10"/>
      <c r="U629" s="10"/>
      <c r="V629" s="10"/>
      <c r="W629" s="10"/>
      <c r="X629" s="10"/>
      <c r="Y629" s="10"/>
      <c r="Z629" s="10"/>
    </row>
    <row r="630" ht="13.5" customHeight="1">
      <c r="A630" s="13" t="s">
        <v>1491</v>
      </c>
      <c r="B630" s="8" t="s">
        <v>167</v>
      </c>
      <c r="C630" s="8" t="s">
        <v>296</v>
      </c>
      <c r="D630" s="8" t="s">
        <v>1282</v>
      </c>
      <c r="E630" s="9" t="s">
        <v>1492</v>
      </c>
      <c r="F630" s="8" t="s">
        <v>1493</v>
      </c>
      <c r="G630" s="8" t="s">
        <v>1494</v>
      </c>
      <c r="H630" s="11" t="s">
        <v>259</v>
      </c>
      <c r="I630" s="11" t="s">
        <v>27</v>
      </c>
      <c r="J630" s="11" t="s">
        <v>28</v>
      </c>
      <c r="K630" s="8" t="s">
        <v>675</v>
      </c>
      <c r="L630" s="8" t="s">
        <v>676</v>
      </c>
      <c r="M630" s="20">
        <v>45488.0</v>
      </c>
      <c r="N630" s="21">
        <v>322.0</v>
      </c>
      <c r="O630" s="22">
        <v>380.0</v>
      </c>
      <c r="P630" s="7"/>
      <c r="Q630" s="7"/>
      <c r="R630" s="7"/>
      <c r="S630" s="17"/>
      <c r="T630" s="10"/>
      <c r="U630" s="10"/>
      <c r="V630" s="10"/>
      <c r="W630" s="10"/>
      <c r="X630" s="10"/>
      <c r="Y630" s="10"/>
      <c r="Z630" s="10"/>
    </row>
    <row r="631" ht="13.5" customHeight="1">
      <c r="A631" s="13" t="s">
        <v>1495</v>
      </c>
      <c r="B631" s="8" t="s">
        <v>301</v>
      </c>
      <c r="C631" s="8" t="s">
        <v>296</v>
      </c>
      <c r="D631" s="8" t="s">
        <v>1287</v>
      </c>
      <c r="E631" s="9" t="s">
        <v>1496</v>
      </c>
      <c r="F631" s="8" t="s">
        <v>1497</v>
      </c>
      <c r="G631" s="8" t="s">
        <v>1494</v>
      </c>
      <c r="H631" s="11" t="s">
        <v>259</v>
      </c>
      <c r="I631" s="11" t="s">
        <v>27</v>
      </c>
      <c r="J631" s="11" t="s">
        <v>28</v>
      </c>
      <c r="K631" s="8" t="s">
        <v>675</v>
      </c>
      <c r="L631" s="8" t="s">
        <v>676</v>
      </c>
      <c r="M631" s="20">
        <v>45488.0</v>
      </c>
      <c r="N631" s="21">
        <v>50.0</v>
      </c>
      <c r="O631" s="22">
        <v>50.0</v>
      </c>
      <c r="P631" s="7"/>
      <c r="Q631" s="7"/>
      <c r="R631" s="7"/>
      <c r="S631" s="17"/>
      <c r="T631" s="10"/>
      <c r="U631" s="10"/>
      <c r="V631" s="10"/>
      <c r="W631" s="10"/>
      <c r="X631" s="10"/>
      <c r="Y631" s="10"/>
      <c r="Z631" s="10"/>
    </row>
    <row r="632" ht="13.5" customHeight="1">
      <c r="A632" s="13" t="s">
        <v>1498</v>
      </c>
      <c r="B632" s="8" t="s">
        <v>167</v>
      </c>
      <c r="C632" s="8" t="s">
        <v>296</v>
      </c>
      <c r="D632" s="8" t="s">
        <v>1282</v>
      </c>
      <c r="E632" s="9" t="s">
        <v>1499</v>
      </c>
      <c r="F632" s="8" t="s">
        <v>1500</v>
      </c>
      <c r="G632" s="8" t="s">
        <v>148</v>
      </c>
      <c r="H632" s="11" t="s">
        <v>143</v>
      </c>
      <c r="I632" s="11" t="s">
        <v>27</v>
      </c>
      <c r="J632" s="11" t="s">
        <v>28</v>
      </c>
      <c r="K632" s="8" t="s">
        <v>675</v>
      </c>
      <c r="L632" s="8" t="s">
        <v>676</v>
      </c>
      <c r="M632" s="20">
        <v>45488.0</v>
      </c>
      <c r="N632" s="21">
        <v>322.0</v>
      </c>
      <c r="O632" s="22">
        <v>380.0</v>
      </c>
      <c r="P632" s="7"/>
      <c r="Q632" s="7"/>
      <c r="R632" s="7"/>
      <c r="S632" s="17"/>
      <c r="T632" s="10"/>
      <c r="U632" s="10"/>
      <c r="V632" s="10"/>
      <c r="W632" s="10"/>
      <c r="X632" s="10"/>
      <c r="Y632" s="10"/>
      <c r="Z632" s="10"/>
    </row>
    <row r="633" ht="13.5" customHeight="1">
      <c r="A633" s="13" t="s">
        <v>1501</v>
      </c>
      <c r="B633" s="8" t="s">
        <v>301</v>
      </c>
      <c r="C633" s="8" t="s">
        <v>296</v>
      </c>
      <c r="D633" s="8" t="s">
        <v>1287</v>
      </c>
      <c r="E633" s="9" t="s">
        <v>1502</v>
      </c>
      <c r="F633" s="8" t="s">
        <v>1503</v>
      </c>
      <c r="G633" s="8" t="s">
        <v>148</v>
      </c>
      <c r="H633" s="11" t="s">
        <v>143</v>
      </c>
      <c r="I633" s="11" t="s">
        <v>27</v>
      </c>
      <c r="J633" s="11" t="s">
        <v>28</v>
      </c>
      <c r="K633" s="8" t="s">
        <v>675</v>
      </c>
      <c r="L633" s="8" t="s">
        <v>676</v>
      </c>
      <c r="M633" s="20">
        <v>45488.0</v>
      </c>
      <c r="N633" s="21">
        <v>50.0</v>
      </c>
      <c r="O633" s="22">
        <v>50.0</v>
      </c>
      <c r="P633" s="7"/>
      <c r="Q633" s="7"/>
      <c r="R633" s="7"/>
      <c r="S633" s="17"/>
      <c r="T633" s="10"/>
      <c r="U633" s="10"/>
      <c r="V633" s="10"/>
      <c r="W633" s="10"/>
      <c r="X633" s="10"/>
      <c r="Y633" s="10"/>
      <c r="Z633" s="10"/>
    </row>
    <row r="634" ht="13.5" customHeight="1">
      <c r="A634" s="13" t="s">
        <v>1504</v>
      </c>
      <c r="B634" s="8" t="s">
        <v>167</v>
      </c>
      <c r="C634" s="8" t="s">
        <v>296</v>
      </c>
      <c r="D634" s="8" t="s">
        <v>1282</v>
      </c>
      <c r="E634" s="9" t="s">
        <v>1505</v>
      </c>
      <c r="F634" s="8" t="s">
        <v>1506</v>
      </c>
      <c r="G634" s="8" t="s">
        <v>1507</v>
      </c>
      <c r="H634" s="11" t="s">
        <v>103</v>
      </c>
      <c r="I634" s="11" t="s">
        <v>27</v>
      </c>
      <c r="J634" s="11" t="s">
        <v>28</v>
      </c>
      <c r="K634" s="8" t="s">
        <v>675</v>
      </c>
      <c r="L634" s="8" t="s">
        <v>676</v>
      </c>
      <c r="M634" s="20">
        <v>45488.0</v>
      </c>
      <c r="N634" s="21">
        <v>322.0</v>
      </c>
      <c r="O634" s="22">
        <v>380.0</v>
      </c>
      <c r="P634" s="7"/>
      <c r="Q634" s="7"/>
      <c r="R634" s="7"/>
      <c r="S634" s="17"/>
      <c r="T634" s="10"/>
      <c r="U634" s="10"/>
      <c r="V634" s="10"/>
      <c r="W634" s="10"/>
      <c r="X634" s="10"/>
      <c r="Y634" s="10"/>
      <c r="Z634" s="10"/>
    </row>
    <row r="635" ht="13.5" customHeight="1">
      <c r="A635" s="13" t="s">
        <v>1508</v>
      </c>
      <c r="B635" s="8" t="s">
        <v>301</v>
      </c>
      <c r="C635" s="8" t="s">
        <v>296</v>
      </c>
      <c r="D635" s="8" t="s">
        <v>1287</v>
      </c>
      <c r="E635" s="9" t="s">
        <v>1509</v>
      </c>
      <c r="F635" s="8" t="s">
        <v>1510</v>
      </c>
      <c r="G635" s="8" t="s">
        <v>1507</v>
      </c>
      <c r="H635" s="11" t="s">
        <v>103</v>
      </c>
      <c r="I635" s="11" t="s">
        <v>27</v>
      </c>
      <c r="J635" s="11" t="s">
        <v>28</v>
      </c>
      <c r="K635" s="8" t="s">
        <v>675</v>
      </c>
      <c r="L635" s="8" t="s">
        <v>676</v>
      </c>
      <c r="M635" s="20">
        <v>45488.0</v>
      </c>
      <c r="N635" s="21">
        <v>50.0</v>
      </c>
      <c r="O635" s="22">
        <v>50.0</v>
      </c>
      <c r="P635" s="34"/>
      <c r="Q635" s="34"/>
      <c r="R635" s="34"/>
      <c r="S635" s="35"/>
      <c r="T635" s="10"/>
      <c r="U635" s="10"/>
      <c r="V635" s="10"/>
      <c r="W635" s="10"/>
      <c r="X635" s="10"/>
      <c r="Y635" s="10"/>
      <c r="Z635" s="10"/>
    </row>
    <row r="636" ht="13.5" customHeight="1">
      <c r="A636" s="13" t="s">
        <v>1511</v>
      </c>
      <c r="B636" s="8" t="s">
        <v>167</v>
      </c>
      <c r="C636" s="8" t="s">
        <v>296</v>
      </c>
      <c r="D636" s="8" t="s">
        <v>1282</v>
      </c>
      <c r="E636" s="9" t="s">
        <v>1512</v>
      </c>
      <c r="F636" s="8" t="s">
        <v>1513</v>
      </c>
      <c r="G636" s="8" t="s">
        <v>211</v>
      </c>
      <c r="H636" s="11" t="s">
        <v>207</v>
      </c>
      <c r="I636" s="11" t="s">
        <v>27</v>
      </c>
      <c r="J636" s="11" t="s">
        <v>28</v>
      </c>
      <c r="K636" s="8" t="s">
        <v>675</v>
      </c>
      <c r="L636" s="8" t="s">
        <v>676</v>
      </c>
      <c r="M636" s="20">
        <v>45488.0</v>
      </c>
      <c r="N636" s="21">
        <v>322.0</v>
      </c>
      <c r="O636" s="22">
        <v>380.0</v>
      </c>
      <c r="P636" s="7"/>
      <c r="Q636" s="7"/>
      <c r="R636" s="7"/>
      <c r="S636" s="17"/>
      <c r="T636" s="10"/>
      <c r="U636" s="10"/>
      <c r="V636" s="10"/>
      <c r="W636" s="10"/>
      <c r="X636" s="10"/>
      <c r="Y636" s="10"/>
      <c r="Z636" s="10"/>
    </row>
    <row r="637" ht="13.5" customHeight="1">
      <c r="A637" s="13" t="s">
        <v>1514</v>
      </c>
      <c r="B637" s="8" t="s">
        <v>301</v>
      </c>
      <c r="C637" s="8" t="s">
        <v>296</v>
      </c>
      <c r="D637" s="8" t="s">
        <v>1287</v>
      </c>
      <c r="E637" s="9" t="s">
        <v>1515</v>
      </c>
      <c r="F637" s="8" t="s">
        <v>1516</v>
      </c>
      <c r="G637" s="8" t="s">
        <v>211</v>
      </c>
      <c r="H637" s="11" t="s">
        <v>207</v>
      </c>
      <c r="I637" s="11" t="s">
        <v>27</v>
      </c>
      <c r="J637" s="11" t="s">
        <v>28</v>
      </c>
      <c r="K637" s="8" t="s">
        <v>675</v>
      </c>
      <c r="L637" s="8" t="s">
        <v>676</v>
      </c>
      <c r="M637" s="20">
        <v>45488.0</v>
      </c>
      <c r="N637" s="21">
        <v>50.0</v>
      </c>
      <c r="O637" s="22">
        <v>50.0</v>
      </c>
      <c r="P637" s="7"/>
      <c r="Q637" s="7"/>
      <c r="R637" s="7"/>
      <c r="S637" s="17"/>
      <c r="T637" s="10"/>
      <c r="U637" s="10"/>
      <c r="V637" s="10"/>
      <c r="W637" s="10"/>
      <c r="X637" s="10"/>
      <c r="Y637" s="10"/>
      <c r="Z637" s="10"/>
    </row>
    <row r="638" ht="13.5" customHeight="1">
      <c r="A638" s="13" t="s">
        <v>1517</v>
      </c>
      <c r="B638" s="8" t="s">
        <v>167</v>
      </c>
      <c r="C638" s="8" t="s">
        <v>296</v>
      </c>
      <c r="D638" s="8" t="s">
        <v>1282</v>
      </c>
      <c r="E638" s="9" t="s">
        <v>1518</v>
      </c>
      <c r="F638" s="8" t="s">
        <v>1519</v>
      </c>
      <c r="G638" s="8" t="s">
        <v>235</v>
      </c>
      <c r="H638" s="11" t="s">
        <v>207</v>
      </c>
      <c r="I638" s="11" t="s">
        <v>27</v>
      </c>
      <c r="J638" s="11" t="s">
        <v>28</v>
      </c>
      <c r="K638" s="8" t="s">
        <v>675</v>
      </c>
      <c r="L638" s="8" t="s">
        <v>676</v>
      </c>
      <c r="M638" s="20">
        <v>45488.0</v>
      </c>
      <c r="N638" s="21">
        <v>322.0</v>
      </c>
      <c r="O638" s="22">
        <v>380.0</v>
      </c>
      <c r="P638" s="7"/>
      <c r="Q638" s="7"/>
      <c r="R638" s="7"/>
      <c r="S638" s="17"/>
      <c r="T638" s="10"/>
      <c r="U638" s="10"/>
      <c r="V638" s="10"/>
      <c r="W638" s="10"/>
      <c r="X638" s="10"/>
      <c r="Y638" s="10"/>
      <c r="Z638" s="10"/>
    </row>
    <row r="639" ht="13.5" customHeight="1">
      <c r="A639" s="13" t="s">
        <v>1520</v>
      </c>
      <c r="B639" s="8" t="s">
        <v>301</v>
      </c>
      <c r="C639" s="8" t="s">
        <v>296</v>
      </c>
      <c r="D639" s="8" t="s">
        <v>1287</v>
      </c>
      <c r="E639" s="9" t="s">
        <v>1521</v>
      </c>
      <c r="F639" s="8" t="s">
        <v>1522</v>
      </c>
      <c r="G639" s="8" t="s">
        <v>235</v>
      </c>
      <c r="H639" s="11" t="s">
        <v>207</v>
      </c>
      <c r="I639" s="11" t="s">
        <v>27</v>
      </c>
      <c r="J639" s="11" t="s">
        <v>28</v>
      </c>
      <c r="K639" s="8" t="s">
        <v>675</v>
      </c>
      <c r="L639" s="8" t="s">
        <v>676</v>
      </c>
      <c r="M639" s="20">
        <v>45488.0</v>
      </c>
      <c r="N639" s="21">
        <v>50.0</v>
      </c>
      <c r="O639" s="22">
        <v>50.0</v>
      </c>
      <c r="P639" s="7"/>
      <c r="Q639" s="7"/>
      <c r="R639" s="7"/>
      <c r="S639" s="20"/>
      <c r="T639" s="10"/>
      <c r="U639" s="10"/>
      <c r="V639" s="10"/>
      <c r="W639" s="10"/>
      <c r="X639" s="10"/>
      <c r="Y639" s="10"/>
      <c r="Z639" s="10"/>
    </row>
    <row r="640" ht="13.5" customHeight="1">
      <c r="A640" s="13" t="s">
        <v>1523</v>
      </c>
      <c r="B640" s="8" t="s">
        <v>167</v>
      </c>
      <c r="C640" s="8" t="s">
        <v>296</v>
      </c>
      <c r="D640" s="8" t="s">
        <v>1282</v>
      </c>
      <c r="E640" s="9" t="s">
        <v>1524</v>
      </c>
      <c r="F640" s="8" t="s">
        <v>1525</v>
      </c>
      <c r="G640" s="8" t="s">
        <v>25</v>
      </c>
      <c r="H640" s="11" t="s">
        <v>26</v>
      </c>
      <c r="I640" s="11" t="s">
        <v>27</v>
      </c>
      <c r="J640" s="11" t="s">
        <v>28</v>
      </c>
      <c r="K640" s="8" t="s">
        <v>675</v>
      </c>
      <c r="L640" s="8" t="s">
        <v>676</v>
      </c>
      <c r="M640" s="20">
        <v>45488.0</v>
      </c>
      <c r="N640" s="21">
        <v>322.0</v>
      </c>
      <c r="O640" s="22">
        <v>380.0</v>
      </c>
      <c r="P640" s="7"/>
      <c r="Q640" s="7"/>
      <c r="R640" s="7"/>
      <c r="S640" s="20"/>
      <c r="T640" s="10"/>
      <c r="U640" s="10"/>
      <c r="V640" s="10"/>
      <c r="W640" s="10"/>
      <c r="X640" s="10"/>
      <c r="Y640" s="10"/>
      <c r="Z640" s="10"/>
    </row>
    <row r="641" ht="13.5" customHeight="1">
      <c r="A641" s="13" t="s">
        <v>1526</v>
      </c>
      <c r="B641" s="8" t="s">
        <v>301</v>
      </c>
      <c r="C641" s="8" t="s">
        <v>296</v>
      </c>
      <c r="D641" s="8" t="s">
        <v>1287</v>
      </c>
      <c r="E641" s="9" t="s">
        <v>1527</v>
      </c>
      <c r="F641" s="8" t="s">
        <v>1528</v>
      </c>
      <c r="G641" s="8" t="s">
        <v>25</v>
      </c>
      <c r="H641" s="11" t="s">
        <v>26</v>
      </c>
      <c r="I641" s="11" t="s">
        <v>27</v>
      </c>
      <c r="J641" s="11" t="s">
        <v>28</v>
      </c>
      <c r="K641" s="8" t="s">
        <v>675</v>
      </c>
      <c r="L641" s="8" t="s">
        <v>676</v>
      </c>
      <c r="M641" s="20">
        <v>45488.0</v>
      </c>
      <c r="N641" s="21">
        <v>50.0</v>
      </c>
      <c r="O641" s="22">
        <v>50.0</v>
      </c>
      <c r="P641" s="7"/>
      <c r="Q641" s="7"/>
      <c r="R641" s="7"/>
      <c r="S641" s="20"/>
      <c r="T641" s="10"/>
      <c r="U641" s="10"/>
      <c r="V641" s="10"/>
      <c r="W641" s="10"/>
      <c r="X641" s="10"/>
      <c r="Y641" s="10"/>
      <c r="Z641" s="10"/>
    </row>
    <row r="642" ht="13.5" customHeight="1">
      <c r="A642" s="13" t="s">
        <v>1529</v>
      </c>
      <c r="B642" s="8" t="s">
        <v>167</v>
      </c>
      <c r="C642" s="8" t="s">
        <v>296</v>
      </c>
      <c r="D642" s="8" t="s">
        <v>1282</v>
      </c>
      <c r="E642" s="9" t="s">
        <v>1530</v>
      </c>
      <c r="F642" s="8" t="s">
        <v>1531</v>
      </c>
      <c r="G642" s="8" t="s">
        <v>472</v>
      </c>
      <c r="H642" s="11" t="s">
        <v>259</v>
      </c>
      <c r="I642" s="11" t="s">
        <v>91</v>
      </c>
      <c r="J642" s="11" t="s">
        <v>400</v>
      </c>
      <c r="K642" s="8" t="s">
        <v>675</v>
      </c>
      <c r="L642" s="8" t="s">
        <v>676</v>
      </c>
      <c r="M642" s="20">
        <v>45488.0</v>
      </c>
      <c r="N642" s="21">
        <v>322.0</v>
      </c>
      <c r="O642" s="22">
        <v>380.0</v>
      </c>
      <c r="P642" s="7"/>
      <c r="Q642" s="7"/>
      <c r="R642" s="7"/>
      <c r="S642" s="17"/>
      <c r="T642" s="10"/>
      <c r="U642" s="10"/>
      <c r="V642" s="10"/>
      <c r="W642" s="10"/>
      <c r="X642" s="10"/>
      <c r="Y642" s="10"/>
      <c r="Z642" s="10"/>
    </row>
    <row r="643" ht="13.5" customHeight="1">
      <c r="A643" s="13" t="s">
        <v>1532</v>
      </c>
      <c r="B643" s="8" t="s">
        <v>301</v>
      </c>
      <c r="C643" s="8" t="s">
        <v>296</v>
      </c>
      <c r="D643" s="8" t="s">
        <v>1287</v>
      </c>
      <c r="E643" s="9" t="s">
        <v>1533</v>
      </c>
      <c r="F643" s="8" t="s">
        <v>1534</v>
      </c>
      <c r="G643" s="8" t="s">
        <v>472</v>
      </c>
      <c r="H643" s="11" t="s">
        <v>259</v>
      </c>
      <c r="I643" s="11" t="s">
        <v>91</v>
      </c>
      <c r="J643" s="11" t="s">
        <v>400</v>
      </c>
      <c r="K643" s="8" t="s">
        <v>675</v>
      </c>
      <c r="L643" s="8" t="s">
        <v>676</v>
      </c>
      <c r="M643" s="20">
        <v>45488.0</v>
      </c>
      <c r="N643" s="21">
        <v>50.0</v>
      </c>
      <c r="O643" s="22">
        <v>50.0</v>
      </c>
      <c r="P643" s="7"/>
      <c r="Q643" s="7"/>
      <c r="R643" s="7"/>
      <c r="S643" s="17"/>
      <c r="T643" s="10"/>
      <c r="U643" s="10"/>
      <c r="V643" s="10"/>
      <c r="W643" s="10"/>
      <c r="X643" s="10"/>
      <c r="Y643" s="10"/>
      <c r="Z643" s="10"/>
    </row>
    <row r="644" ht="13.5" customHeight="1">
      <c r="A644" s="13" t="s">
        <v>1535</v>
      </c>
      <c r="B644" s="8" t="s">
        <v>167</v>
      </c>
      <c r="C644" s="8" t="s">
        <v>296</v>
      </c>
      <c r="D644" s="8" t="s">
        <v>1282</v>
      </c>
      <c r="E644" s="9" t="s">
        <v>1536</v>
      </c>
      <c r="F644" s="8" t="s">
        <v>1537</v>
      </c>
      <c r="G644" s="8" t="s">
        <v>374</v>
      </c>
      <c r="H644" s="11" t="s">
        <v>259</v>
      </c>
      <c r="I644" s="11" t="s">
        <v>91</v>
      </c>
      <c r="J644" s="11" t="s">
        <v>275</v>
      </c>
      <c r="K644" s="8" t="s">
        <v>675</v>
      </c>
      <c r="L644" s="8" t="s">
        <v>676</v>
      </c>
      <c r="M644" s="20">
        <v>45488.0</v>
      </c>
      <c r="N644" s="21">
        <v>322.0</v>
      </c>
      <c r="O644" s="22">
        <v>380.0</v>
      </c>
      <c r="P644" s="7"/>
      <c r="Q644" s="7"/>
      <c r="R644" s="7"/>
      <c r="S644" s="17"/>
      <c r="T644" s="10"/>
      <c r="U644" s="10"/>
      <c r="V644" s="10"/>
      <c r="W644" s="10"/>
      <c r="X644" s="10"/>
      <c r="Y644" s="10"/>
      <c r="Z644" s="10"/>
    </row>
    <row r="645" ht="13.5" customHeight="1">
      <c r="A645" s="13" t="s">
        <v>1538</v>
      </c>
      <c r="B645" s="8" t="s">
        <v>301</v>
      </c>
      <c r="C645" s="8" t="s">
        <v>296</v>
      </c>
      <c r="D645" s="8" t="s">
        <v>1287</v>
      </c>
      <c r="E645" s="9" t="s">
        <v>1539</v>
      </c>
      <c r="F645" s="8" t="s">
        <v>1540</v>
      </c>
      <c r="G645" s="8" t="s">
        <v>374</v>
      </c>
      <c r="H645" s="11" t="s">
        <v>259</v>
      </c>
      <c r="I645" s="11" t="s">
        <v>91</v>
      </c>
      <c r="J645" s="11" t="s">
        <v>275</v>
      </c>
      <c r="K645" s="8" t="s">
        <v>675</v>
      </c>
      <c r="L645" s="8" t="s">
        <v>676</v>
      </c>
      <c r="M645" s="20">
        <v>45488.0</v>
      </c>
      <c r="N645" s="21">
        <v>50.0</v>
      </c>
      <c r="O645" s="22">
        <v>50.0</v>
      </c>
      <c r="P645" s="7"/>
      <c r="Q645" s="7"/>
      <c r="R645" s="7"/>
      <c r="S645" s="17"/>
      <c r="T645" s="10"/>
      <c r="U645" s="10"/>
      <c r="V645" s="10"/>
      <c r="W645" s="10"/>
      <c r="X645" s="10"/>
      <c r="Y645" s="10"/>
      <c r="Z645" s="10"/>
    </row>
    <row r="646" ht="13.5" customHeight="1">
      <c r="A646" s="13" t="s">
        <v>1541</v>
      </c>
      <c r="B646" s="8" t="s">
        <v>167</v>
      </c>
      <c r="C646" s="8" t="s">
        <v>296</v>
      </c>
      <c r="D646" s="8" t="s">
        <v>1282</v>
      </c>
      <c r="E646" s="9" t="s">
        <v>1542</v>
      </c>
      <c r="F646" s="8" t="s">
        <v>1543</v>
      </c>
      <c r="G646" s="8" t="s">
        <v>508</v>
      </c>
      <c r="H646" s="11" t="s">
        <v>259</v>
      </c>
      <c r="I646" s="11" t="s">
        <v>91</v>
      </c>
      <c r="J646" s="11" t="s">
        <v>275</v>
      </c>
      <c r="K646" s="8" t="s">
        <v>675</v>
      </c>
      <c r="L646" s="8" t="s">
        <v>676</v>
      </c>
      <c r="M646" s="20">
        <v>45488.0</v>
      </c>
      <c r="N646" s="21">
        <v>322.0</v>
      </c>
      <c r="O646" s="22">
        <v>380.0</v>
      </c>
      <c r="P646" s="7"/>
      <c r="Q646" s="7"/>
      <c r="R646" s="7"/>
      <c r="S646" s="17"/>
      <c r="T646" s="10"/>
      <c r="U646" s="10"/>
      <c r="V646" s="10"/>
      <c r="W646" s="10"/>
      <c r="X646" s="10"/>
      <c r="Y646" s="10"/>
      <c r="Z646" s="10"/>
    </row>
    <row r="647" ht="13.5" customHeight="1">
      <c r="A647" s="13" t="s">
        <v>1544</v>
      </c>
      <c r="B647" s="8" t="s">
        <v>301</v>
      </c>
      <c r="C647" s="8" t="s">
        <v>296</v>
      </c>
      <c r="D647" s="8" t="s">
        <v>1287</v>
      </c>
      <c r="E647" s="9" t="s">
        <v>1545</v>
      </c>
      <c r="F647" s="8" t="s">
        <v>1546</v>
      </c>
      <c r="G647" s="8" t="s">
        <v>508</v>
      </c>
      <c r="H647" s="11" t="s">
        <v>259</v>
      </c>
      <c r="I647" s="11" t="s">
        <v>91</v>
      </c>
      <c r="J647" s="11" t="s">
        <v>275</v>
      </c>
      <c r="K647" s="8" t="s">
        <v>675</v>
      </c>
      <c r="L647" s="8" t="s">
        <v>676</v>
      </c>
      <c r="M647" s="20">
        <v>45488.0</v>
      </c>
      <c r="N647" s="21">
        <v>50.0</v>
      </c>
      <c r="O647" s="22">
        <v>50.0</v>
      </c>
      <c r="P647" s="7"/>
      <c r="Q647" s="7"/>
      <c r="R647" s="7"/>
      <c r="S647" s="17"/>
      <c r="T647" s="10"/>
      <c r="U647" s="10"/>
      <c r="V647" s="10"/>
      <c r="W647" s="10"/>
      <c r="X647" s="10"/>
      <c r="Y647" s="10"/>
      <c r="Z647" s="10"/>
    </row>
    <row r="648" ht="13.5" customHeight="1">
      <c r="A648" s="13" t="s">
        <v>1547</v>
      </c>
      <c r="B648" s="8" t="s">
        <v>167</v>
      </c>
      <c r="C648" s="8" t="s">
        <v>296</v>
      </c>
      <c r="D648" s="8" t="s">
        <v>1282</v>
      </c>
      <c r="E648" s="9" t="s">
        <v>1548</v>
      </c>
      <c r="F648" s="8" t="s">
        <v>1549</v>
      </c>
      <c r="G648" s="8" t="s">
        <v>1550</v>
      </c>
      <c r="H648" s="11" t="s">
        <v>259</v>
      </c>
      <c r="I648" s="11" t="s">
        <v>260</v>
      </c>
      <c r="J648" s="11" t="s">
        <v>1551</v>
      </c>
      <c r="K648" s="8" t="s">
        <v>675</v>
      </c>
      <c r="L648" s="8" t="s">
        <v>676</v>
      </c>
      <c r="M648" s="20">
        <v>45488.0</v>
      </c>
      <c r="N648" s="21">
        <v>322.0</v>
      </c>
      <c r="O648" s="22">
        <v>380.0</v>
      </c>
      <c r="P648" s="7"/>
      <c r="Q648" s="7"/>
      <c r="R648" s="7"/>
      <c r="S648" s="17"/>
      <c r="T648" s="10"/>
      <c r="U648" s="10"/>
      <c r="V648" s="10"/>
      <c r="W648" s="10"/>
      <c r="X648" s="10"/>
      <c r="Y648" s="10"/>
      <c r="Z648" s="10"/>
    </row>
    <row r="649" ht="13.5" customHeight="1">
      <c r="A649" s="13" t="s">
        <v>1552</v>
      </c>
      <c r="B649" s="8" t="s">
        <v>301</v>
      </c>
      <c r="C649" s="8" t="s">
        <v>296</v>
      </c>
      <c r="D649" s="8" t="s">
        <v>1287</v>
      </c>
      <c r="E649" s="9" t="s">
        <v>1553</v>
      </c>
      <c r="F649" s="8" t="s">
        <v>1554</v>
      </c>
      <c r="G649" s="8" t="s">
        <v>1550</v>
      </c>
      <c r="H649" s="11" t="s">
        <v>259</v>
      </c>
      <c r="I649" s="11" t="s">
        <v>260</v>
      </c>
      <c r="J649" s="11" t="s">
        <v>1551</v>
      </c>
      <c r="K649" s="8" t="s">
        <v>675</v>
      </c>
      <c r="L649" s="8" t="s">
        <v>676</v>
      </c>
      <c r="M649" s="20">
        <v>45488.0</v>
      </c>
      <c r="N649" s="21">
        <v>50.0</v>
      </c>
      <c r="O649" s="22">
        <v>50.0</v>
      </c>
      <c r="P649" s="7"/>
      <c r="Q649" s="7"/>
      <c r="R649" s="7"/>
      <c r="S649" s="17"/>
      <c r="T649" s="10"/>
      <c r="U649" s="10"/>
      <c r="V649" s="10"/>
      <c r="W649" s="10"/>
      <c r="X649" s="10"/>
      <c r="Y649" s="10"/>
      <c r="Z649" s="10"/>
    </row>
    <row r="650" ht="13.5" customHeight="1">
      <c r="A650" s="13" t="s">
        <v>1555</v>
      </c>
      <c r="B650" s="8" t="s">
        <v>167</v>
      </c>
      <c r="C650" s="8" t="s">
        <v>296</v>
      </c>
      <c r="D650" s="8" t="s">
        <v>1282</v>
      </c>
      <c r="E650" s="9" t="s">
        <v>1556</v>
      </c>
      <c r="F650" s="8" t="s">
        <v>1557</v>
      </c>
      <c r="G650" s="8" t="s">
        <v>1558</v>
      </c>
      <c r="H650" s="11" t="s">
        <v>259</v>
      </c>
      <c r="I650" s="11" t="s">
        <v>260</v>
      </c>
      <c r="J650" s="11" t="s">
        <v>1551</v>
      </c>
      <c r="K650" s="8" t="s">
        <v>675</v>
      </c>
      <c r="L650" s="8" t="s">
        <v>676</v>
      </c>
      <c r="M650" s="20">
        <v>45488.0</v>
      </c>
      <c r="N650" s="21">
        <v>322.0</v>
      </c>
      <c r="O650" s="22">
        <v>380.0</v>
      </c>
      <c r="P650" s="7"/>
      <c r="Q650" s="7"/>
      <c r="R650" s="7"/>
      <c r="S650" s="17"/>
      <c r="T650" s="10"/>
      <c r="U650" s="10"/>
      <c r="V650" s="10"/>
      <c r="W650" s="10"/>
      <c r="X650" s="10"/>
      <c r="Y650" s="10"/>
      <c r="Z650" s="10"/>
    </row>
    <row r="651" ht="13.5" customHeight="1">
      <c r="A651" s="13" t="s">
        <v>1559</v>
      </c>
      <c r="B651" s="8" t="s">
        <v>301</v>
      </c>
      <c r="C651" s="8" t="s">
        <v>296</v>
      </c>
      <c r="D651" s="8" t="s">
        <v>1287</v>
      </c>
      <c r="E651" s="9" t="s">
        <v>1560</v>
      </c>
      <c r="F651" s="8" t="s">
        <v>1561</v>
      </c>
      <c r="G651" s="8" t="s">
        <v>1558</v>
      </c>
      <c r="H651" s="11" t="s">
        <v>259</v>
      </c>
      <c r="I651" s="11" t="s">
        <v>260</v>
      </c>
      <c r="J651" s="11" t="s">
        <v>1551</v>
      </c>
      <c r="K651" s="8" t="s">
        <v>675</v>
      </c>
      <c r="L651" s="8" t="s">
        <v>676</v>
      </c>
      <c r="M651" s="20">
        <v>45488.0</v>
      </c>
      <c r="N651" s="21">
        <v>50.0</v>
      </c>
      <c r="O651" s="22">
        <v>50.0</v>
      </c>
      <c r="P651" s="7"/>
      <c r="Q651" s="7"/>
      <c r="R651" s="7"/>
      <c r="S651" s="17"/>
      <c r="T651" s="10"/>
      <c r="U651" s="10"/>
      <c r="V651" s="10"/>
      <c r="W651" s="10"/>
      <c r="X651" s="10"/>
      <c r="Y651" s="10"/>
      <c r="Z651" s="10"/>
    </row>
    <row r="652" ht="13.5" customHeight="1">
      <c r="A652" s="13" t="s">
        <v>1562</v>
      </c>
      <c r="B652" s="8" t="s">
        <v>167</v>
      </c>
      <c r="C652" s="8" t="s">
        <v>296</v>
      </c>
      <c r="D652" s="8" t="s">
        <v>1282</v>
      </c>
      <c r="E652" s="9" t="s">
        <v>1563</v>
      </c>
      <c r="F652" s="8" t="s">
        <v>1564</v>
      </c>
      <c r="G652" s="8" t="s">
        <v>1565</v>
      </c>
      <c r="H652" s="11" t="s">
        <v>259</v>
      </c>
      <c r="I652" s="11" t="s">
        <v>260</v>
      </c>
      <c r="J652" s="11" t="s">
        <v>294</v>
      </c>
      <c r="K652" s="8" t="s">
        <v>675</v>
      </c>
      <c r="L652" s="8" t="s">
        <v>676</v>
      </c>
      <c r="M652" s="20">
        <v>45488.0</v>
      </c>
      <c r="N652" s="21">
        <v>322.0</v>
      </c>
      <c r="O652" s="22">
        <v>380.0</v>
      </c>
      <c r="P652" s="7"/>
      <c r="Q652" s="7"/>
      <c r="R652" s="7"/>
      <c r="S652" s="17"/>
      <c r="T652" s="10"/>
      <c r="U652" s="10"/>
      <c r="V652" s="10"/>
      <c r="W652" s="10"/>
      <c r="X652" s="10"/>
      <c r="Y652" s="10"/>
      <c r="Z652" s="10"/>
    </row>
    <row r="653" ht="13.5" customHeight="1">
      <c r="A653" s="13" t="s">
        <v>1566</v>
      </c>
      <c r="B653" s="8" t="s">
        <v>301</v>
      </c>
      <c r="C653" s="8" t="s">
        <v>296</v>
      </c>
      <c r="D653" s="8" t="s">
        <v>1287</v>
      </c>
      <c r="E653" s="9" t="s">
        <v>1567</v>
      </c>
      <c r="F653" s="8" t="s">
        <v>1568</v>
      </c>
      <c r="G653" s="8" t="s">
        <v>1565</v>
      </c>
      <c r="H653" s="11" t="s">
        <v>259</v>
      </c>
      <c r="I653" s="11" t="s">
        <v>260</v>
      </c>
      <c r="J653" s="11" t="s">
        <v>294</v>
      </c>
      <c r="K653" s="8" t="s">
        <v>675</v>
      </c>
      <c r="L653" s="8" t="s">
        <v>676</v>
      </c>
      <c r="M653" s="20">
        <v>45488.0</v>
      </c>
      <c r="N653" s="21">
        <v>50.0</v>
      </c>
      <c r="O653" s="22">
        <v>50.0</v>
      </c>
      <c r="P653" s="7"/>
      <c r="Q653" s="7"/>
      <c r="R653" s="7"/>
      <c r="S653" s="17"/>
      <c r="T653" s="10"/>
      <c r="U653" s="10"/>
      <c r="V653" s="10"/>
      <c r="W653" s="10"/>
      <c r="X653" s="10"/>
      <c r="Y653" s="10"/>
      <c r="Z653" s="10"/>
    </row>
    <row r="654" ht="13.5" customHeight="1">
      <c r="A654" s="13" t="s">
        <v>1569</v>
      </c>
      <c r="B654" s="8" t="s">
        <v>167</v>
      </c>
      <c r="C654" s="8" t="s">
        <v>296</v>
      </c>
      <c r="D654" s="8" t="s">
        <v>1282</v>
      </c>
      <c r="E654" s="9" t="s">
        <v>1570</v>
      </c>
      <c r="F654" s="8" t="s">
        <v>1571</v>
      </c>
      <c r="G654" s="8" t="s">
        <v>787</v>
      </c>
      <c r="H654" s="11" t="s">
        <v>259</v>
      </c>
      <c r="I654" s="11" t="s">
        <v>260</v>
      </c>
      <c r="J654" s="11" t="s">
        <v>294</v>
      </c>
      <c r="K654" s="8" t="s">
        <v>675</v>
      </c>
      <c r="L654" s="8" t="s">
        <v>676</v>
      </c>
      <c r="M654" s="20">
        <v>45488.0</v>
      </c>
      <c r="N654" s="21">
        <v>322.0</v>
      </c>
      <c r="O654" s="22">
        <v>380.0</v>
      </c>
      <c r="P654" s="7"/>
      <c r="Q654" s="7"/>
      <c r="R654" s="7"/>
      <c r="S654" s="17"/>
      <c r="T654" s="10"/>
      <c r="U654" s="10"/>
      <c r="V654" s="10"/>
      <c r="W654" s="10"/>
      <c r="X654" s="10"/>
      <c r="Y654" s="10"/>
      <c r="Z654" s="10"/>
    </row>
    <row r="655" ht="13.5" customHeight="1">
      <c r="A655" s="13" t="s">
        <v>1572</v>
      </c>
      <c r="B655" s="8" t="s">
        <v>301</v>
      </c>
      <c r="C655" s="8" t="s">
        <v>296</v>
      </c>
      <c r="D655" s="8" t="s">
        <v>1287</v>
      </c>
      <c r="E655" s="9" t="s">
        <v>1573</v>
      </c>
      <c r="F655" s="8" t="s">
        <v>1574</v>
      </c>
      <c r="G655" s="8" t="s">
        <v>787</v>
      </c>
      <c r="H655" s="11" t="s">
        <v>259</v>
      </c>
      <c r="I655" s="11" t="s">
        <v>260</v>
      </c>
      <c r="J655" s="11" t="s">
        <v>294</v>
      </c>
      <c r="K655" s="8" t="s">
        <v>675</v>
      </c>
      <c r="L655" s="8" t="s">
        <v>676</v>
      </c>
      <c r="M655" s="20">
        <v>45488.0</v>
      </c>
      <c r="N655" s="21">
        <v>50.0</v>
      </c>
      <c r="O655" s="22">
        <v>50.0</v>
      </c>
      <c r="P655" s="7"/>
      <c r="Q655" s="7"/>
      <c r="R655" s="7"/>
      <c r="S655" s="17"/>
      <c r="T655" s="10"/>
      <c r="U655" s="10"/>
      <c r="V655" s="10"/>
      <c r="W655" s="10"/>
      <c r="X655" s="10"/>
      <c r="Y655" s="10"/>
      <c r="Z655" s="10"/>
    </row>
    <row r="656" ht="13.5" customHeight="1">
      <c r="A656" s="13" t="s">
        <v>1575</v>
      </c>
      <c r="B656" s="8" t="s">
        <v>167</v>
      </c>
      <c r="C656" s="8" t="s">
        <v>296</v>
      </c>
      <c r="D656" s="8" t="s">
        <v>1282</v>
      </c>
      <c r="E656" s="9" t="s">
        <v>1576</v>
      </c>
      <c r="F656" s="8" t="s">
        <v>1577</v>
      </c>
      <c r="G656" s="8" t="s">
        <v>780</v>
      </c>
      <c r="H656" s="11" t="s">
        <v>259</v>
      </c>
      <c r="I656" s="11" t="s">
        <v>260</v>
      </c>
      <c r="J656" s="11" t="s">
        <v>294</v>
      </c>
      <c r="K656" s="8" t="s">
        <v>675</v>
      </c>
      <c r="L656" s="8" t="s">
        <v>676</v>
      </c>
      <c r="M656" s="20">
        <v>45488.0</v>
      </c>
      <c r="N656" s="21">
        <v>322.0</v>
      </c>
      <c r="O656" s="22">
        <v>380.0</v>
      </c>
      <c r="P656" s="7"/>
      <c r="Q656" s="7"/>
      <c r="R656" s="7"/>
      <c r="S656" s="17"/>
      <c r="T656" s="10"/>
      <c r="U656" s="10"/>
      <c r="V656" s="10"/>
      <c r="W656" s="10"/>
      <c r="X656" s="10"/>
      <c r="Y656" s="10"/>
      <c r="Z656" s="10"/>
    </row>
    <row r="657" ht="13.5" customHeight="1">
      <c r="A657" s="13" t="s">
        <v>1578</v>
      </c>
      <c r="B657" s="8" t="s">
        <v>301</v>
      </c>
      <c r="C657" s="8" t="s">
        <v>296</v>
      </c>
      <c r="D657" s="8" t="s">
        <v>1287</v>
      </c>
      <c r="E657" s="9" t="s">
        <v>1579</v>
      </c>
      <c r="F657" s="8" t="s">
        <v>1580</v>
      </c>
      <c r="G657" s="8" t="s">
        <v>780</v>
      </c>
      <c r="H657" s="11" t="s">
        <v>259</v>
      </c>
      <c r="I657" s="11" t="s">
        <v>260</v>
      </c>
      <c r="J657" s="11" t="s">
        <v>294</v>
      </c>
      <c r="K657" s="8" t="s">
        <v>675</v>
      </c>
      <c r="L657" s="8" t="s">
        <v>676</v>
      </c>
      <c r="M657" s="20">
        <v>45488.0</v>
      </c>
      <c r="N657" s="21">
        <v>50.0</v>
      </c>
      <c r="O657" s="22">
        <v>50.0</v>
      </c>
      <c r="P657" s="7"/>
      <c r="Q657" s="7"/>
      <c r="R657" s="7"/>
      <c r="S657" s="17"/>
      <c r="T657" s="10"/>
      <c r="U657" s="10"/>
      <c r="V657" s="10"/>
      <c r="W657" s="10"/>
      <c r="X657" s="10"/>
      <c r="Y657" s="10"/>
      <c r="Z657" s="10"/>
    </row>
    <row r="658" ht="13.5" customHeight="1">
      <c r="A658" s="13" t="s">
        <v>1581</v>
      </c>
      <c r="B658" s="8" t="s">
        <v>167</v>
      </c>
      <c r="C658" s="8" t="s">
        <v>296</v>
      </c>
      <c r="D658" s="8" t="s">
        <v>1282</v>
      </c>
      <c r="E658" s="9" t="s">
        <v>1582</v>
      </c>
      <c r="F658" s="8" t="s">
        <v>1583</v>
      </c>
      <c r="G658" s="8" t="s">
        <v>84</v>
      </c>
      <c r="H658" s="11" t="s">
        <v>259</v>
      </c>
      <c r="I658" s="11" t="s">
        <v>260</v>
      </c>
      <c r="J658" s="11" t="s">
        <v>294</v>
      </c>
      <c r="K658" s="8" t="s">
        <v>675</v>
      </c>
      <c r="L658" s="8" t="s">
        <v>676</v>
      </c>
      <c r="M658" s="20">
        <v>45488.0</v>
      </c>
      <c r="N658" s="21">
        <v>322.0</v>
      </c>
      <c r="O658" s="22">
        <v>380.0</v>
      </c>
      <c r="P658" s="7"/>
      <c r="Q658" s="7"/>
      <c r="R658" s="7"/>
      <c r="S658" s="17"/>
      <c r="T658" s="10"/>
      <c r="U658" s="10"/>
      <c r="V658" s="10"/>
      <c r="W658" s="10"/>
      <c r="X658" s="10"/>
      <c r="Y658" s="10"/>
      <c r="Z658" s="10"/>
    </row>
    <row r="659" ht="13.5" customHeight="1">
      <c r="A659" s="13" t="s">
        <v>1584</v>
      </c>
      <c r="B659" s="8" t="s">
        <v>301</v>
      </c>
      <c r="C659" s="8" t="s">
        <v>296</v>
      </c>
      <c r="D659" s="8" t="s">
        <v>1287</v>
      </c>
      <c r="E659" s="9" t="s">
        <v>1585</v>
      </c>
      <c r="F659" s="8" t="s">
        <v>1586</v>
      </c>
      <c r="G659" s="8" t="s">
        <v>84</v>
      </c>
      <c r="H659" s="11" t="s">
        <v>259</v>
      </c>
      <c r="I659" s="11" t="s">
        <v>260</v>
      </c>
      <c r="J659" s="11" t="s">
        <v>294</v>
      </c>
      <c r="K659" s="8" t="s">
        <v>675</v>
      </c>
      <c r="L659" s="8" t="s">
        <v>676</v>
      </c>
      <c r="M659" s="20">
        <v>45488.0</v>
      </c>
      <c r="N659" s="21">
        <v>50.0</v>
      </c>
      <c r="O659" s="22">
        <v>50.0</v>
      </c>
      <c r="P659" s="7"/>
      <c r="Q659" s="7"/>
      <c r="R659" s="7"/>
      <c r="S659" s="17"/>
      <c r="T659" s="10"/>
      <c r="U659" s="10"/>
      <c r="V659" s="10"/>
      <c r="W659" s="10"/>
      <c r="X659" s="10"/>
      <c r="Y659" s="10"/>
      <c r="Z659" s="10"/>
    </row>
    <row r="660" ht="13.5" customHeight="1">
      <c r="A660" s="13" t="s">
        <v>1587</v>
      </c>
      <c r="B660" s="8" t="s">
        <v>167</v>
      </c>
      <c r="C660" s="8" t="s">
        <v>296</v>
      </c>
      <c r="D660" s="8" t="s">
        <v>1282</v>
      </c>
      <c r="E660" s="9" t="s">
        <v>1588</v>
      </c>
      <c r="F660" s="8" t="s">
        <v>1589</v>
      </c>
      <c r="G660" s="8" t="s">
        <v>84</v>
      </c>
      <c r="H660" s="11" t="s">
        <v>259</v>
      </c>
      <c r="I660" s="11" t="s">
        <v>260</v>
      </c>
      <c r="J660" s="11" t="s">
        <v>294</v>
      </c>
      <c r="K660" s="8" t="s">
        <v>675</v>
      </c>
      <c r="L660" s="8" t="s">
        <v>676</v>
      </c>
      <c r="M660" s="20">
        <v>45488.0</v>
      </c>
      <c r="N660" s="21">
        <v>322.0</v>
      </c>
      <c r="O660" s="22">
        <v>380.0</v>
      </c>
      <c r="P660" s="7"/>
      <c r="Q660" s="7"/>
      <c r="R660" s="7"/>
      <c r="S660" s="17"/>
      <c r="T660" s="10"/>
      <c r="U660" s="10"/>
      <c r="V660" s="10"/>
      <c r="W660" s="10"/>
      <c r="X660" s="10"/>
      <c r="Y660" s="10"/>
      <c r="Z660" s="10"/>
    </row>
    <row r="661" ht="13.5" customHeight="1">
      <c r="A661" s="13" t="s">
        <v>1590</v>
      </c>
      <c r="B661" s="8" t="s">
        <v>301</v>
      </c>
      <c r="C661" s="8" t="s">
        <v>296</v>
      </c>
      <c r="D661" s="8" t="s">
        <v>1287</v>
      </c>
      <c r="E661" s="9" t="s">
        <v>1591</v>
      </c>
      <c r="F661" s="8" t="s">
        <v>1592</v>
      </c>
      <c r="G661" s="8" t="s">
        <v>84</v>
      </c>
      <c r="H661" s="11" t="s">
        <v>259</v>
      </c>
      <c r="I661" s="11" t="s">
        <v>260</v>
      </c>
      <c r="J661" s="11" t="s">
        <v>294</v>
      </c>
      <c r="K661" s="8" t="s">
        <v>675</v>
      </c>
      <c r="L661" s="8" t="s">
        <v>676</v>
      </c>
      <c r="M661" s="20">
        <v>45488.0</v>
      </c>
      <c r="N661" s="21">
        <v>50.0</v>
      </c>
      <c r="O661" s="22">
        <v>50.0</v>
      </c>
      <c r="P661" s="7"/>
      <c r="Q661" s="7"/>
      <c r="R661" s="7"/>
      <c r="S661" s="17"/>
      <c r="T661" s="10"/>
      <c r="U661" s="10"/>
      <c r="V661" s="10"/>
      <c r="W661" s="10"/>
      <c r="X661" s="10"/>
      <c r="Y661" s="10"/>
      <c r="Z661" s="10"/>
    </row>
    <row r="662" ht="13.5" customHeight="1">
      <c r="A662" s="13" t="s">
        <v>1593</v>
      </c>
      <c r="B662" s="8" t="s">
        <v>167</v>
      </c>
      <c r="C662" s="8" t="s">
        <v>296</v>
      </c>
      <c r="D662" s="8" t="s">
        <v>1282</v>
      </c>
      <c r="E662" s="9" t="s">
        <v>1594</v>
      </c>
      <c r="F662" s="8" t="s">
        <v>1595</v>
      </c>
      <c r="G662" s="8" t="s">
        <v>84</v>
      </c>
      <c r="H662" s="11" t="s">
        <v>259</v>
      </c>
      <c r="I662" s="11" t="s">
        <v>260</v>
      </c>
      <c r="J662" s="11" t="s">
        <v>294</v>
      </c>
      <c r="K662" s="8" t="s">
        <v>675</v>
      </c>
      <c r="L662" s="8" t="s">
        <v>676</v>
      </c>
      <c r="M662" s="20">
        <v>45488.0</v>
      </c>
      <c r="N662" s="21">
        <v>322.0</v>
      </c>
      <c r="O662" s="22">
        <v>380.0</v>
      </c>
      <c r="P662" s="7"/>
      <c r="Q662" s="7"/>
      <c r="R662" s="7"/>
      <c r="S662" s="17"/>
      <c r="T662" s="10"/>
      <c r="U662" s="10"/>
      <c r="V662" s="10"/>
      <c r="W662" s="10"/>
      <c r="X662" s="10"/>
      <c r="Y662" s="10"/>
      <c r="Z662" s="10"/>
    </row>
    <row r="663" ht="13.5" customHeight="1">
      <c r="A663" s="13" t="s">
        <v>1596</v>
      </c>
      <c r="B663" s="8" t="s">
        <v>301</v>
      </c>
      <c r="C663" s="8" t="s">
        <v>296</v>
      </c>
      <c r="D663" s="8" t="s">
        <v>1287</v>
      </c>
      <c r="E663" s="9" t="s">
        <v>1597</v>
      </c>
      <c r="F663" s="8" t="s">
        <v>1598</v>
      </c>
      <c r="G663" s="8" t="s">
        <v>84</v>
      </c>
      <c r="H663" s="11" t="s">
        <v>259</v>
      </c>
      <c r="I663" s="11" t="s">
        <v>260</v>
      </c>
      <c r="J663" s="11" t="s">
        <v>294</v>
      </c>
      <c r="K663" s="8" t="s">
        <v>675</v>
      </c>
      <c r="L663" s="8" t="s">
        <v>676</v>
      </c>
      <c r="M663" s="20">
        <v>45488.0</v>
      </c>
      <c r="N663" s="21">
        <v>50.0</v>
      </c>
      <c r="O663" s="22">
        <v>50.0</v>
      </c>
      <c r="P663" s="7"/>
      <c r="Q663" s="7"/>
      <c r="R663" s="7"/>
      <c r="S663" s="17"/>
      <c r="T663" s="10"/>
      <c r="U663" s="10"/>
      <c r="V663" s="10"/>
      <c r="W663" s="10"/>
      <c r="X663" s="10"/>
      <c r="Y663" s="10"/>
      <c r="Z663" s="10"/>
    </row>
    <row r="664" ht="13.5" customHeight="1">
      <c r="A664" s="13" t="s">
        <v>1599</v>
      </c>
      <c r="B664" s="8" t="s">
        <v>167</v>
      </c>
      <c r="C664" s="8" t="s">
        <v>296</v>
      </c>
      <c r="D664" s="8" t="s">
        <v>1282</v>
      </c>
      <c r="E664" s="9" t="s">
        <v>1600</v>
      </c>
      <c r="F664" s="8" t="s">
        <v>1601</v>
      </c>
      <c r="G664" s="8" t="s">
        <v>84</v>
      </c>
      <c r="H664" s="11" t="s">
        <v>259</v>
      </c>
      <c r="I664" s="11" t="s">
        <v>260</v>
      </c>
      <c r="J664" s="11" t="s">
        <v>294</v>
      </c>
      <c r="K664" s="8" t="s">
        <v>675</v>
      </c>
      <c r="L664" s="8" t="s">
        <v>676</v>
      </c>
      <c r="M664" s="20">
        <v>45488.0</v>
      </c>
      <c r="N664" s="21">
        <v>322.0</v>
      </c>
      <c r="O664" s="22">
        <v>380.0</v>
      </c>
      <c r="P664" s="36"/>
      <c r="Q664" s="7"/>
      <c r="R664" s="7"/>
      <c r="S664" s="17"/>
      <c r="T664" s="10"/>
      <c r="U664" s="10"/>
      <c r="V664" s="10"/>
      <c r="W664" s="10"/>
      <c r="X664" s="10"/>
      <c r="Y664" s="10"/>
      <c r="Z664" s="10"/>
    </row>
    <row r="665" ht="13.5" customHeight="1">
      <c r="A665" s="13" t="s">
        <v>1602</v>
      </c>
      <c r="B665" s="8" t="s">
        <v>301</v>
      </c>
      <c r="C665" s="8" t="s">
        <v>296</v>
      </c>
      <c r="D665" s="8" t="s">
        <v>1287</v>
      </c>
      <c r="E665" s="9" t="s">
        <v>1603</v>
      </c>
      <c r="F665" s="8" t="s">
        <v>1604</v>
      </c>
      <c r="G665" s="8" t="s">
        <v>84</v>
      </c>
      <c r="H665" s="11" t="s">
        <v>259</v>
      </c>
      <c r="I665" s="11" t="s">
        <v>260</v>
      </c>
      <c r="J665" s="11" t="s">
        <v>294</v>
      </c>
      <c r="K665" s="8" t="s">
        <v>675</v>
      </c>
      <c r="L665" s="8" t="s">
        <v>676</v>
      </c>
      <c r="M665" s="20">
        <v>45488.0</v>
      </c>
      <c r="N665" s="21">
        <v>50.0</v>
      </c>
      <c r="O665" s="22">
        <v>50.0</v>
      </c>
      <c r="P665" s="7"/>
      <c r="Q665" s="7"/>
      <c r="R665" s="7"/>
      <c r="S665" s="17"/>
      <c r="T665" s="10"/>
      <c r="U665" s="10"/>
      <c r="V665" s="10"/>
      <c r="W665" s="10"/>
      <c r="X665" s="10"/>
      <c r="Y665" s="10"/>
      <c r="Z665" s="10"/>
    </row>
    <row r="666" ht="13.5" customHeight="1">
      <c r="A666" s="13" t="s">
        <v>1605</v>
      </c>
      <c r="B666" s="8" t="s">
        <v>167</v>
      </c>
      <c r="C666" s="8" t="s">
        <v>296</v>
      </c>
      <c r="D666" s="8" t="s">
        <v>1282</v>
      </c>
      <c r="E666" s="9" t="s">
        <v>1606</v>
      </c>
      <c r="F666" s="8" t="s">
        <v>1607</v>
      </c>
      <c r="G666" s="8" t="s">
        <v>84</v>
      </c>
      <c r="H666" s="11" t="s">
        <v>259</v>
      </c>
      <c r="I666" s="11" t="s">
        <v>260</v>
      </c>
      <c r="J666" s="11" t="s">
        <v>294</v>
      </c>
      <c r="K666" s="8" t="s">
        <v>675</v>
      </c>
      <c r="L666" s="8" t="s">
        <v>676</v>
      </c>
      <c r="M666" s="20">
        <v>45488.0</v>
      </c>
      <c r="N666" s="21">
        <v>322.0</v>
      </c>
      <c r="O666" s="22">
        <v>380.0</v>
      </c>
      <c r="P666" s="7"/>
      <c r="Q666" s="7"/>
      <c r="R666" s="7"/>
      <c r="S666" s="17"/>
      <c r="T666" s="10"/>
      <c r="U666" s="10"/>
      <c r="V666" s="10"/>
      <c r="W666" s="10"/>
      <c r="X666" s="10"/>
      <c r="Y666" s="10"/>
      <c r="Z666" s="10"/>
    </row>
    <row r="667" ht="13.5" customHeight="1">
      <c r="A667" s="13" t="s">
        <v>1608</v>
      </c>
      <c r="B667" s="8" t="s">
        <v>301</v>
      </c>
      <c r="C667" s="8" t="s">
        <v>296</v>
      </c>
      <c r="D667" s="8" t="s">
        <v>1287</v>
      </c>
      <c r="E667" s="9" t="s">
        <v>1609</v>
      </c>
      <c r="F667" s="8" t="s">
        <v>1610</v>
      </c>
      <c r="G667" s="8" t="s">
        <v>84</v>
      </c>
      <c r="H667" s="11" t="s">
        <v>259</v>
      </c>
      <c r="I667" s="11" t="s">
        <v>260</v>
      </c>
      <c r="J667" s="11" t="s">
        <v>294</v>
      </c>
      <c r="K667" s="8" t="s">
        <v>675</v>
      </c>
      <c r="L667" s="8" t="s">
        <v>676</v>
      </c>
      <c r="M667" s="20">
        <v>45488.0</v>
      </c>
      <c r="N667" s="21">
        <v>50.0</v>
      </c>
      <c r="O667" s="22">
        <v>50.0</v>
      </c>
      <c r="P667" s="7"/>
      <c r="Q667" s="7"/>
      <c r="R667" s="7"/>
      <c r="S667" s="17"/>
      <c r="T667" s="10"/>
      <c r="U667" s="10"/>
      <c r="V667" s="10"/>
      <c r="W667" s="10"/>
      <c r="X667" s="10"/>
      <c r="Y667" s="10"/>
      <c r="Z667" s="10"/>
    </row>
    <row r="668" ht="13.5" customHeight="1">
      <c r="A668" s="13" t="s">
        <v>1611</v>
      </c>
      <c r="B668" s="8" t="s">
        <v>167</v>
      </c>
      <c r="C668" s="8" t="s">
        <v>296</v>
      </c>
      <c r="D668" s="8" t="s">
        <v>1282</v>
      </c>
      <c r="E668" s="9" t="s">
        <v>1612</v>
      </c>
      <c r="F668" s="8" t="s">
        <v>1613</v>
      </c>
      <c r="G668" s="8" t="s">
        <v>84</v>
      </c>
      <c r="H668" s="11" t="s">
        <v>259</v>
      </c>
      <c r="I668" s="11" t="s">
        <v>260</v>
      </c>
      <c r="J668" s="11" t="s">
        <v>294</v>
      </c>
      <c r="K668" s="8" t="s">
        <v>675</v>
      </c>
      <c r="L668" s="8" t="s">
        <v>676</v>
      </c>
      <c r="M668" s="20">
        <v>45488.0</v>
      </c>
      <c r="N668" s="21">
        <v>322.0</v>
      </c>
      <c r="O668" s="22">
        <v>380.0</v>
      </c>
      <c r="P668" s="7"/>
      <c r="Q668" s="7"/>
      <c r="R668" s="7"/>
      <c r="S668" s="17"/>
      <c r="T668" s="10"/>
      <c r="U668" s="10"/>
      <c r="V668" s="10"/>
      <c r="W668" s="10"/>
      <c r="X668" s="10"/>
      <c r="Y668" s="10"/>
      <c r="Z668" s="10"/>
    </row>
    <row r="669" ht="13.5" customHeight="1">
      <c r="A669" s="13" t="s">
        <v>1614</v>
      </c>
      <c r="B669" s="8" t="s">
        <v>301</v>
      </c>
      <c r="C669" s="8" t="s">
        <v>296</v>
      </c>
      <c r="D669" s="8" t="s">
        <v>1287</v>
      </c>
      <c r="E669" s="9" t="s">
        <v>1615</v>
      </c>
      <c r="F669" s="8" t="s">
        <v>1616</v>
      </c>
      <c r="G669" s="8" t="s">
        <v>84</v>
      </c>
      <c r="H669" s="11" t="s">
        <v>259</v>
      </c>
      <c r="I669" s="11" t="s">
        <v>260</v>
      </c>
      <c r="J669" s="11" t="s">
        <v>294</v>
      </c>
      <c r="K669" s="8" t="s">
        <v>675</v>
      </c>
      <c r="L669" s="8" t="s">
        <v>676</v>
      </c>
      <c r="M669" s="20">
        <v>45488.0</v>
      </c>
      <c r="N669" s="21">
        <v>50.0</v>
      </c>
      <c r="O669" s="22">
        <v>50.0</v>
      </c>
      <c r="P669" s="7"/>
      <c r="Q669" s="7"/>
      <c r="R669" s="7"/>
      <c r="S669" s="17"/>
      <c r="T669" s="10"/>
      <c r="U669" s="10"/>
      <c r="V669" s="10"/>
      <c r="W669" s="10"/>
      <c r="X669" s="10"/>
      <c r="Y669" s="10"/>
      <c r="Z669" s="10"/>
    </row>
    <row r="670" ht="13.5" customHeight="1">
      <c r="A670" s="13" t="s">
        <v>1617</v>
      </c>
      <c r="B670" s="8" t="s">
        <v>167</v>
      </c>
      <c r="C670" s="8" t="s">
        <v>296</v>
      </c>
      <c r="D670" s="8" t="s">
        <v>1282</v>
      </c>
      <c r="E670" s="9" t="s">
        <v>1618</v>
      </c>
      <c r="F670" s="8" t="s">
        <v>1619</v>
      </c>
      <c r="G670" s="8" t="s">
        <v>84</v>
      </c>
      <c r="H670" s="11" t="s">
        <v>259</v>
      </c>
      <c r="I670" s="11" t="s">
        <v>260</v>
      </c>
      <c r="J670" s="11" t="s">
        <v>294</v>
      </c>
      <c r="K670" s="8" t="s">
        <v>675</v>
      </c>
      <c r="L670" s="8" t="s">
        <v>676</v>
      </c>
      <c r="M670" s="20">
        <v>45488.0</v>
      </c>
      <c r="N670" s="21">
        <v>322.0</v>
      </c>
      <c r="O670" s="22">
        <v>380.0</v>
      </c>
      <c r="P670" s="7"/>
      <c r="Q670" s="7"/>
      <c r="R670" s="7"/>
      <c r="S670" s="17"/>
      <c r="T670" s="10"/>
      <c r="U670" s="10"/>
      <c r="V670" s="10"/>
      <c r="W670" s="10"/>
      <c r="X670" s="10"/>
      <c r="Y670" s="10"/>
      <c r="Z670" s="10"/>
    </row>
    <row r="671" ht="13.5" customHeight="1">
      <c r="A671" s="13" t="s">
        <v>1620</v>
      </c>
      <c r="B671" s="8" t="s">
        <v>301</v>
      </c>
      <c r="C671" s="8" t="s">
        <v>296</v>
      </c>
      <c r="D671" s="8" t="s">
        <v>1287</v>
      </c>
      <c r="E671" s="9" t="s">
        <v>1621</v>
      </c>
      <c r="F671" s="8" t="s">
        <v>1622</v>
      </c>
      <c r="G671" s="8" t="s">
        <v>84</v>
      </c>
      <c r="H671" s="11" t="s">
        <v>259</v>
      </c>
      <c r="I671" s="11" t="s">
        <v>260</v>
      </c>
      <c r="J671" s="11" t="s">
        <v>294</v>
      </c>
      <c r="K671" s="8" t="s">
        <v>675</v>
      </c>
      <c r="L671" s="8" t="s">
        <v>676</v>
      </c>
      <c r="M671" s="20">
        <v>45488.0</v>
      </c>
      <c r="N671" s="21">
        <v>50.0</v>
      </c>
      <c r="O671" s="22">
        <v>50.0</v>
      </c>
      <c r="P671" s="7"/>
      <c r="Q671" s="7"/>
      <c r="R671" s="7"/>
      <c r="S671" s="17"/>
      <c r="T671" s="10"/>
      <c r="U671" s="10"/>
      <c r="V671" s="10"/>
      <c r="W671" s="10"/>
      <c r="X671" s="10"/>
      <c r="Y671" s="10"/>
      <c r="Z671" s="10"/>
    </row>
    <row r="672" ht="13.5" customHeight="1">
      <c r="A672" s="13" t="s">
        <v>1623</v>
      </c>
      <c r="B672" s="8" t="s">
        <v>167</v>
      </c>
      <c r="C672" s="8" t="s">
        <v>296</v>
      </c>
      <c r="D672" s="8" t="s">
        <v>1282</v>
      </c>
      <c r="E672" s="9" t="s">
        <v>1624</v>
      </c>
      <c r="F672" s="8" t="s">
        <v>1625</v>
      </c>
      <c r="G672" s="8" t="s">
        <v>84</v>
      </c>
      <c r="H672" s="11" t="s">
        <v>259</v>
      </c>
      <c r="I672" s="11" t="s">
        <v>260</v>
      </c>
      <c r="J672" s="11" t="s">
        <v>294</v>
      </c>
      <c r="K672" s="8" t="s">
        <v>675</v>
      </c>
      <c r="L672" s="8" t="s">
        <v>676</v>
      </c>
      <c r="M672" s="20">
        <v>45488.0</v>
      </c>
      <c r="N672" s="21">
        <v>322.0</v>
      </c>
      <c r="O672" s="22">
        <v>380.0</v>
      </c>
      <c r="P672" s="7"/>
      <c r="Q672" s="7"/>
      <c r="R672" s="7"/>
      <c r="S672" s="17"/>
      <c r="T672" s="10"/>
      <c r="U672" s="10"/>
      <c r="V672" s="10"/>
      <c r="W672" s="10"/>
      <c r="X672" s="10"/>
      <c r="Y672" s="10"/>
      <c r="Z672" s="10"/>
    </row>
    <row r="673" ht="13.5" customHeight="1">
      <c r="A673" s="13" t="s">
        <v>1626</v>
      </c>
      <c r="B673" s="8" t="s">
        <v>301</v>
      </c>
      <c r="C673" s="8" t="s">
        <v>296</v>
      </c>
      <c r="D673" s="8" t="s">
        <v>1287</v>
      </c>
      <c r="E673" s="9" t="s">
        <v>1627</v>
      </c>
      <c r="F673" s="8" t="s">
        <v>1628</v>
      </c>
      <c r="G673" s="8" t="s">
        <v>84</v>
      </c>
      <c r="H673" s="11" t="s">
        <v>259</v>
      </c>
      <c r="I673" s="11" t="s">
        <v>260</v>
      </c>
      <c r="J673" s="11" t="s">
        <v>294</v>
      </c>
      <c r="K673" s="8" t="s">
        <v>675</v>
      </c>
      <c r="L673" s="8" t="s">
        <v>676</v>
      </c>
      <c r="M673" s="20">
        <v>45488.0</v>
      </c>
      <c r="N673" s="21">
        <v>50.0</v>
      </c>
      <c r="O673" s="22">
        <v>50.0</v>
      </c>
      <c r="P673" s="7"/>
      <c r="Q673" s="7"/>
      <c r="R673" s="7"/>
      <c r="S673" s="17"/>
      <c r="T673" s="10"/>
      <c r="U673" s="10"/>
      <c r="V673" s="10"/>
      <c r="W673" s="10"/>
      <c r="X673" s="10"/>
      <c r="Y673" s="10"/>
      <c r="Z673" s="10"/>
    </row>
    <row r="674" ht="13.5" customHeight="1">
      <c r="A674" s="13" t="s">
        <v>1629</v>
      </c>
      <c r="B674" s="8" t="s">
        <v>167</v>
      </c>
      <c r="C674" s="8" t="s">
        <v>296</v>
      </c>
      <c r="D674" s="8" t="s">
        <v>1282</v>
      </c>
      <c r="E674" s="9" t="s">
        <v>1630</v>
      </c>
      <c r="F674" s="8" t="s">
        <v>1631</v>
      </c>
      <c r="G674" s="8" t="s">
        <v>84</v>
      </c>
      <c r="H674" s="11" t="s">
        <v>259</v>
      </c>
      <c r="I674" s="11" t="s">
        <v>260</v>
      </c>
      <c r="J674" s="11" t="s">
        <v>294</v>
      </c>
      <c r="K674" s="8" t="s">
        <v>675</v>
      </c>
      <c r="L674" s="8" t="s">
        <v>676</v>
      </c>
      <c r="M674" s="20">
        <v>45488.0</v>
      </c>
      <c r="N674" s="21">
        <v>322.0</v>
      </c>
      <c r="O674" s="22">
        <v>380.0</v>
      </c>
      <c r="P674" s="7"/>
      <c r="Q674" s="7"/>
      <c r="R674" s="7"/>
      <c r="S674" s="17"/>
      <c r="T674" s="10"/>
      <c r="U674" s="10"/>
      <c r="V674" s="10"/>
      <c r="W674" s="10"/>
      <c r="X674" s="10"/>
      <c r="Y674" s="10"/>
      <c r="Z674" s="10"/>
    </row>
    <row r="675" ht="13.5" customHeight="1">
      <c r="A675" s="13" t="s">
        <v>1632</v>
      </c>
      <c r="B675" s="8" t="s">
        <v>301</v>
      </c>
      <c r="C675" s="8" t="s">
        <v>296</v>
      </c>
      <c r="D675" s="8" t="s">
        <v>1287</v>
      </c>
      <c r="E675" s="9" t="s">
        <v>1633</v>
      </c>
      <c r="F675" s="8" t="s">
        <v>1634</v>
      </c>
      <c r="G675" s="8" t="s">
        <v>84</v>
      </c>
      <c r="H675" s="11" t="s">
        <v>259</v>
      </c>
      <c r="I675" s="11" t="s">
        <v>260</v>
      </c>
      <c r="J675" s="11" t="s">
        <v>294</v>
      </c>
      <c r="K675" s="8" t="s">
        <v>675</v>
      </c>
      <c r="L675" s="8" t="s">
        <v>676</v>
      </c>
      <c r="M675" s="20">
        <v>45488.0</v>
      </c>
      <c r="N675" s="21">
        <v>50.0</v>
      </c>
      <c r="O675" s="22">
        <v>50.0</v>
      </c>
      <c r="P675" s="7"/>
      <c r="Q675" s="7"/>
      <c r="R675" s="7"/>
      <c r="S675" s="17"/>
      <c r="T675" s="10"/>
      <c r="U675" s="10"/>
      <c r="V675" s="10"/>
      <c r="W675" s="10"/>
      <c r="X675" s="10"/>
      <c r="Y675" s="10"/>
      <c r="Z675" s="10"/>
    </row>
    <row r="676" ht="13.5" customHeight="1">
      <c r="A676" s="13" t="s">
        <v>1635</v>
      </c>
      <c r="B676" s="8" t="s">
        <v>167</v>
      </c>
      <c r="C676" s="8" t="s">
        <v>296</v>
      </c>
      <c r="D676" s="8" t="s">
        <v>1282</v>
      </c>
      <c r="E676" s="9" t="s">
        <v>1636</v>
      </c>
      <c r="F676" s="8" t="s">
        <v>1637</v>
      </c>
      <c r="G676" s="8" t="s">
        <v>84</v>
      </c>
      <c r="H676" s="11" t="s">
        <v>259</v>
      </c>
      <c r="I676" s="11" t="s">
        <v>260</v>
      </c>
      <c r="J676" s="11" t="s">
        <v>294</v>
      </c>
      <c r="K676" s="8" t="s">
        <v>675</v>
      </c>
      <c r="L676" s="8" t="s">
        <v>676</v>
      </c>
      <c r="M676" s="20">
        <v>45488.0</v>
      </c>
      <c r="N676" s="21">
        <v>322.0</v>
      </c>
      <c r="O676" s="22">
        <v>380.0</v>
      </c>
      <c r="P676" s="7"/>
      <c r="Q676" s="7"/>
      <c r="R676" s="7"/>
      <c r="S676" s="17"/>
      <c r="T676" s="10"/>
      <c r="U676" s="10"/>
      <c r="V676" s="10"/>
      <c r="W676" s="10"/>
      <c r="X676" s="10"/>
      <c r="Y676" s="10"/>
      <c r="Z676" s="10"/>
    </row>
    <row r="677" ht="13.5" customHeight="1">
      <c r="A677" s="13" t="s">
        <v>1638</v>
      </c>
      <c r="B677" s="8" t="s">
        <v>301</v>
      </c>
      <c r="C677" s="8" t="s">
        <v>296</v>
      </c>
      <c r="D677" s="8" t="s">
        <v>1287</v>
      </c>
      <c r="E677" s="9" t="s">
        <v>1639</v>
      </c>
      <c r="F677" s="8" t="s">
        <v>1640</v>
      </c>
      <c r="G677" s="8" t="s">
        <v>84</v>
      </c>
      <c r="H677" s="11" t="s">
        <v>259</v>
      </c>
      <c r="I677" s="11" t="s">
        <v>260</v>
      </c>
      <c r="J677" s="11" t="s">
        <v>294</v>
      </c>
      <c r="K677" s="8" t="s">
        <v>675</v>
      </c>
      <c r="L677" s="8" t="s">
        <v>676</v>
      </c>
      <c r="M677" s="20">
        <v>45488.0</v>
      </c>
      <c r="N677" s="21">
        <v>50.0</v>
      </c>
      <c r="O677" s="22">
        <v>50.0</v>
      </c>
      <c r="P677" s="7"/>
      <c r="Q677" s="7"/>
      <c r="R677" s="7"/>
      <c r="S677" s="17"/>
      <c r="T677" s="10"/>
      <c r="U677" s="10"/>
      <c r="V677" s="10"/>
      <c r="W677" s="10"/>
      <c r="X677" s="10"/>
      <c r="Y677" s="10"/>
      <c r="Z677" s="10"/>
    </row>
    <row r="678" ht="13.5" customHeight="1">
      <c r="A678" s="13" t="s">
        <v>1641</v>
      </c>
      <c r="B678" s="8" t="s">
        <v>167</v>
      </c>
      <c r="C678" s="8" t="s">
        <v>296</v>
      </c>
      <c r="D678" s="8" t="s">
        <v>1282</v>
      </c>
      <c r="E678" s="9" t="s">
        <v>1642</v>
      </c>
      <c r="F678" s="8" t="s">
        <v>1643</v>
      </c>
      <c r="G678" s="8" t="s">
        <v>84</v>
      </c>
      <c r="H678" s="11" t="s">
        <v>259</v>
      </c>
      <c r="I678" s="11" t="s">
        <v>260</v>
      </c>
      <c r="J678" s="11" t="s">
        <v>294</v>
      </c>
      <c r="K678" s="8" t="s">
        <v>675</v>
      </c>
      <c r="L678" s="8" t="s">
        <v>676</v>
      </c>
      <c r="M678" s="20">
        <v>45488.0</v>
      </c>
      <c r="N678" s="21">
        <v>322.0</v>
      </c>
      <c r="O678" s="22">
        <v>380.0</v>
      </c>
      <c r="P678" s="7"/>
      <c r="Q678" s="7"/>
      <c r="R678" s="7"/>
      <c r="S678" s="17"/>
      <c r="T678" s="10"/>
      <c r="U678" s="10"/>
      <c r="V678" s="10"/>
      <c r="W678" s="10"/>
      <c r="X678" s="10"/>
      <c r="Y678" s="10"/>
      <c r="Z678" s="10"/>
    </row>
    <row r="679" ht="13.5" customHeight="1">
      <c r="A679" s="13" t="s">
        <v>1644</v>
      </c>
      <c r="B679" s="8" t="s">
        <v>301</v>
      </c>
      <c r="C679" s="8" t="s">
        <v>296</v>
      </c>
      <c r="D679" s="8" t="s">
        <v>1287</v>
      </c>
      <c r="E679" s="9" t="s">
        <v>1645</v>
      </c>
      <c r="F679" s="8" t="s">
        <v>1646</v>
      </c>
      <c r="G679" s="8" t="s">
        <v>84</v>
      </c>
      <c r="H679" s="11" t="s">
        <v>259</v>
      </c>
      <c r="I679" s="11" t="s">
        <v>260</v>
      </c>
      <c r="J679" s="11" t="s">
        <v>294</v>
      </c>
      <c r="K679" s="8" t="s">
        <v>675</v>
      </c>
      <c r="L679" s="8" t="s">
        <v>676</v>
      </c>
      <c r="M679" s="20">
        <v>45488.0</v>
      </c>
      <c r="N679" s="21">
        <v>50.0</v>
      </c>
      <c r="O679" s="22">
        <v>50.0</v>
      </c>
      <c r="P679" s="7"/>
      <c r="Q679" s="7"/>
      <c r="R679" s="7"/>
      <c r="S679" s="17"/>
      <c r="T679" s="10"/>
      <c r="U679" s="10"/>
      <c r="V679" s="10"/>
      <c r="W679" s="10"/>
      <c r="X679" s="10"/>
      <c r="Y679" s="10"/>
      <c r="Z679" s="10"/>
    </row>
    <row r="680" ht="13.5" customHeight="1">
      <c r="A680" s="13" t="s">
        <v>1647</v>
      </c>
      <c r="B680" s="8" t="s">
        <v>167</v>
      </c>
      <c r="C680" s="8" t="s">
        <v>296</v>
      </c>
      <c r="D680" s="8" t="s">
        <v>1282</v>
      </c>
      <c r="E680" s="9" t="s">
        <v>1648</v>
      </c>
      <c r="F680" s="8" t="s">
        <v>1649</v>
      </c>
      <c r="G680" s="8" t="s">
        <v>84</v>
      </c>
      <c r="H680" s="11" t="s">
        <v>259</v>
      </c>
      <c r="I680" s="11" t="s">
        <v>260</v>
      </c>
      <c r="J680" s="11" t="s">
        <v>294</v>
      </c>
      <c r="K680" s="8" t="s">
        <v>675</v>
      </c>
      <c r="L680" s="8" t="s">
        <v>676</v>
      </c>
      <c r="M680" s="20">
        <v>45488.0</v>
      </c>
      <c r="N680" s="21">
        <v>322.0</v>
      </c>
      <c r="O680" s="22">
        <v>380.0</v>
      </c>
      <c r="P680" s="7"/>
      <c r="Q680" s="7"/>
      <c r="R680" s="7"/>
      <c r="S680" s="17"/>
      <c r="T680" s="10"/>
      <c r="U680" s="10"/>
      <c r="V680" s="10"/>
      <c r="W680" s="10"/>
      <c r="X680" s="10"/>
      <c r="Y680" s="10"/>
      <c r="Z680" s="10"/>
    </row>
    <row r="681" ht="13.5" customHeight="1">
      <c r="A681" s="13" t="s">
        <v>1650</v>
      </c>
      <c r="B681" s="8" t="s">
        <v>301</v>
      </c>
      <c r="C681" s="8" t="s">
        <v>296</v>
      </c>
      <c r="D681" s="8" t="s">
        <v>1287</v>
      </c>
      <c r="E681" s="9" t="s">
        <v>1651</v>
      </c>
      <c r="F681" s="8" t="s">
        <v>1652</v>
      </c>
      <c r="G681" s="8" t="s">
        <v>84</v>
      </c>
      <c r="H681" s="11" t="s">
        <v>259</v>
      </c>
      <c r="I681" s="11" t="s">
        <v>260</v>
      </c>
      <c r="J681" s="11" t="s">
        <v>294</v>
      </c>
      <c r="K681" s="8" t="s">
        <v>675</v>
      </c>
      <c r="L681" s="8" t="s">
        <v>676</v>
      </c>
      <c r="M681" s="20">
        <v>45488.0</v>
      </c>
      <c r="N681" s="21">
        <v>50.0</v>
      </c>
      <c r="O681" s="22">
        <v>50.0</v>
      </c>
      <c r="P681" s="7"/>
      <c r="Q681" s="7"/>
      <c r="R681" s="7"/>
      <c r="S681" s="17"/>
      <c r="T681" s="10"/>
      <c r="U681" s="10"/>
      <c r="V681" s="10"/>
      <c r="W681" s="10"/>
      <c r="X681" s="10"/>
      <c r="Y681" s="10"/>
      <c r="Z681" s="10"/>
    </row>
    <row r="682" ht="13.5" customHeight="1">
      <c r="A682" s="13" t="s">
        <v>1653</v>
      </c>
      <c r="B682" s="8" t="s">
        <v>167</v>
      </c>
      <c r="C682" s="8" t="s">
        <v>296</v>
      </c>
      <c r="D682" s="8" t="s">
        <v>1282</v>
      </c>
      <c r="E682" s="9" t="s">
        <v>1654</v>
      </c>
      <c r="F682" s="8" t="s">
        <v>1655</v>
      </c>
      <c r="G682" s="8" t="s">
        <v>84</v>
      </c>
      <c r="H682" s="11" t="s">
        <v>259</v>
      </c>
      <c r="I682" s="11" t="s">
        <v>260</v>
      </c>
      <c r="J682" s="11" t="s">
        <v>294</v>
      </c>
      <c r="K682" s="8" t="s">
        <v>675</v>
      </c>
      <c r="L682" s="8" t="s">
        <v>676</v>
      </c>
      <c r="M682" s="20">
        <v>45488.0</v>
      </c>
      <c r="N682" s="21">
        <v>322.0</v>
      </c>
      <c r="O682" s="22">
        <v>380.0</v>
      </c>
      <c r="P682" s="7"/>
      <c r="Q682" s="7"/>
      <c r="R682" s="7"/>
      <c r="S682" s="17"/>
      <c r="T682" s="10"/>
      <c r="U682" s="10"/>
      <c r="V682" s="10"/>
      <c r="W682" s="10"/>
      <c r="X682" s="10"/>
      <c r="Y682" s="10"/>
      <c r="Z682" s="10"/>
    </row>
    <row r="683" ht="13.5" customHeight="1">
      <c r="A683" s="13" t="s">
        <v>1656</v>
      </c>
      <c r="B683" s="8" t="s">
        <v>301</v>
      </c>
      <c r="C683" s="8" t="s">
        <v>296</v>
      </c>
      <c r="D683" s="8" t="s">
        <v>1287</v>
      </c>
      <c r="E683" s="9" t="s">
        <v>1657</v>
      </c>
      <c r="F683" s="8" t="s">
        <v>1658</v>
      </c>
      <c r="G683" s="8" t="s">
        <v>84</v>
      </c>
      <c r="H683" s="11" t="s">
        <v>259</v>
      </c>
      <c r="I683" s="11" t="s">
        <v>260</v>
      </c>
      <c r="J683" s="11" t="s">
        <v>294</v>
      </c>
      <c r="K683" s="8" t="s">
        <v>675</v>
      </c>
      <c r="L683" s="8" t="s">
        <v>676</v>
      </c>
      <c r="M683" s="20">
        <v>45488.0</v>
      </c>
      <c r="N683" s="21">
        <v>50.0</v>
      </c>
      <c r="O683" s="22">
        <v>50.0</v>
      </c>
      <c r="P683" s="7"/>
      <c r="Q683" s="7"/>
      <c r="R683" s="7"/>
      <c r="S683" s="17"/>
      <c r="T683" s="10"/>
      <c r="U683" s="10"/>
      <c r="V683" s="10"/>
      <c r="W683" s="10"/>
      <c r="X683" s="10"/>
      <c r="Y683" s="10"/>
      <c r="Z683" s="10"/>
    </row>
    <row r="684" ht="13.5" customHeight="1">
      <c r="A684" s="13" t="s">
        <v>1659</v>
      </c>
      <c r="B684" s="8" t="s">
        <v>167</v>
      </c>
      <c r="C684" s="8" t="s">
        <v>296</v>
      </c>
      <c r="D684" s="8" t="s">
        <v>1282</v>
      </c>
      <c r="E684" s="9" t="s">
        <v>1660</v>
      </c>
      <c r="F684" s="8" t="s">
        <v>1661</v>
      </c>
      <c r="G684" s="8" t="s">
        <v>84</v>
      </c>
      <c r="H684" s="11" t="s">
        <v>259</v>
      </c>
      <c r="I684" s="11" t="s">
        <v>260</v>
      </c>
      <c r="J684" s="11" t="s">
        <v>294</v>
      </c>
      <c r="K684" s="8" t="s">
        <v>675</v>
      </c>
      <c r="L684" s="8" t="s">
        <v>676</v>
      </c>
      <c r="M684" s="20">
        <v>45488.0</v>
      </c>
      <c r="N684" s="21">
        <v>322.0</v>
      </c>
      <c r="O684" s="22">
        <v>380.0</v>
      </c>
      <c r="P684" s="7"/>
      <c r="Q684" s="7"/>
      <c r="R684" s="7"/>
      <c r="S684" s="17"/>
      <c r="T684" s="10"/>
      <c r="U684" s="10"/>
      <c r="V684" s="10"/>
      <c r="W684" s="10"/>
      <c r="X684" s="10"/>
      <c r="Y684" s="10"/>
      <c r="Z684" s="10"/>
    </row>
    <row r="685" ht="13.5" customHeight="1">
      <c r="A685" s="13" t="s">
        <v>1662</v>
      </c>
      <c r="B685" s="8" t="s">
        <v>301</v>
      </c>
      <c r="C685" s="8" t="s">
        <v>296</v>
      </c>
      <c r="D685" s="8" t="s">
        <v>1287</v>
      </c>
      <c r="E685" s="9" t="s">
        <v>1663</v>
      </c>
      <c r="F685" s="8" t="s">
        <v>1664</v>
      </c>
      <c r="G685" s="8" t="s">
        <v>84</v>
      </c>
      <c r="H685" s="11" t="s">
        <v>259</v>
      </c>
      <c r="I685" s="11" t="s">
        <v>260</v>
      </c>
      <c r="J685" s="11" t="s">
        <v>294</v>
      </c>
      <c r="K685" s="8" t="s">
        <v>675</v>
      </c>
      <c r="L685" s="8" t="s">
        <v>676</v>
      </c>
      <c r="M685" s="20">
        <v>45488.0</v>
      </c>
      <c r="N685" s="21">
        <v>50.0</v>
      </c>
      <c r="O685" s="22">
        <v>50.0</v>
      </c>
      <c r="P685" s="7"/>
      <c r="Q685" s="7"/>
      <c r="R685" s="7"/>
      <c r="S685" s="17"/>
      <c r="T685" s="10"/>
      <c r="U685" s="10"/>
      <c r="V685" s="10"/>
      <c r="W685" s="10"/>
      <c r="X685" s="10"/>
      <c r="Y685" s="10"/>
      <c r="Z685" s="10"/>
    </row>
    <row r="686" ht="13.5" customHeight="1">
      <c r="A686" s="13" t="s">
        <v>1665</v>
      </c>
      <c r="B686" s="8" t="s">
        <v>167</v>
      </c>
      <c r="C686" s="8" t="s">
        <v>296</v>
      </c>
      <c r="D686" s="8" t="s">
        <v>1282</v>
      </c>
      <c r="E686" s="9" t="s">
        <v>1666</v>
      </c>
      <c r="F686" s="8" t="s">
        <v>1667</v>
      </c>
      <c r="G686" s="8" t="s">
        <v>84</v>
      </c>
      <c r="H686" s="11" t="s">
        <v>259</v>
      </c>
      <c r="I686" s="11" t="s">
        <v>260</v>
      </c>
      <c r="J686" s="11" t="s">
        <v>294</v>
      </c>
      <c r="K686" s="8" t="s">
        <v>675</v>
      </c>
      <c r="L686" s="8" t="s">
        <v>676</v>
      </c>
      <c r="M686" s="20">
        <v>45488.0</v>
      </c>
      <c r="N686" s="21">
        <v>322.0</v>
      </c>
      <c r="O686" s="22">
        <v>380.0</v>
      </c>
      <c r="P686" s="7"/>
      <c r="Q686" s="7"/>
      <c r="R686" s="7"/>
      <c r="S686" s="17"/>
      <c r="T686" s="10"/>
      <c r="U686" s="10"/>
      <c r="V686" s="10"/>
      <c r="W686" s="10"/>
      <c r="X686" s="10"/>
      <c r="Y686" s="10"/>
      <c r="Z686" s="10"/>
    </row>
    <row r="687" ht="13.5" customHeight="1">
      <c r="A687" s="13" t="s">
        <v>1668</v>
      </c>
      <c r="B687" s="8" t="s">
        <v>301</v>
      </c>
      <c r="C687" s="8" t="s">
        <v>296</v>
      </c>
      <c r="D687" s="8" t="s">
        <v>1287</v>
      </c>
      <c r="E687" s="9" t="s">
        <v>1669</v>
      </c>
      <c r="F687" s="8" t="s">
        <v>1670</v>
      </c>
      <c r="G687" s="8" t="s">
        <v>84</v>
      </c>
      <c r="H687" s="11" t="s">
        <v>259</v>
      </c>
      <c r="I687" s="11" t="s">
        <v>260</v>
      </c>
      <c r="J687" s="11" t="s">
        <v>294</v>
      </c>
      <c r="K687" s="8" t="s">
        <v>675</v>
      </c>
      <c r="L687" s="8" t="s">
        <v>676</v>
      </c>
      <c r="M687" s="20">
        <v>45488.0</v>
      </c>
      <c r="N687" s="21">
        <v>50.0</v>
      </c>
      <c r="O687" s="22">
        <v>50.0</v>
      </c>
      <c r="P687" s="7"/>
      <c r="Q687" s="7"/>
      <c r="R687" s="7"/>
      <c r="S687" s="17"/>
      <c r="T687" s="10"/>
      <c r="U687" s="10"/>
      <c r="V687" s="10"/>
      <c r="W687" s="10"/>
      <c r="X687" s="10"/>
      <c r="Y687" s="10"/>
      <c r="Z687" s="10"/>
    </row>
    <row r="688" ht="13.5" customHeight="1">
      <c r="A688" s="13" t="s">
        <v>1671</v>
      </c>
      <c r="B688" s="8" t="s">
        <v>167</v>
      </c>
      <c r="C688" s="8" t="s">
        <v>296</v>
      </c>
      <c r="D688" s="8" t="s">
        <v>1282</v>
      </c>
      <c r="E688" s="9" t="s">
        <v>1672</v>
      </c>
      <c r="F688" s="8" t="s">
        <v>1673</v>
      </c>
      <c r="G688" s="8" t="s">
        <v>84</v>
      </c>
      <c r="H688" s="11" t="s">
        <v>259</v>
      </c>
      <c r="I688" s="11" t="s">
        <v>260</v>
      </c>
      <c r="J688" s="11" t="s">
        <v>294</v>
      </c>
      <c r="K688" s="8" t="s">
        <v>675</v>
      </c>
      <c r="L688" s="8" t="s">
        <v>676</v>
      </c>
      <c r="M688" s="20">
        <v>45488.0</v>
      </c>
      <c r="N688" s="21">
        <v>322.0</v>
      </c>
      <c r="O688" s="22">
        <v>380.0</v>
      </c>
      <c r="P688" s="7"/>
      <c r="Q688" s="7"/>
      <c r="R688" s="7"/>
      <c r="S688" s="17"/>
      <c r="T688" s="10"/>
      <c r="U688" s="10"/>
      <c r="V688" s="10"/>
      <c r="W688" s="10"/>
      <c r="X688" s="10"/>
      <c r="Y688" s="10"/>
      <c r="Z688" s="10"/>
    </row>
    <row r="689" ht="13.5" customHeight="1">
      <c r="A689" s="13" t="s">
        <v>1674</v>
      </c>
      <c r="B689" s="8" t="s">
        <v>301</v>
      </c>
      <c r="C689" s="8" t="s">
        <v>296</v>
      </c>
      <c r="D689" s="8" t="s">
        <v>1287</v>
      </c>
      <c r="E689" s="9" t="s">
        <v>1675</v>
      </c>
      <c r="F689" s="8" t="s">
        <v>1676</v>
      </c>
      <c r="G689" s="8" t="s">
        <v>84</v>
      </c>
      <c r="H689" s="11" t="s">
        <v>259</v>
      </c>
      <c r="I689" s="11" t="s">
        <v>260</v>
      </c>
      <c r="J689" s="11" t="s">
        <v>294</v>
      </c>
      <c r="K689" s="8" t="s">
        <v>675</v>
      </c>
      <c r="L689" s="8" t="s">
        <v>676</v>
      </c>
      <c r="M689" s="20">
        <v>45488.0</v>
      </c>
      <c r="N689" s="21">
        <v>50.0</v>
      </c>
      <c r="O689" s="22">
        <v>50.0</v>
      </c>
      <c r="P689" s="7"/>
      <c r="Q689" s="7"/>
      <c r="R689" s="7"/>
      <c r="S689" s="17"/>
      <c r="T689" s="10"/>
      <c r="U689" s="10"/>
      <c r="V689" s="10"/>
      <c r="W689" s="10"/>
      <c r="X689" s="10"/>
      <c r="Y689" s="10"/>
      <c r="Z689" s="10"/>
    </row>
    <row r="690" ht="13.5" customHeight="1">
      <c r="A690" s="13" t="s">
        <v>1677</v>
      </c>
      <c r="B690" s="8" t="s">
        <v>167</v>
      </c>
      <c r="C690" s="8" t="s">
        <v>296</v>
      </c>
      <c r="D690" s="8" t="s">
        <v>1282</v>
      </c>
      <c r="E690" s="9" t="s">
        <v>1678</v>
      </c>
      <c r="F690" s="8" t="s">
        <v>1679</v>
      </c>
      <c r="G690" s="8" t="s">
        <v>84</v>
      </c>
      <c r="H690" s="11" t="s">
        <v>259</v>
      </c>
      <c r="I690" s="11" t="s">
        <v>260</v>
      </c>
      <c r="J690" s="11" t="s">
        <v>294</v>
      </c>
      <c r="K690" s="8" t="s">
        <v>675</v>
      </c>
      <c r="L690" s="8" t="s">
        <v>676</v>
      </c>
      <c r="M690" s="20">
        <v>45488.0</v>
      </c>
      <c r="N690" s="21">
        <v>322.0</v>
      </c>
      <c r="O690" s="22">
        <v>380.0</v>
      </c>
      <c r="P690" s="7"/>
      <c r="Q690" s="7"/>
      <c r="R690" s="7"/>
      <c r="S690" s="17"/>
      <c r="T690" s="10"/>
      <c r="U690" s="10"/>
      <c r="V690" s="10"/>
      <c r="W690" s="10"/>
      <c r="X690" s="10"/>
      <c r="Y690" s="10"/>
      <c r="Z690" s="10"/>
    </row>
    <row r="691" ht="13.5" customHeight="1">
      <c r="A691" s="13" t="s">
        <v>1680</v>
      </c>
      <c r="B691" s="8" t="s">
        <v>301</v>
      </c>
      <c r="C691" s="8" t="s">
        <v>296</v>
      </c>
      <c r="D691" s="8" t="s">
        <v>1287</v>
      </c>
      <c r="E691" s="9" t="s">
        <v>1681</v>
      </c>
      <c r="F691" s="8" t="s">
        <v>1682</v>
      </c>
      <c r="G691" s="8" t="s">
        <v>84</v>
      </c>
      <c r="H691" s="11" t="s">
        <v>259</v>
      </c>
      <c r="I691" s="11" t="s">
        <v>260</v>
      </c>
      <c r="J691" s="11" t="s">
        <v>294</v>
      </c>
      <c r="K691" s="8" t="s">
        <v>675</v>
      </c>
      <c r="L691" s="8" t="s">
        <v>676</v>
      </c>
      <c r="M691" s="20">
        <v>45488.0</v>
      </c>
      <c r="N691" s="21">
        <v>50.0</v>
      </c>
      <c r="O691" s="22">
        <v>50.0</v>
      </c>
      <c r="P691" s="7"/>
      <c r="Q691" s="7"/>
      <c r="R691" s="7"/>
      <c r="S691" s="17"/>
      <c r="T691" s="10"/>
      <c r="U691" s="10"/>
      <c r="V691" s="10"/>
      <c r="W691" s="10"/>
      <c r="X691" s="10"/>
      <c r="Y691" s="10"/>
      <c r="Z691" s="10"/>
    </row>
    <row r="692" ht="13.5" customHeight="1">
      <c r="A692" s="13" t="s">
        <v>1683</v>
      </c>
      <c r="B692" s="8" t="s">
        <v>167</v>
      </c>
      <c r="C692" s="8" t="s">
        <v>296</v>
      </c>
      <c r="D692" s="8" t="s">
        <v>1282</v>
      </c>
      <c r="E692" s="9" t="s">
        <v>1684</v>
      </c>
      <c r="F692" s="8" t="s">
        <v>1685</v>
      </c>
      <c r="G692" s="8" t="s">
        <v>84</v>
      </c>
      <c r="H692" s="11" t="s">
        <v>259</v>
      </c>
      <c r="I692" s="11" t="s">
        <v>260</v>
      </c>
      <c r="J692" s="11" t="s">
        <v>294</v>
      </c>
      <c r="K692" s="8" t="s">
        <v>675</v>
      </c>
      <c r="L692" s="8" t="s">
        <v>676</v>
      </c>
      <c r="M692" s="20">
        <v>45488.0</v>
      </c>
      <c r="N692" s="21">
        <v>322.0</v>
      </c>
      <c r="O692" s="22">
        <v>380.0</v>
      </c>
      <c r="P692" s="7"/>
      <c r="Q692" s="7"/>
      <c r="R692" s="7"/>
      <c r="S692" s="17"/>
      <c r="T692" s="10"/>
      <c r="U692" s="10"/>
      <c r="V692" s="10"/>
      <c r="W692" s="10"/>
      <c r="X692" s="10"/>
      <c r="Y692" s="10"/>
      <c r="Z692" s="10"/>
    </row>
    <row r="693" ht="13.5" customHeight="1">
      <c r="A693" s="13" t="s">
        <v>1686</v>
      </c>
      <c r="B693" s="8" t="s">
        <v>301</v>
      </c>
      <c r="C693" s="8" t="s">
        <v>296</v>
      </c>
      <c r="D693" s="8" t="s">
        <v>1287</v>
      </c>
      <c r="E693" s="9" t="s">
        <v>1687</v>
      </c>
      <c r="F693" s="8" t="s">
        <v>1688</v>
      </c>
      <c r="G693" s="8" t="s">
        <v>84</v>
      </c>
      <c r="H693" s="11" t="s">
        <v>259</v>
      </c>
      <c r="I693" s="11" t="s">
        <v>260</v>
      </c>
      <c r="J693" s="11" t="s">
        <v>294</v>
      </c>
      <c r="K693" s="8" t="s">
        <v>675</v>
      </c>
      <c r="L693" s="8" t="s">
        <v>676</v>
      </c>
      <c r="M693" s="20">
        <v>45488.0</v>
      </c>
      <c r="N693" s="21">
        <v>50.0</v>
      </c>
      <c r="O693" s="22">
        <v>50.0</v>
      </c>
      <c r="P693" s="7"/>
      <c r="Q693" s="7"/>
      <c r="R693" s="7"/>
      <c r="S693" s="17"/>
      <c r="T693" s="10"/>
      <c r="U693" s="10"/>
      <c r="V693" s="10"/>
      <c r="W693" s="10"/>
      <c r="X693" s="10"/>
      <c r="Y693" s="10"/>
      <c r="Z693" s="10"/>
    </row>
    <row r="694" ht="13.5" customHeight="1">
      <c r="A694" s="8" t="s">
        <v>1689</v>
      </c>
      <c r="B694" s="8" t="s">
        <v>67</v>
      </c>
      <c r="C694" s="8" t="s">
        <v>68</v>
      </c>
      <c r="D694" s="8" t="s">
        <v>1690</v>
      </c>
      <c r="E694" s="9" t="s">
        <v>1691</v>
      </c>
      <c r="F694" s="8" t="s">
        <v>1692</v>
      </c>
      <c r="G694" s="8" t="s">
        <v>882</v>
      </c>
      <c r="H694" s="11" t="s">
        <v>670</v>
      </c>
      <c r="I694" s="11" t="s">
        <v>883</v>
      </c>
      <c r="J694" s="11" t="s">
        <v>884</v>
      </c>
      <c r="K694" s="8" t="s">
        <v>675</v>
      </c>
      <c r="L694" s="8" t="s">
        <v>676</v>
      </c>
      <c r="M694" s="20">
        <v>45489.0</v>
      </c>
      <c r="N694" s="21">
        <v>2864.0</v>
      </c>
      <c r="O694" s="22">
        <v>3000.0</v>
      </c>
      <c r="P694" s="7"/>
      <c r="Q694" s="7"/>
      <c r="R694" s="7"/>
      <c r="S694" s="17"/>
      <c r="T694" s="10"/>
      <c r="U694" s="10"/>
      <c r="V694" s="10"/>
      <c r="W694" s="10"/>
      <c r="X694" s="10"/>
      <c r="Y694" s="10"/>
      <c r="Z694" s="10"/>
    </row>
    <row r="695" ht="13.5" customHeight="1">
      <c r="A695" s="8" t="s">
        <v>1693</v>
      </c>
      <c r="B695" s="8" t="s">
        <v>132</v>
      </c>
      <c r="C695" s="8" t="s">
        <v>68</v>
      </c>
      <c r="D695" s="8" t="s">
        <v>1694</v>
      </c>
      <c r="E695" s="9" t="s">
        <v>1695</v>
      </c>
      <c r="F695" s="8" t="s">
        <v>1696</v>
      </c>
      <c r="G695" s="8" t="s">
        <v>882</v>
      </c>
      <c r="H695" s="11" t="s">
        <v>670</v>
      </c>
      <c r="I695" s="11" t="s">
        <v>883</v>
      </c>
      <c r="J695" s="11" t="s">
        <v>884</v>
      </c>
      <c r="K695" s="8" t="s">
        <v>675</v>
      </c>
      <c r="L695" s="8" t="s">
        <v>676</v>
      </c>
      <c r="M695" s="20">
        <v>45489.0</v>
      </c>
      <c r="N695" s="21">
        <v>300.0</v>
      </c>
      <c r="O695" s="22">
        <v>300.0</v>
      </c>
      <c r="P695" s="7"/>
      <c r="Q695" s="7"/>
      <c r="R695" s="7"/>
      <c r="S695" s="17"/>
      <c r="T695" s="10"/>
      <c r="U695" s="10"/>
      <c r="V695" s="10"/>
      <c r="W695" s="10"/>
      <c r="X695" s="10"/>
      <c r="Y695" s="10"/>
      <c r="Z695" s="10"/>
    </row>
    <row r="696" ht="13.5" customHeight="1">
      <c r="A696" s="8" t="s">
        <v>1697</v>
      </c>
      <c r="B696" s="8" t="s">
        <v>67</v>
      </c>
      <c r="C696" s="8" t="s">
        <v>68</v>
      </c>
      <c r="D696" s="8" t="s">
        <v>1698</v>
      </c>
      <c r="E696" s="9" t="s">
        <v>1699</v>
      </c>
      <c r="F696" s="8" t="s">
        <v>1700</v>
      </c>
      <c r="G696" s="8" t="s">
        <v>1701</v>
      </c>
      <c r="H696" s="11" t="s">
        <v>670</v>
      </c>
      <c r="I696" s="11" t="s">
        <v>260</v>
      </c>
      <c r="J696" s="11" t="s">
        <v>884</v>
      </c>
      <c r="K696" s="8" t="s">
        <v>675</v>
      </c>
      <c r="L696" s="8" t="s">
        <v>676</v>
      </c>
      <c r="M696" s="20">
        <v>45489.0</v>
      </c>
      <c r="N696" s="21">
        <v>4561.0</v>
      </c>
      <c r="O696" s="22">
        <v>7630.0</v>
      </c>
      <c r="P696" s="7"/>
      <c r="Q696" s="7"/>
      <c r="R696" s="7"/>
      <c r="S696" s="20">
        <v>45509.0</v>
      </c>
      <c r="T696" s="10"/>
      <c r="U696" s="10"/>
      <c r="V696" s="10"/>
      <c r="W696" s="10"/>
      <c r="X696" s="10"/>
      <c r="Y696" s="10"/>
      <c r="Z696" s="10"/>
    </row>
    <row r="697" ht="13.5" customHeight="1">
      <c r="A697" s="8" t="s">
        <v>1702</v>
      </c>
      <c r="B697" s="8" t="s">
        <v>132</v>
      </c>
      <c r="C697" s="8" t="s">
        <v>68</v>
      </c>
      <c r="D697" s="8" t="s">
        <v>1703</v>
      </c>
      <c r="E697" s="9" t="s">
        <v>1704</v>
      </c>
      <c r="F697" s="8" t="s">
        <v>1705</v>
      </c>
      <c r="G697" s="8" t="s">
        <v>1701</v>
      </c>
      <c r="H697" s="11" t="s">
        <v>670</v>
      </c>
      <c r="I697" s="11" t="s">
        <v>260</v>
      </c>
      <c r="J697" s="11" t="s">
        <v>884</v>
      </c>
      <c r="K697" s="8" t="s">
        <v>675</v>
      </c>
      <c r="L697" s="8" t="s">
        <v>676</v>
      </c>
      <c r="M697" s="20">
        <v>45489.0</v>
      </c>
      <c r="N697" s="21">
        <v>300.0</v>
      </c>
      <c r="O697" s="22">
        <v>300.0</v>
      </c>
      <c r="P697" s="7"/>
      <c r="Q697" s="7"/>
      <c r="R697" s="7"/>
      <c r="S697" s="20">
        <v>45509.0</v>
      </c>
      <c r="T697" s="10"/>
      <c r="U697" s="10"/>
      <c r="V697" s="10"/>
      <c r="W697" s="10"/>
      <c r="X697" s="10"/>
      <c r="Y697" s="10"/>
      <c r="Z697" s="10"/>
    </row>
    <row r="698" ht="13.5" customHeight="1">
      <c r="A698" s="8" t="s">
        <v>1706</v>
      </c>
      <c r="B698" s="8" t="s">
        <v>132</v>
      </c>
      <c r="C698" s="8" t="s">
        <v>270</v>
      </c>
      <c r="D698" s="8" t="s">
        <v>277</v>
      </c>
      <c r="E698" s="9" t="s">
        <v>1707</v>
      </c>
      <c r="F698" s="8" t="s">
        <v>1708</v>
      </c>
      <c r="G698" s="8" t="s">
        <v>1709</v>
      </c>
      <c r="H698" s="11" t="s">
        <v>670</v>
      </c>
      <c r="I698" s="11" t="s">
        <v>27</v>
      </c>
      <c r="J698" s="11" t="s">
        <v>684</v>
      </c>
      <c r="K698" s="8" t="s">
        <v>675</v>
      </c>
      <c r="L698" s="8" t="s">
        <v>676</v>
      </c>
      <c r="M698" s="20">
        <v>45524.0</v>
      </c>
      <c r="N698" s="21">
        <v>192.5</v>
      </c>
      <c r="O698" s="22">
        <v>250.0</v>
      </c>
      <c r="P698" s="7"/>
      <c r="Q698" s="7"/>
      <c r="R698" s="7"/>
      <c r="S698" s="20">
        <v>45527.0</v>
      </c>
      <c r="T698" s="10"/>
      <c r="U698" s="10"/>
      <c r="V698" s="10"/>
      <c r="W698" s="10"/>
      <c r="X698" s="10"/>
      <c r="Y698" s="10"/>
      <c r="Z698" s="10"/>
    </row>
    <row r="699" ht="13.5" customHeight="1">
      <c r="A699" s="8" t="s">
        <v>1710</v>
      </c>
      <c r="B699" s="8" t="s">
        <v>132</v>
      </c>
      <c r="C699" s="8" t="s">
        <v>270</v>
      </c>
      <c r="D699" s="8" t="s">
        <v>277</v>
      </c>
      <c r="E699" s="9" t="s">
        <v>1711</v>
      </c>
      <c r="F699" s="8" t="s">
        <v>1708</v>
      </c>
      <c r="G699" s="8" t="s">
        <v>84</v>
      </c>
      <c r="H699" s="11" t="s">
        <v>259</v>
      </c>
      <c r="I699" s="11" t="s">
        <v>260</v>
      </c>
      <c r="J699" s="11" t="s">
        <v>294</v>
      </c>
      <c r="K699" s="8" t="s">
        <v>675</v>
      </c>
      <c r="L699" s="8" t="s">
        <v>676</v>
      </c>
      <c r="M699" s="20">
        <v>45524.0</v>
      </c>
      <c r="N699" s="21">
        <v>192.5</v>
      </c>
      <c r="O699" s="22">
        <v>250.0</v>
      </c>
      <c r="P699" s="7"/>
      <c r="Q699" s="7"/>
      <c r="R699" s="7"/>
      <c r="S699" s="20"/>
      <c r="T699" s="10"/>
      <c r="U699" s="10"/>
      <c r="V699" s="10"/>
      <c r="W699" s="10"/>
      <c r="X699" s="10"/>
      <c r="Y699" s="10"/>
      <c r="Z699" s="10"/>
    </row>
    <row r="700" ht="13.5" customHeight="1">
      <c r="A700" s="8" t="s">
        <v>1712</v>
      </c>
      <c r="B700" s="8" t="s">
        <v>801</v>
      </c>
      <c r="C700" s="8" t="s">
        <v>68</v>
      </c>
      <c r="D700" s="8" t="s">
        <v>802</v>
      </c>
      <c r="E700" s="9" t="s">
        <v>1713</v>
      </c>
      <c r="F700" s="8" t="s">
        <v>804</v>
      </c>
      <c r="G700" s="8" t="s">
        <v>777</v>
      </c>
      <c r="H700" s="11" t="s">
        <v>259</v>
      </c>
      <c r="I700" s="11" t="s">
        <v>27</v>
      </c>
      <c r="J700" s="11" t="s">
        <v>635</v>
      </c>
      <c r="K700" s="8" t="s">
        <v>675</v>
      </c>
      <c r="L700" s="8" t="s">
        <v>676</v>
      </c>
      <c r="M700" s="20">
        <v>45528.0</v>
      </c>
      <c r="N700" s="21">
        <v>2035.0</v>
      </c>
      <c r="O700" s="22">
        <v>2250.0</v>
      </c>
      <c r="P700" s="7"/>
      <c r="Q700" s="7"/>
      <c r="R700" s="7"/>
      <c r="S700" s="17"/>
      <c r="T700" s="10"/>
      <c r="U700" s="10"/>
      <c r="V700" s="10"/>
      <c r="W700" s="10"/>
      <c r="X700" s="10"/>
      <c r="Y700" s="10"/>
      <c r="Z700" s="10"/>
    </row>
    <row r="701" ht="13.5" customHeight="1">
      <c r="A701" s="8" t="s">
        <v>1714</v>
      </c>
      <c r="B701" s="8" t="s">
        <v>132</v>
      </c>
      <c r="C701" s="8" t="s">
        <v>68</v>
      </c>
      <c r="D701" s="8" t="s">
        <v>806</v>
      </c>
      <c r="E701" s="9" t="s">
        <v>1715</v>
      </c>
      <c r="F701" s="8" t="s">
        <v>808</v>
      </c>
      <c r="G701" s="8" t="s">
        <v>777</v>
      </c>
      <c r="H701" s="11" t="s">
        <v>259</v>
      </c>
      <c r="I701" s="11" t="s">
        <v>27</v>
      </c>
      <c r="J701" s="11" t="s">
        <v>635</v>
      </c>
      <c r="K701" s="8" t="s">
        <v>675</v>
      </c>
      <c r="L701" s="8" t="s">
        <v>676</v>
      </c>
      <c r="M701" s="20">
        <v>45528.0</v>
      </c>
      <c r="N701" s="21">
        <v>250.0</v>
      </c>
      <c r="O701" s="22">
        <v>300.0</v>
      </c>
      <c r="P701" s="7"/>
      <c r="Q701" s="7"/>
      <c r="R701" s="7"/>
      <c r="S701" s="17"/>
      <c r="T701" s="10"/>
      <c r="U701" s="10"/>
      <c r="V701" s="10"/>
      <c r="W701" s="10"/>
      <c r="X701" s="10"/>
      <c r="Y701" s="10"/>
      <c r="Z701" s="10"/>
    </row>
    <row r="702" ht="13.5" customHeight="1">
      <c r="A702" s="8" t="s">
        <v>1716</v>
      </c>
      <c r="B702" s="8" t="s">
        <v>34</v>
      </c>
      <c r="C702" s="8" t="s">
        <v>68</v>
      </c>
      <c r="D702" s="8" t="s">
        <v>810</v>
      </c>
      <c r="E702" s="9" t="s">
        <v>1717</v>
      </c>
      <c r="F702" s="8" t="s">
        <v>267</v>
      </c>
      <c r="G702" s="8" t="s">
        <v>777</v>
      </c>
      <c r="H702" s="11" t="s">
        <v>259</v>
      </c>
      <c r="I702" s="11" t="s">
        <v>27</v>
      </c>
      <c r="J702" s="11" t="s">
        <v>635</v>
      </c>
      <c r="K702" s="8" t="s">
        <v>675</v>
      </c>
      <c r="L702" s="8" t="s">
        <v>676</v>
      </c>
      <c r="M702" s="20">
        <v>45528.0</v>
      </c>
      <c r="N702" s="21">
        <v>50.0</v>
      </c>
      <c r="O702" s="22">
        <v>50.0</v>
      </c>
      <c r="P702" s="7"/>
      <c r="Q702" s="7"/>
      <c r="R702" s="7"/>
      <c r="S702" s="17"/>
      <c r="T702" s="10"/>
      <c r="U702" s="10"/>
      <c r="V702" s="10"/>
      <c r="W702" s="10"/>
      <c r="X702" s="10"/>
      <c r="Y702" s="10"/>
      <c r="Z702" s="10"/>
    </row>
    <row r="703" ht="13.5" customHeight="1">
      <c r="A703" s="8" t="s">
        <v>1718</v>
      </c>
      <c r="B703" s="8" t="s">
        <v>41</v>
      </c>
      <c r="C703" s="8" t="s">
        <v>68</v>
      </c>
      <c r="D703" s="8" t="s">
        <v>813</v>
      </c>
      <c r="E703" s="9" t="s">
        <v>1719</v>
      </c>
      <c r="F703" s="8" t="s">
        <v>350</v>
      </c>
      <c r="G703" s="8" t="s">
        <v>777</v>
      </c>
      <c r="H703" s="11" t="s">
        <v>259</v>
      </c>
      <c r="I703" s="11" t="s">
        <v>27</v>
      </c>
      <c r="J703" s="11" t="s">
        <v>635</v>
      </c>
      <c r="K703" s="8" t="s">
        <v>675</v>
      </c>
      <c r="L703" s="8" t="s">
        <v>676</v>
      </c>
      <c r="M703" s="20">
        <v>45528.0</v>
      </c>
      <c r="N703" s="21">
        <v>50.0</v>
      </c>
      <c r="O703" s="22">
        <v>50.0</v>
      </c>
      <c r="P703" s="7"/>
      <c r="Q703" s="7"/>
      <c r="R703" s="7"/>
      <c r="S703" s="17"/>
      <c r="T703" s="10"/>
      <c r="U703" s="10"/>
      <c r="V703" s="10"/>
      <c r="W703" s="10"/>
      <c r="X703" s="10"/>
      <c r="Y703" s="10"/>
      <c r="Z703" s="10"/>
    </row>
    <row r="704" ht="13.5" customHeight="1">
      <c r="A704" s="8" t="s">
        <v>1720</v>
      </c>
      <c r="B704" s="8" t="s">
        <v>801</v>
      </c>
      <c r="C704" s="8" t="s">
        <v>68</v>
      </c>
      <c r="D704" s="8" t="s">
        <v>802</v>
      </c>
      <c r="E704" s="9" t="s">
        <v>1721</v>
      </c>
      <c r="F704" s="8" t="s">
        <v>804</v>
      </c>
      <c r="G704" s="8" t="s">
        <v>662</v>
      </c>
      <c r="H704" s="11" t="s">
        <v>259</v>
      </c>
      <c r="I704" s="11" t="s">
        <v>27</v>
      </c>
      <c r="J704" s="11" t="s">
        <v>635</v>
      </c>
      <c r="K704" s="8" t="s">
        <v>675</v>
      </c>
      <c r="L704" s="17" t="s">
        <v>676</v>
      </c>
      <c r="M704" s="20">
        <v>45528.0</v>
      </c>
      <c r="N704" s="18">
        <v>2035.0</v>
      </c>
      <c r="O704" s="22">
        <v>2250.0</v>
      </c>
      <c r="P704" s="7"/>
      <c r="Q704" s="7"/>
      <c r="R704" s="7"/>
      <c r="S704" s="17"/>
      <c r="T704" s="10"/>
      <c r="U704" s="10"/>
      <c r="V704" s="10"/>
      <c r="W704" s="10"/>
      <c r="X704" s="10"/>
      <c r="Y704" s="10"/>
      <c r="Z704" s="10"/>
    </row>
    <row r="705" ht="13.5" customHeight="1">
      <c r="A705" s="8" t="s">
        <v>1722</v>
      </c>
      <c r="B705" s="8" t="s">
        <v>132</v>
      </c>
      <c r="C705" s="8" t="s">
        <v>68</v>
      </c>
      <c r="D705" s="8" t="s">
        <v>806</v>
      </c>
      <c r="E705" s="9" t="s">
        <v>1723</v>
      </c>
      <c r="F705" s="8" t="s">
        <v>808</v>
      </c>
      <c r="G705" s="8" t="s">
        <v>662</v>
      </c>
      <c r="H705" s="11" t="s">
        <v>259</v>
      </c>
      <c r="I705" s="11" t="s">
        <v>27</v>
      </c>
      <c r="J705" s="11" t="s">
        <v>635</v>
      </c>
      <c r="K705" s="8" t="s">
        <v>675</v>
      </c>
      <c r="L705" s="17" t="s">
        <v>676</v>
      </c>
      <c r="M705" s="20">
        <v>45528.0</v>
      </c>
      <c r="N705" s="18">
        <v>250.0</v>
      </c>
      <c r="O705" s="22">
        <v>300.0</v>
      </c>
      <c r="P705" s="7"/>
      <c r="Q705" s="7"/>
      <c r="R705" s="7"/>
      <c r="S705" s="17"/>
      <c r="T705" s="10"/>
      <c r="U705" s="10"/>
      <c r="V705" s="10"/>
      <c r="W705" s="10"/>
      <c r="X705" s="10"/>
      <c r="Y705" s="10"/>
      <c r="Z705" s="10"/>
    </row>
    <row r="706" ht="13.5" customHeight="1">
      <c r="A706" s="8" t="s">
        <v>1724</v>
      </c>
      <c r="B706" s="8" t="s">
        <v>34</v>
      </c>
      <c r="C706" s="8" t="s">
        <v>68</v>
      </c>
      <c r="D706" s="8" t="s">
        <v>810</v>
      </c>
      <c r="E706" s="9" t="s">
        <v>1725</v>
      </c>
      <c r="F706" s="8" t="s">
        <v>267</v>
      </c>
      <c r="G706" s="8" t="s">
        <v>662</v>
      </c>
      <c r="H706" s="11" t="s">
        <v>259</v>
      </c>
      <c r="I706" s="11" t="s">
        <v>27</v>
      </c>
      <c r="J706" s="11" t="s">
        <v>635</v>
      </c>
      <c r="K706" s="8" t="s">
        <v>675</v>
      </c>
      <c r="L706" s="17" t="s">
        <v>676</v>
      </c>
      <c r="M706" s="20">
        <v>45528.0</v>
      </c>
      <c r="N706" s="18">
        <v>50.0</v>
      </c>
      <c r="O706" s="22">
        <v>50.0</v>
      </c>
      <c r="P706" s="7"/>
      <c r="Q706" s="7"/>
      <c r="R706" s="7"/>
      <c r="S706" s="17"/>
      <c r="T706" s="10"/>
      <c r="U706" s="10"/>
      <c r="V706" s="10"/>
      <c r="W706" s="10"/>
      <c r="X706" s="10"/>
      <c r="Y706" s="10"/>
      <c r="Z706" s="10"/>
    </row>
    <row r="707" ht="13.5" customHeight="1">
      <c r="A707" s="8" t="s">
        <v>1726</v>
      </c>
      <c r="B707" s="8" t="s">
        <v>41</v>
      </c>
      <c r="C707" s="8" t="s">
        <v>68</v>
      </c>
      <c r="D707" s="8" t="s">
        <v>813</v>
      </c>
      <c r="E707" s="9" t="s">
        <v>1727</v>
      </c>
      <c r="F707" s="8" t="s">
        <v>350</v>
      </c>
      <c r="G707" s="8" t="s">
        <v>662</v>
      </c>
      <c r="H707" s="11" t="s">
        <v>259</v>
      </c>
      <c r="I707" s="11" t="s">
        <v>27</v>
      </c>
      <c r="J707" s="11" t="s">
        <v>635</v>
      </c>
      <c r="K707" s="8" t="s">
        <v>675</v>
      </c>
      <c r="L707" s="17" t="s">
        <v>676</v>
      </c>
      <c r="M707" s="20">
        <v>45528.0</v>
      </c>
      <c r="N707" s="18">
        <v>50.0</v>
      </c>
      <c r="O707" s="22">
        <v>50.0</v>
      </c>
      <c r="P707" s="7"/>
      <c r="Q707" s="7"/>
      <c r="R707" s="7"/>
      <c r="S707" s="17"/>
      <c r="T707" s="10"/>
      <c r="U707" s="10"/>
      <c r="V707" s="10"/>
      <c r="W707" s="10"/>
      <c r="X707" s="10"/>
      <c r="Y707" s="10"/>
      <c r="Z707" s="10"/>
    </row>
    <row r="708" ht="13.5" customHeight="1">
      <c r="A708" s="8" t="s">
        <v>1728</v>
      </c>
      <c r="B708" s="8" t="s">
        <v>56</v>
      </c>
      <c r="C708" s="8" t="s">
        <v>1729</v>
      </c>
      <c r="D708" s="8" t="s">
        <v>1730</v>
      </c>
      <c r="E708" s="14" t="s">
        <v>1731</v>
      </c>
      <c r="F708" s="8" t="s">
        <v>1732</v>
      </c>
      <c r="G708" s="8" t="s">
        <v>1733</v>
      </c>
      <c r="H708" s="11" t="s">
        <v>26</v>
      </c>
      <c r="I708" s="11" t="s">
        <v>260</v>
      </c>
      <c r="J708" s="11" t="s">
        <v>1734</v>
      </c>
      <c r="K708" s="8" t="s">
        <v>675</v>
      </c>
      <c r="L708" s="8" t="s">
        <v>1734</v>
      </c>
      <c r="M708" s="20">
        <v>45532.0</v>
      </c>
      <c r="N708" s="21">
        <v>5910.0</v>
      </c>
      <c r="O708" s="22">
        <v>7000.0</v>
      </c>
      <c r="P708" s="7"/>
      <c r="Q708" s="7"/>
      <c r="R708" s="7"/>
      <c r="S708" s="17"/>
      <c r="T708" s="10"/>
      <c r="U708" s="10"/>
      <c r="V708" s="10"/>
      <c r="W708" s="10"/>
      <c r="X708" s="10"/>
      <c r="Y708" s="10"/>
      <c r="Z708" s="10"/>
    </row>
    <row r="709" ht="13.5" customHeight="1">
      <c r="A709" s="8" t="s">
        <v>1735</v>
      </c>
      <c r="B709" s="8" t="s">
        <v>56</v>
      </c>
      <c r="C709" s="8" t="s">
        <v>1729</v>
      </c>
      <c r="D709" s="8" t="s">
        <v>1730</v>
      </c>
      <c r="E709" s="14" t="s">
        <v>1736</v>
      </c>
      <c r="F709" s="8" t="s">
        <v>1732</v>
      </c>
      <c r="G709" s="8" t="s">
        <v>1733</v>
      </c>
      <c r="H709" s="11" t="s">
        <v>103</v>
      </c>
      <c r="I709" s="11" t="s">
        <v>260</v>
      </c>
      <c r="J709" s="11" t="s">
        <v>1734</v>
      </c>
      <c r="K709" s="8" t="s">
        <v>675</v>
      </c>
      <c r="L709" s="8" t="s">
        <v>1734</v>
      </c>
      <c r="M709" s="20">
        <v>45532.0</v>
      </c>
      <c r="N709" s="21">
        <v>5910.0</v>
      </c>
      <c r="O709" s="22">
        <v>7000.0</v>
      </c>
      <c r="P709" s="7"/>
      <c r="Q709" s="7"/>
      <c r="R709" s="7"/>
      <c r="S709" s="17"/>
      <c r="T709" s="10"/>
      <c r="U709" s="10"/>
      <c r="V709" s="10"/>
      <c r="W709" s="10"/>
      <c r="X709" s="10"/>
      <c r="Y709" s="10"/>
      <c r="Z709" s="10"/>
    </row>
    <row r="710" ht="13.5" customHeight="1">
      <c r="A710" s="8" t="s">
        <v>1737</v>
      </c>
      <c r="B710" s="8" t="s">
        <v>98</v>
      </c>
      <c r="C710" s="8" t="s">
        <v>99</v>
      </c>
      <c r="D710" s="8" t="s">
        <v>1738</v>
      </c>
      <c r="E710" s="14" t="s">
        <v>1739</v>
      </c>
      <c r="F710" s="8" t="s">
        <v>1740</v>
      </c>
      <c r="G710" s="8" t="s">
        <v>1733</v>
      </c>
      <c r="H710" s="11" t="s">
        <v>26</v>
      </c>
      <c r="I710" s="11" t="s">
        <v>260</v>
      </c>
      <c r="J710" s="11" t="s">
        <v>1734</v>
      </c>
      <c r="K710" s="8" t="s">
        <v>675</v>
      </c>
      <c r="L710" s="8" t="s">
        <v>1734</v>
      </c>
      <c r="M710" s="20">
        <v>45532.0</v>
      </c>
      <c r="N710" s="21">
        <v>288.0</v>
      </c>
      <c r="O710" s="22">
        <v>350.0</v>
      </c>
      <c r="P710" s="7"/>
      <c r="Q710" s="7"/>
      <c r="R710" s="7"/>
      <c r="S710" s="17"/>
      <c r="T710" s="10"/>
      <c r="U710" s="10"/>
      <c r="V710" s="10"/>
      <c r="W710" s="10"/>
      <c r="X710" s="10"/>
      <c r="Y710" s="10"/>
      <c r="Z710" s="10"/>
    </row>
    <row r="711" ht="13.5" customHeight="1">
      <c r="A711" s="8" t="s">
        <v>1741</v>
      </c>
      <c r="B711" s="8" t="s">
        <v>98</v>
      </c>
      <c r="C711" s="8" t="s">
        <v>99</v>
      </c>
      <c r="D711" s="8" t="s">
        <v>1738</v>
      </c>
      <c r="E711" s="14" t="s">
        <v>1742</v>
      </c>
      <c r="F711" s="8" t="s">
        <v>1740</v>
      </c>
      <c r="G711" s="8" t="s">
        <v>1733</v>
      </c>
      <c r="H711" s="11" t="s">
        <v>103</v>
      </c>
      <c r="I711" s="11" t="s">
        <v>260</v>
      </c>
      <c r="J711" s="11" t="s">
        <v>1734</v>
      </c>
      <c r="K711" s="8" t="s">
        <v>675</v>
      </c>
      <c r="L711" s="8" t="s">
        <v>1734</v>
      </c>
      <c r="M711" s="20">
        <v>45532.0</v>
      </c>
      <c r="N711" s="21">
        <v>288.0</v>
      </c>
      <c r="O711" s="22">
        <v>350.0</v>
      </c>
      <c r="P711" s="7"/>
      <c r="Q711" s="7"/>
      <c r="R711" s="7"/>
      <c r="S711" s="17"/>
      <c r="T711" s="10"/>
      <c r="U711" s="10"/>
      <c r="V711" s="10"/>
      <c r="W711" s="10"/>
      <c r="X711" s="10"/>
      <c r="Y711" s="10"/>
      <c r="Z711" s="10"/>
    </row>
    <row r="712" ht="13.5" customHeight="1">
      <c r="A712" s="8" t="s">
        <v>1743</v>
      </c>
      <c r="B712" s="8" t="s">
        <v>1744</v>
      </c>
      <c r="C712" s="8" t="s">
        <v>153</v>
      </c>
      <c r="D712" s="8" t="s">
        <v>1745</v>
      </c>
      <c r="E712" s="14" t="s">
        <v>1746</v>
      </c>
      <c r="F712" s="8" t="s">
        <v>1747</v>
      </c>
      <c r="G712" s="8" t="s">
        <v>1733</v>
      </c>
      <c r="H712" s="11" t="s">
        <v>26</v>
      </c>
      <c r="I712" s="11" t="s">
        <v>260</v>
      </c>
      <c r="J712" s="11" t="s">
        <v>1734</v>
      </c>
      <c r="K712" s="8" t="s">
        <v>675</v>
      </c>
      <c r="L712" s="8" t="s">
        <v>1734</v>
      </c>
      <c r="M712" s="20">
        <v>45532.0</v>
      </c>
      <c r="N712" s="21">
        <v>56.5</v>
      </c>
      <c r="O712" s="22">
        <v>70.0</v>
      </c>
      <c r="P712" s="7"/>
      <c r="Q712" s="7"/>
      <c r="R712" s="7"/>
      <c r="S712" s="17"/>
      <c r="T712" s="10"/>
      <c r="U712" s="10"/>
      <c r="V712" s="10"/>
      <c r="W712" s="10"/>
      <c r="X712" s="10"/>
      <c r="Y712" s="10"/>
      <c r="Z712" s="10"/>
    </row>
    <row r="713" ht="13.5" customHeight="1">
      <c r="A713" s="8" t="s">
        <v>1748</v>
      </c>
      <c r="B713" s="8" t="s">
        <v>1744</v>
      </c>
      <c r="C713" s="8" t="s">
        <v>153</v>
      </c>
      <c r="D713" s="8" t="s">
        <v>1745</v>
      </c>
      <c r="E713" s="14" t="s">
        <v>1749</v>
      </c>
      <c r="F713" s="8" t="s">
        <v>1747</v>
      </c>
      <c r="G713" s="8" t="s">
        <v>1733</v>
      </c>
      <c r="H713" s="11" t="s">
        <v>103</v>
      </c>
      <c r="I713" s="11" t="s">
        <v>260</v>
      </c>
      <c r="J713" s="11" t="s">
        <v>1734</v>
      </c>
      <c r="K713" s="8" t="s">
        <v>675</v>
      </c>
      <c r="L713" s="8" t="s">
        <v>1734</v>
      </c>
      <c r="M713" s="20">
        <v>45532.0</v>
      </c>
      <c r="N713" s="21">
        <v>56.5</v>
      </c>
      <c r="O713" s="22">
        <v>70.0</v>
      </c>
      <c r="P713" s="7"/>
      <c r="Q713" s="7"/>
      <c r="R713" s="7"/>
      <c r="S713" s="17"/>
      <c r="T713" s="10"/>
      <c r="U713" s="10"/>
      <c r="V713" s="10"/>
      <c r="W713" s="10"/>
      <c r="X713" s="10"/>
      <c r="Y713" s="10"/>
      <c r="Z713" s="10"/>
    </row>
    <row r="714" ht="13.5" customHeight="1">
      <c r="A714" s="8" t="s">
        <v>1750</v>
      </c>
      <c r="B714" s="8" t="s">
        <v>59</v>
      </c>
      <c r="C714" s="8" t="s">
        <v>1751</v>
      </c>
      <c r="D714" s="8" t="s">
        <v>1752</v>
      </c>
      <c r="E714" s="14" t="s">
        <v>1753</v>
      </c>
      <c r="F714" s="8" t="s">
        <v>1754</v>
      </c>
      <c r="G714" s="8" t="s">
        <v>1733</v>
      </c>
      <c r="H714" s="11" t="s">
        <v>26</v>
      </c>
      <c r="I714" s="11" t="s">
        <v>260</v>
      </c>
      <c r="J714" s="11" t="s">
        <v>1734</v>
      </c>
      <c r="K714" s="8" t="s">
        <v>675</v>
      </c>
      <c r="L714" s="8" t="s">
        <v>1734</v>
      </c>
      <c r="M714" s="20">
        <v>45532.0</v>
      </c>
      <c r="N714" s="21">
        <v>49.0</v>
      </c>
      <c r="O714" s="22">
        <v>60.0</v>
      </c>
      <c r="P714" s="7"/>
      <c r="Q714" s="7"/>
      <c r="R714" s="7"/>
      <c r="S714" s="17"/>
      <c r="T714" s="10"/>
      <c r="U714" s="10"/>
      <c r="V714" s="10"/>
      <c r="W714" s="10"/>
      <c r="X714" s="10"/>
      <c r="Y714" s="10"/>
      <c r="Z714" s="10"/>
    </row>
    <row r="715" ht="13.5" customHeight="1">
      <c r="A715" s="8" t="s">
        <v>1755</v>
      </c>
      <c r="B715" s="8" t="s">
        <v>59</v>
      </c>
      <c r="C715" s="8" t="s">
        <v>1751</v>
      </c>
      <c r="D715" s="8" t="s">
        <v>1752</v>
      </c>
      <c r="E715" s="14" t="s">
        <v>1756</v>
      </c>
      <c r="F715" s="8" t="s">
        <v>1754</v>
      </c>
      <c r="G715" s="8" t="s">
        <v>1733</v>
      </c>
      <c r="H715" s="11" t="s">
        <v>103</v>
      </c>
      <c r="I715" s="11" t="s">
        <v>260</v>
      </c>
      <c r="J715" s="11" t="s">
        <v>1734</v>
      </c>
      <c r="K715" s="8" t="s">
        <v>675</v>
      </c>
      <c r="L715" s="8" t="s">
        <v>1734</v>
      </c>
      <c r="M715" s="20">
        <v>45532.0</v>
      </c>
      <c r="N715" s="21">
        <v>49.0</v>
      </c>
      <c r="O715" s="22">
        <v>60.0</v>
      </c>
      <c r="P715" s="7"/>
      <c r="Q715" s="7"/>
      <c r="R715" s="7"/>
      <c r="S715" s="17"/>
      <c r="T715" s="10"/>
      <c r="U715" s="10"/>
      <c r="V715" s="10"/>
      <c r="W715" s="10"/>
      <c r="X715" s="10"/>
      <c r="Y715" s="10"/>
      <c r="Z715" s="10"/>
    </row>
    <row r="716" ht="13.5" customHeight="1">
      <c r="A716" s="8" t="s">
        <v>1757</v>
      </c>
      <c r="B716" s="8" t="s">
        <v>41</v>
      </c>
      <c r="C716" s="8" t="s">
        <v>153</v>
      </c>
      <c r="D716" s="8" t="s">
        <v>1758</v>
      </c>
      <c r="E716" s="14" t="s">
        <v>1759</v>
      </c>
      <c r="F716" s="8" t="s">
        <v>350</v>
      </c>
      <c r="G716" s="8" t="s">
        <v>1733</v>
      </c>
      <c r="H716" s="11" t="s">
        <v>26</v>
      </c>
      <c r="I716" s="11" t="s">
        <v>260</v>
      </c>
      <c r="J716" s="11" t="s">
        <v>1734</v>
      </c>
      <c r="K716" s="8" t="s">
        <v>675</v>
      </c>
      <c r="L716" s="8" t="s">
        <v>1734</v>
      </c>
      <c r="M716" s="20">
        <v>45532.0</v>
      </c>
      <c r="N716" s="21">
        <v>30.0</v>
      </c>
      <c r="O716" s="22">
        <v>40.0</v>
      </c>
      <c r="P716" s="7"/>
      <c r="Q716" s="7"/>
      <c r="R716" s="7"/>
      <c r="S716" s="17"/>
      <c r="T716" s="10"/>
      <c r="U716" s="10"/>
      <c r="V716" s="10"/>
      <c r="W716" s="10"/>
      <c r="X716" s="10"/>
      <c r="Y716" s="10"/>
      <c r="Z716" s="10"/>
    </row>
    <row r="717" ht="13.5" customHeight="1">
      <c r="A717" s="8" t="s">
        <v>1760</v>
      </c>
      <c r="B717" s="8" t="s">
        <v>41</v>
      </c>
      <c r="C717" s="8" t="s">
        <v>153</v>
      </c>
      <c r="D717" s="8" t="s">
        <v>1758</v>
      </c>
      <c r="E717" s="14" t="s">
        <v>1761</v>
      </c>
      <c r="F717" s="8" t="s">
        <v>350</v>
      </c>
      <c r="G717" s="8" t="s">
        <v>1733</v>
      </c>
      <c r="H717" s="11" t="s">
        <v>103</v>
      </c>
      <c r="I717" s="11" t="s">
        <v>260</v>
      </c>
      <c r="J717" s="11" t="s">
        <v>1734</v>
      </c>
      <c r="K717" s="8" t="s">
        <v>675</v>
      </c>
      <c r="L717" s="8" t="s">
        <v>1734</v>
      </c>
      <c r="M717" s="20">
        <v>45532.0</v>
      </c>
      <c r="N717" s="21">
        <v>30.0</v>
      </c>
      <c r="O717" s="22">
        <v>40.0</v>
      </c>
      <c r="P717" s="7"/>
      <c r="Q717" s="7"/>
      <c r="R717" s="7"/>
      <c r="S717" s="17"/>
      <c r="T717" s="10"/>
      <c r="U717" s="10"/>
      <c r="V717" s="10"/>
      <c r="W717" s="10"/>
      <c r="X717" s="10"/>
      <c r="Y717" s="10"/>
      <c r="Z717" s="10"/>
    </row>
    <row r="718" ht="13.5" customHeight="1">
      <c r="A718" s="8" t="s">
        <v>1762</v>
      </c>
      <c r="B718" s="8" t="s">
        <v>34</v>
      </c>
      <c r="C718" s="8" t="s">
        <v>153</v>
      </c>
      <c r="D718" s="8" t="s">
        <v>1763</v>
      </c>
      <c r="E718" s="14" t="s">
        <v>1764</v>
      </c>
      <c r="F718" s="8" t="s">
        <v>267</v>
      </c>
      <c r="G718" s="8" t="s">
        <v>1733</v>
      </c>
      <c r="H718" s="11" t="s">
        <v>26</v>
      </c>
      <c r="I718" s="11" t="s">
        <v>260</v>
      </c>
      <c r="J718" s="11" t="s">
        <v>1734</v>
      </c>
      <c r="K718" s="8" t="s">
        <v>675</v>
      </c>
      <c r="L718" s="8" t="s">
        <v>1734</v>
      </c>
      <c r="M718" s="20">
        <v>45532.0</v>
      </c>
      <c r="N718" s="21">
        <v>15.0</v>
      </c>
      <c r="O718" s="22">
        <v>20.0</v>
      </c>
      <c r="P718" s="7"/>
      <c r="Q718" s="7"/>
      <c r="R718" s="7"/>
      <c r="S718" s="17"/>
      <c r="T718" s="10"/>
      <c r="U718" s="10"/>
      <c r="V718" s="10"/>
      <c r="W718" s="10"/>
      <c r="X718" s="10"/>
      <c r="Y718" s="10"/>
      <c r="Z718" s="10"/>
    </row>
    <row r="719" ht="13.5" customHeight="1">
      <c r="A719" s="8" t="s">
        <v>1765</v>
      </c>
      <c r="B719" s="8" t="s">
        <v>34</v>
      </c>
      <c r="C719" s="8" t="s">
        <v>153</v>
      </c>
      <c r="D719" s="8" t="s">
        <v>1763</v>
      </c>
      <c r="E719" s="14" t="s">
        <v>1764</v>
      </c>
      <c r="F719" s="8" t="s">
        <v>267</v>
      </c>
      <c r="G719" s="8" t="s">
        <v>1733</v>
      </c>
      <c r="H719" s="11" t="s">
        <v>103</v>
      </c>
      <c r="I719" s="11" t="s">
        <v>260</v>
      </c>
      <c r="J719" s="11" t="s">
        <v>1734</v>
      </c>
      <c r="K719" s="8" t="s">
        <v>675</v>
      </c>
      <c r="L719" s="8" t="s">
        <v>1734</v>
      </c>
      <c r="M719" s="20">
        <v>45532.0</v>
      </c>
      <c r="N719" s="21">
        <v>15.0</v>
      </c>
      <c r="O719" s="22">
        <v>20.0</v>
      </c>
      <c r="P719" s="7"/>
      <c r="Q719" s="7"/>
      <c r="R719" s="7"/>
      <c r="S719" s="17"/>
      <c r="T719" s="10"/>
      <c r="U719" s="10"/>
      <c r="V719" s="10"/>
      <c r="W719" s="10"/>
      <c r="X719" s="10"/>
      <c r="Y719" s="10"/>
      <c r="Z719" s="10"/>
    </row>
    <row r="720" ht="13.5" customHeight="1">
      <c r="A720" s="8" t="s">
        <v>1766</v>
      </c>
      <c r="B720" s="8" t="s">
        <v>167</v>
      </c>
      <c r="C720" s="8" t="s">
        <v>1767</v>
      </c>
      <c r="D720" s="8" t="s">
        <v>1768</v>
      </c>
      <c r="E720" s="14" t="s">
        <v>1769</v>
      </c>
      <c r="F720" s="8" t="s">
        <v>1770</v>
      </c>
      <c r="G720" s="8" t="s">
        <v>701</v>
      </c>
      <c r="H720" s="11" t="s">
        <v>666</v>
      </c>
      <c r="I720" s="11" t="s">
        <v>702</v>
      </c>
      <c r="J720" s="11" t="s">
        <v>702</v>
      </c>
      <c r="K720" s="8" t="s">
        <v>675</v>
      </c>
      <c r="L720" s="17" t="s">
        <v>676</v>
      </c>
      <c r="M720" s="20">
        <v>45563.0</v>
      </c>
      <c r="N720" s="21">
        <v>2915.0</v>
      </c>
      <c r="O720" s="22">
        <v>3100.0</v>
      </c>
      <c r="P720" s="7"/>
      <c r="Q720" s="7"/>
      <c r="R720" s="7"/>
      <c r="S720" s="17"/>
      <c r="T720" s="10"/>
      <c r="U720" s="10"/>
      <c r="V720" s="10"/>
      <c r="W720" s="10"/>
      <c r="X720" s="10"/>
      <c r="Y720" s="10"/>
      <c r="Z720" s="10"/>
    </row>
    <row r="721">
      <c r="A721" s="8" t="s">
        <v>1771</v>
      </c>
      <c r="B721" s="8" t="s">
        <v>167</v>
      </c>
      <c r="C721" s="8" t="s">
        <v>296</v>
      </c>
      <c r="D721" s="8" t="s">
        <v>1033</v>
      </c>
      <c r="E721" s="9" t="s">
        <v>1772</v>
      </c>
      <c r="F721" s="8" t="s">
        <v>1773</v>
      </c>
      <c r="G721" s="8" t="s">
        <v>708</v>
      </c>
      <c r="H721" s="11" t="s">
        <v>670</v>
      </c>
      <c r="I721" s="11" t="s">
        <v>260</v>
      </c>
      <c r="J721" s="11" t="s">
        <v>261</v>
      </c>
      <c r="K721" s="8" t="s">
        <v>675</v>
      </c>
      <c r="L721" s="8" t="s">
        <v>676</v>
      </c>
      <c r="M721" s="20">
        <v>45673.0</v>
      </c>
      <c r="N721" s="21">
        <v>800.0</v>
      </c>
      <c r="O721" s="22">
        <v>900.0</v>
      </c>
      <c r="P721" s="8" t="s">
        <v>709</v>
      </c>
      <c r="Q721" s="7"/>
      <c r="R721" s="7"/>
      <c r="S721" s="17"/>
      <c r="T721" s="10"/>
      <c r="U721" s="10"/>
      <c r="V721" s="10"/>
      <c r="W721" s="10"/>
      <c r="X721" s="10"/>
      <c r="Y721" s="10"/>
      <c r="Z721" s="10"/>
    </row>
    <row r="722">
      <c r="A722" s="8" t="s">
        <v>1774</v>
      </c>
      <c r="B722" s="8" t="s">
        <v>301</v>
      </c>
      <c r="C722" s="8" t="s">
        <v>296</v>
      </c>
      <c r="D722" s="8" t="s">
        <v>1037</v>
      </c>
      <c r="E722" s="9" t="s">
        <v>1038</v>
      </c>
      <c r="F722" s="8" t="s">
        <v>1775</v>
      </c>
      <c r="G722" s="8" t="s">
        <v>708</v>
      </c>
      <c r="H722" s="11" t="s">
        <v>670</v>
      </c>
      <c r="I722" s="11" t="s">
        <v>260</v>
      </c>
      <c r="J722" s="11" t="s">
        <v>261</v>
      </c>
      <c r="K722" s="8" t="s">
        <v>675</v>
      </c>
      <c r="L722" s="8" t="s">
        <v>676</v>
      </c>
      <c r="M722" s="20">
        <v>45673.0</v>
      </c>
      <c r="N722" s="21">
        <v>60.0</v>
      </c>
      <c r="O722" s="22">
        <v>70.0</v>
      </c>
      <c r="P722" s="8" t="s">
        <v>709</v>
      </c>
      <c r="Q722" s="7"/>
      <c r="R722" s="7"/>
      <c r="S722" s="17"/>
      <c r="T722" s="10"/>
      <c r="U722" s="10"/>
      <c r="V722" s="10"/>
      <c r="W722" s="10"/>
      <c r="X722" s="10"/>
      <c r="Y722" s="10"/>
      <c r="Z722" s="10"/>
    </row>
    <row r="723">
      <c r="A723" s="10"/>
      <c r="B723" s="11" t="s">
        <v>67</v>
      </c>
      <c r="C723" s="11" t="s">
        <v>125</v>
      </c>
      <c r="D723" s="11" t="s">
        <v>1776</v>
      </c>
      <c r="E723" s="11" t="s">
        <v>1777</v>
      </c>
      <c r="F723" s="10"/>
      <c r="G723" s="11" t="s">
        <v>1049</v>
      </c>
      <c r="H723" s="11" t="s">
        <v>670</v>
      </c>
      <c r="I723" s="11" t="s">
        <v>27</v>
      </c>
      <c r="J723" s="11" t="s">
        <v>884</v>
      </c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1" t="s">
        <v>132</v>
      </c>
      <c r="C724" s="11" t="s">
        <v>125</v>
      </c>
      <c r="D724" s="11" t="s">
        <v>133</v>
      </c>
      <c r="E724" s="11" t="s">
        <v>1778</v>
      </c>
      <c r="F724" s="11" t="s">
        <v>1779</v>
      </c>
      <c r="G724" s="11" t="s">
        <v>1049</v>
      </c>
      <c r="H724" s="11" t="s">
        <v>670</v>
      </c>
      <c r="I724" s="11" t="s">
        <v>27</v>
      </c>
      <c r="J724" s="11" t="s">
        <v>884</v>
      </c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1" t="s">
        <v>67</v>
      </c>
      <c r="C725" s="11" t="s">
        <v>270</v>
      </c>
      <c r="D725" s="11" t="s">
        <v>1780</v>
      </c>
      <c r="E725" s="11" t="s">
        <v>1781</v>
      </c>
      <c r="F725" s="10"/>
      <c r="G725" s="11" t="s">
        <v>1782</v>
      </c>
      <c r="H725" s="11" t="s">
        <v>670</v>
      </c>
      <c r="I725" s="11" t="s">
        <v>27</v>
      </c>
      <c r="J725" s="11" t="s">
        <v>865</v>
      </c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1" t="s">
        <v>132</v>
      </c>
      <c r="C726" s="11" t="s">
        <v>331</v>
      </c>
      <c r="D726" s="11" t="s">
        <v>1783</v>
      </c>
      <c r="E726" s="11" t="s">
        <v>1784</v>
      </c>
      <c r="F726" s="11" t="s">
        <v>1785</v>
      </c>
      <c r="G726" s="11" t="s">
        <v>1782</v>
      </c>
      <c r="H726" s="11" t="s">
        <v>670</v>
      </c>
      <c r="I726" s="11" t="s">
        <v>27</v>
      </c>
      <c r="J726" s="11" t="s">
        <v>865</v>
      </c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1" t="s">
        <v>34</v>
      </c>
      <c r="C727" s="11" t="s">
        <v>153</v>
      </c>
      <c r="D727" s="11" t="s">
        <v>154</v>
      </c>
      <c r="E727" s="11" t="s">
        <v>1786</v>
      </c>
      <c r="F727" s="10"/>
      <c r="G727" s="11" t="s">
        <v>1782</v>
      </c>
      <c r="H727" s="11" t="s">
        <v>670</v>
      </c>
      <c r="I727" s="11" t="s">
        <v>27</v>
      </c>
      <c r="J727" s="11" t="s">
        <v>865</v>
      </c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1" t="s">
        <v>1787</v>
      </c>
      <c r="B728" s="11" t="s">
        <v>67</v>
      </c>
      <c r="C728" s="11" t="s">
        <v>270</v>
      </c>
      <c r="D728" s="11" t="s">
        <v>358</v>
      </c>
      <c r="E728" s="11" t="s">
        <v>1788</v>
      </c>
      <c r="F728" s="10"/>
      <c r="G728" s="11" t="s">
        <v>1403</v>
      </c>
      <c r="H728" s="11" t="s">
        <v>670</v>
      </c>
      <c r="I728" s="11" t="s">
        <v>27</v>
      </c>
      <c r="J728" s="11" t="s">
        <v>1789</v>
      </c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1" t="s">
        <v>1790</v>
      </c>
      <c r="B729" s="11" t="s">
        <v>132</v>
      </c>
      <c r="C729" s="11" t="s">
        <v>362</v>
      </c>
      <c r="D729" s="10"/>
      <c r="E729" s="11" t="s">
        <v>1791</v>
      </c>
      <c r="F729" s="11" t="s">
        <v>1792</v>
      </c>
      <c r="G729" s="11" t="s">
        <v>1403</v>
      </c>
      <c r="H729" s="11" t="s">
        <v>670</v>
      </c>
      <c r="I729" s="11" t="s">
        <v>27</v>
      </c>
      <c r="J729" s="11" t="s">
        <v>1789</v>
      </c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1" t="s">
        <v>1793</v>
      </c>
      <c r="B730" s="11" t="s">
        <v>34</v>
      </c>
      <c r="C730" s="11" t="s">
        <v>153</v>
      </c>
      <c r="D730" s="11" t="s">
        <v>154</v>
      </c>
      <c r="E730" s="10"/>
      <c r="F730" s="10"/>
      <c r="G730" s="11" t="s">
        <v>1403</v>
      </c>
      <c r="H730" s="11" t="s">
        <v>670</v>
      </c>
      <c r="I730" s="11" t="s">
        <v>27</v>
      </c>
      <c r="J730" s="11" t="s">
        <v>1789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1" t="s">
        <v>67</v>
      </c>
      <c r="C731" s="11" t="s">
        <v>68</v>
      </c>
      <c r="D731" s="11" t="s">
        <v>1794</v>
      </c>
      <c r="E731" s="11" t="s">
        <v>1795</v>
      </c>
      <c r="F731" s="10"/>
      <c r="G731" s="11" t="s">
        <v>1285</v>
      </c>
      <c r="H731" s="11" t="s">
        <v>670</v>
      </c>
      <c r="I731" s="11" t="s">
        <v>260</v>
      </c>
      <c r="J731" s="11" t="s">
        <v>865</v>
      </c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1" t="s">
        <v>132</v>
      </c>
      <c r="C732" s="11" t="s">
        <v>68</v>
      </c>
      <c r="D732" s="11" t="s">
        <v>1796</v>
      </c>
      <c r="E732" s="11" t="s">
        <v>1797</v>
      </c>
      <c r="F732" s="11" t="s">
        <v>1798</v>
      </c>
      <c r="G732" s="11" t="s">
        <v>1285</v>
      </c>
      <c r="H732" s="11" t="s">
        <v>670</v>
      </c>
      <c r="I732" s="11" t="s">
        <v>260</v>
      </c>
      <c r="J732" s="11" t="s">
        <v>865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1" t="s">
        <v>34</v>
      </c>
      <c r="C733" s="11" t="s">
        <v>153</v>
      </c>
      <c r="D733" s="11" t="s">
        <v>154</v>
      </c>
      <c r="E733" s="11" t="s">
        <v>1799</v>
      </c>
      <c r="F733" s="10"/>
      <c r="G733" s="11" t="s">
        <v>1285</v>
      </c>
      <c r="H733" s="11" t="s">
        <v>670</v>
      </c>
      <c r="I733" s="11" t="s">
        <v>260</v>
      </c>
      <c r="J733" s="11" t="s">
        <v>865</v>
      </c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1" t="s">
        <v>67</v>
      </c>
      <c r="C734" s="11" t="s">
        <v>270</v>
      </c>
      <c r="D734" s="11" t="s">
        <v>308</v>
      </c>
      <c r="E734" s="11" t="s">
        <v>1800</v>
      </c>
      <c r="F734" s="10"/>
      <c r="G734" s="11" t="s">
        <v>1444</v>
      </c>
      <c r="H734" s="11" t="s">
        <v>670</v>
      </c>
      <c r="I734" s="11" t="s">
        <v>27</v>
      </c>
      <c r="J734" s="11" t="s">
        <v>1789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1" t="s">
        <v>132</v>
      </c>
      <c r="C735" s="11" t="s">
        <v>270</v>
      </c>
      <c r="D735" s="11" t="s">
        <v>332</v>
      </c>
      <c r="E735" s="11" t="s">
        <v>1801</v>
      </c>
      <c r="F735" s="11" t="s">
        <v>1802</v>
      </c>
      <c r="G735" s="11" t="s">
        <v>1444</v>
      </c>
      <c r="H735" s="11" t="s">
        <v>670</v>
      </c>
      <c r="I735" s="11" t="s">
        <v>27</v>
      </c>
      <c r="J735" s="11" t="s">
        <v>1789</v>
      </c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1" t="s">
        <v>34</v>
      </c>
      <c r="C736" s="11" t="s">
        <v>153</v>
      </c>
      <c r="D736" s="11" t="s">
        <v>154</v>
      </c>
      <c r="E736" s="11" t="s">
        <v>1803</v>
      </c>
      <c r="F736" s="10"/>
      <c r="G736" s="11" t="s">
        <v>1444</v>
      </c>
      <c r="H736" s="11" t="s">
        <v>670</v>
      </c>
      <c r="I736" s="11" t="s">
        <v>27</v>
      </c>
      <c r="J736" s="11" t="s">
        <v>1789</v>
      </c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1" t="s">
        <v>253</v>
      </c>
      <c r="C737" s="11" t="s">
        <v>254</v>
      </c>
      <c r="D737" s="11" t="s">
        <v>255</v>
      </c>
      <c r="E737" s="11" t="s">
        <v>1804</v>
      </c>
      <c r="F737" s="10"/>
      <c r="G737" s="11" t="s">
        <v>1444</v>
      </c>
      <c r="H737" s="11" t="s">
        <v>670</v>
      </c>
      <c r="I737" s="11" t="s">
        <v>27</v>
      </c>
      <c r="J737" s="11" t="s">
        <v>1789</v>
      </c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1" t="s">
        <v>1805</v>
      </c>
      <c r="C738" s="11" t="s">
        <v>291</v>
      </c>
      <c r="D738" s="11" t="s">
        <v>292</v>
      </c>
      <c r="E738" s="11" t="s">
        <v>783</v>
      </c>
      <c r="F738" s="10"/>
      <c r="G738" s="11" t="s">
        <v>1444</v>
      </c>
      <c r="H738" s="11" t="s">
        <v>670</v>
      </c>
      <c r="I738" s="11" t="s">
        <v>27</v>
      </c>
      <c r="J738" s="11" t="s">
        <v>1789</v>
      </c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1" t="s">
        <v>1806</v>
      </c>
      <c r="B739" s="11" t="s">
        <v>67</v>
      </c>
      <c r="C739" s="11" t="s">
        <v>270</v>
      </c>
      <c r="D739" s="11" t="s">
        <v>1807</v>
      </c>
      <c r="E739" s="11" t="s">
        <v>1808</v>
      </c>
      <c r="F739" s="10"/>
      <c r="G739" s="11" t="s">
        <v>1351</v>
      </c>
      <c r="H739" s="11" t="s">
        <v>670</v>
      </c>
      <c r="I739" s="11" t="s">
        <v>260</v>
      </c>
      <c r="J739" s="11" t="s">
        <v>1302</v>
      </c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1" t="s">
        <v>1809</v>
      </c>
      <c r="B740" s="11" t="s">
        <v>132</v>
      </c>
      <c r="C740" s="11" t="s">
        <v>473</v>
      </c>
      <c r="D740" s="11" t="s">
        <v>509</v>
      </c>
      <c r="E740" s="11" t="s">
        <v>1810</v>
      </c>
      <c r="F740" s="11" t="s">
        <v>1811</v>
      </c>
      <c r="G740" s="11" t="s">
        <v>1351</v>
      </c>
      <c r="H740" s="11" t="s">
        <v>670</v>
      </c>
      <c r="I740" s="11" t="s">
        <v>260</v>
      </c>
      <c r="J740" s="11" t="s">
        <v>1302</v>
      </c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B741" s="11" t="s">
        <v>34</v>
      </c>
      <c r="C741" s="11" t="s">
        <v>153</v>
      </c>
      <c r="D741" s="11" t="s">
        <v>154</v>
      </c>
      <c r="E741" s="11" t="s">
        <v>1812</v>
      </c>
      <c r="F741" s="10"/>
      <c r="G741" s="11" t="s">
        <v>1351</v>
      </c>
      <c r="H741" s="11" t="s">
        <v>670</v>
      </c>
      <c r="I741" s="11" t="s">
        <v>260</v>
      </c>
      <c r="J741" s="11" t="s">
        <v>1302</v>
      </c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1" t="s">
        <v>47</v>
      </c>
      <c r="C742" s="11" t="s">
        <v>99</v>
      </c>
      <c r="D742" s="11" t="s">
        <v>100</v>
      </c>
      <c r="E742" s="11" t="s">
        <v>1813</v>
      </c>
      <c r="F742" s="10"/>
      <c r="G742" s="11" t="s">
        <v>1351</v>
      </c>
      <c r="H742" s="11" t="s">
        <v>670</v>
      </c>
      <c r="I742" s="11" t="s">
        <v>260</v>
      </c>
      <c r="J742" s="11" t="s">
        <v>1302</v>
      </c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1" t="s">
        <v>67</v>
      </c>
      <c r="C743" s="11" t="s">
        <v>270</v>
      </c>
      <c r="D743" s="11" t="s">
        <v>308</v>
      </c>
      <c r="E743" s="11" t="s">
        <v>1814</v>
      </c>
      <c r="F743" s="10"/>
      <c r="G743" s="11" t="s">
        <v>1301</v>
      </c>
      <c r="H743" s="11" t="s">
        <v>670</v>
      </c>
      <c r="I743" s="11" t="s">
        <v>260</v>
      </c>
      <c r="J743" s="11" t="s">
        <v>1302</v>
      </c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1" t="s">
        <v>132</v>
      </c>
      <c r="C744" s="11" t="s">
        <v>473</v>
      </c>
      <c r="D744" s="11" t="s">
        <v>1783</v>
      </c>
      <c r="E744" s="11" t="s">
        <v>1815</v>
      </c>
      <c r="F744" s="11" t="s">
        <v>1816</v>
      </c>
      <c r="G744" s="11" t="s">
        <v>1301</v>
      </c>
      <c r="H744" s="11" t="s">
        <v>670</v>
      </c>
      <c r="I744" s="11" t="s">
        <v>260</v>
      </c>
      <c r="J744" s="11" t="s">
        <v>1302</v>
      </c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1" t="s">
        <v>34</v>
      </c>
      <c r="C745" s="11" t="s">
        <v>153</v>
      </c>
      <c r="D745" s="11" t="s">
        <v>154</v>
      </c>
      <c r="E745" s="11" t="s">
        <v>1817</v>
      </c>
      <c r="F745" s="10"/>
      <c r="G745" s="11" t="s">
        <v>1301</v>
      </c>
      <c r="H745" s="11" t="s">
        <v>670</v>
      </c>
      <c r="I745" s="11" t="s">
        <v>260</v>
      </c>
      <c r="J745" s="11" t="s">
        <v>1302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1" t="s">
        <v>47</v>
      </c>
      <c r="C746" s="11" t="s">
        <v>99</v>
      </c>
      <c r="D746" s="11" t="s">
        <v>100</v>
      </c>
      <c r="E746" s="11" t="s">
        <v>1818</v>
      </c>
      <c r="F746" s="10"/>
      <c r="G746" s="11" t="s">
        <v>1301</v>
      </c>
      <c r="H746" s="11" t="s">
        <v>670</v>
      </c>
      <c r="I746" s="11" t="s">
        <v>260</v>
      </c>
      <c r="J746" s="11" t="s">
        <v>1302</v>
      </c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1" t="s">
        <v>67</v>
      </c>
      <c r="C747" s="11" t="s">
        <v>270</v>
      </c>
      <c r="D747" s="11" t="s">
        <v>1819</v>
      </c>
      <c r="E747" s="11" t="s">
        <v>1820</v>
      </c>
      <c r="F747" s="10"/>
      <c r="G747" s="11" t="s">
        <v>1821</v>
      </c>
      <c r="H747" s="11" t="s">
        <v>670</v>
      </c>
      <c r="I747" s="11" t="s">
        <v>27</v>
      </c>
      <c r="J747" s="11" t="s">
        <v>691</v>
      </c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1" t="s">
        <v>132</v>
      </c>
      <c r="C748" s="11" t="s">
        <v>473</v>
      </c>
      <c r="D748" s="11" t="s">
        <v>1783</v>
      </c>
      <c r="E748" s="11" t="s">
        <v>1822</v>
      </c>
      <c r="F748" s="11" t="s">
        <v>1823</v>
      </c>
      <c r="G748" s="11" t="s">
        <v>1821</v>
      </c>
      <c r="H748" s="11" t="s">
        <v>670</v>
      </c>
      <c r="I748" s="11" t="s">
        <v>27</v>
      </c>
      <c r="J748" s="11" t="s">
        <v>691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1" t="s">
        <v>34</v>
      </c>
      <c r="C749" s="11" t="s">
        <v>153</v>
      </c>
      <c r="D749" s="11" t="s">
        <v>154</v>
      </c>
      <c r="E749" s="11" t="s">
        <v>1824</v>
      </c>
      <c r="F749" s="10"/>
      <c r="G749" s="11" t="s">
        <v>1821</v>
      </c>
      <c r="H749" s="11" t="s">
        <v>670</v>
      </c>
      <c r="I749" s="11" t="s">
        <v>27</v>
      </c>
      <c r="J749" s="11" t="s">
        <v>691</v>
      </c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1" t="s">
        <v>253</v>
      </c>
      <c r="C750" s="11" t="s">
        <v>254</v>
      </c>
      <c r="D750" s="11" t="s">
        <v>255</v>
      </c>
      <c r="E750" s="11" t="s">
        <v>1825</v>
      </c>
      <c r="F750" s="10"/>
      <c r="G750" s="11" t="s">
        <v>1821</v>
      </c>
      <c r="H750" s="11" t="s">
        <v>670</v>
      </c>
      <c r="I750" s="11" t="s">
        <v>27</v>
      </c>
      <c r="J750" s="11" t="s">
        <v>691</v>
      </c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1" t="s">
        <v>1826</v>
      </c>
      <c r="B751" s="11" t="s">
        <v>67</v>
      </c>
      <c r="C751" s="11" t="s">
        <v>125</v>
      </c>
      <c r="D751" s="11" t="s">
        <v>1776</v>
      </c>
      <c r="E751" s="11" t="s">
        <v>1827</v>
      </c>
      <c r="F751" s="10"/>
      <c r="G751" s="11" t="s">
        <v>1293</v>
      </c>
      <c r="H751" s="11" t="s">
        <v>670</v>
      </c>
      <c r="I751" s="11" t="s">
        <v>27</v>
      </c>
      <c r="J751" s="11" t="s">
        <v>1302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1" t="s">
        <v>132</v>
      </c>
      <c r="C752" s="11" t="s">
        <v>125</v>
      </c>
      <c r="D752" s="10"/>
      <c r="E752" s="11" t="s">
        <v>1828</v>
      </c>
      <c r="F752" s="11" t="s">
        <v>1829</v>
      </c>
      <c r="G752" s="11" t="s">
        <v>1293</v>
      </c>
      <c r="H752" s="11" t="s">
        <v>670</v>
      </c>
      <c r="I752" s="11" t="s">
        <v>27</v>
      </c>
      <c r="J752" s="11" t="s">
        <v>1302</v>
      </c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1" t="s">
        <v>34</v>
      </c>
      <c r="C753" s="11" t="s">
        <v>153</v>
      </c>
      <c r="D753" s="11" t="s">
        <v>154</v>
      </c>
      <c r="E753" s="11" t="s">
        <v>1830</v>
      </c>
      <c r="F753" s="10"/>
      <c r="G753" s="11" t="s">
        <v>1293</v>
      </c>
      <c r="H753" s="11" t="s">
        <v>670</v>
      </c>
      <c r="I753" s="11" t="s">
        <v>27</v>
      </c>
      <c r="J753" s="11" t="s">
        <v>1302</v>
      </c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1" t="s">
        <v>253</v>
      </c>
      <c r="C754" s="11" t="s">
        <v>254</v>
      </c>
      <c r="D754" s="11" t="s">
        <v>255</v>
      </c>
      <c r="E754" s="11" t="s">
        <v>1831</v>
      </c>
      <c r="F754" s="10"/>
      <c r="G754" s="11" t="s">
        <v>1293</v>
      </c>
      <c r="H754" s="11" t="s">
        <v>670</v>
      </c>
      <c r="I754" s="11" t="s">
        <v>27</v>
      </c>
      <c r="J754" s="11" t="s">
        <v>1302</v>
      </c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1" t="s">
        <v>1805</v>
      </c>
      <c r="C755" s="11" t="s">
        <v>291</v>
      </c>
      <c r="D755" s="11" t="s">
        <v>292</v>
      </c>
      <c r="E755" s="11" t="s">
        <v>1832</v>
      </c>
      <c r="F755" s="10"/>
      <c r="G755" s="11" t="s">
        <v>1293</v>
      </c>
      <c r="H755" s="11" t="s">
        <v>670</v>
      </c>
      <c r="I755" s="11" t="s">
        <v>27</v>
      </c>
      <c r="J755" s="11" t="s">
        <v>1302</v>
      </c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1" t="s">
        <v>67</v>
      </c>
      <c r="C756" s="11" t="s">
        <v>270</v>
      </c>
      <c r="D756" s="11" t="s">
        <v>358</v>
      </c>
      <c r="E756" s="11" t="s">
        <v>1833</v>
      </c>
      <c r="F756" s="10"/>
      <c r="G756" s="11" t="s">
        <v>765</v>
      </c>
      <c r="H756" s="11" t="s">
        <v>670</v>
      </c>
      <c r="I756" s="11" t="s">
        <v>27</v>
      </c>
      <c r="J756" s="11" t="s">
        <v>684</v>
      </c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1" t="s">
        <v>132</v>
      </c>
      <c r="C757" s="11" t="s">
        <v>473</v>
      </c>
      <c r="D757" s="11" t="s">
        <v>1783</v>
      </c>
      <c r="E757" s="11" t="s">
        <v>1834</v>
      </c>
      <c r="F757" s="11" t="s">
        <v>1835</v>
      </c>
      <c r="G757" s="11" t="s">
        <v>765</v>
      </c>
      <c r="H757" s="11" t="s">
        <v>670</v>
      </c>
      <c r="I757" s="11" t="s">
        <v>27</v>
      </c>
      <c r="J757" s="11" t="s">
        <v>684</v>
      </c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1" t="s">
        <v>34</v>
      </c>
      <c r="C758" s="11" t="s">
        <v>153</v>
      </c>
      <c r="D758" s="11" t="s">
        <v>154</v>
      </c>
      <c r="E758" s="11" t="s">
        <v>1836</v>
      </c>
      <c r="F758" s="10"/>
      <c r="G758" s="11" t="s">
        <v>765</v>
      </c>
      <c r="H758" s="11" t="s">
        <v>670</v>
      </c>
      <c r="I758" s="11" t="s">
        <v>27</v>
      </c>
      <c r="J758" s="11" t="s">
        <v>684</v>
      </c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1" t="s">
        <v>67</v>
      </c>
      <c r="C759" s="11" t="s">
        <v>270</v>
      </c>
      <c r="D759" s="11" t="s">
        <v>358</v>
      </c>
      <c r="E759" s="11" t="s">
        <v>1837</v>
      </c>
      <c r="F759" s="10"/>
      <c r="G759" s="11" t="s">
        <v>749</v>
      </c>
      <c r="H759" s="11" t="s">
        <v>670</v>
      </c>
      <c r="I759" s="11" t="s">
        <v>27</v>
      </c>
      <c r="J759" s="11" t="s">
        <v>684</v>
      </c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1" t="s">
        <v>132</v>
      </c>
      <c r="C760" s="11" t="s">
        <v>473</v>
      </c>
      <c r="D760" s="11" t="s">
        <v>1783</v>
      </c>
      <c r="E760" s="11" t="s">
        <v>1838</v>
      </c>
      <c r="F760" s="11" t="s">
        <v>1839</v>
      </c>
      <c r="G760" s="11" t="s">
        <v>749</v>
      </c>
      <c r="H760" s="11" t="s">
        <v>670</v>
      </c>
      <c r="I760" s="11" t="s">
        <v>27</v>
      </c>
      <c r="J760" s="11" t="s">
        <v>684</v>
      </c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1" t="s">
        <v>34</v>
      </c>
      <c r="C761" s="11" t="s">
        <v>153</v>
      </c>
      <c r="D761" s="11" t="s">
        <v>154</v>
      </c>
      <c r="E761" s="11" t="s">
        <v>1840</v>
      </c>
      <c r="F761" s="10"/>
      <c r="G761" s="11" t="s">
        <v>749</v>
      </c>
      <c r="H761" s="11" t="s">
        <v>670</v>
      </c>
      <c r="I761" s="11" t="s">
        <v>27</v>
      </c>
      <c r="J761" s="11" t="s">
        <v>684</v>
      </c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1" t="s">
        <v>1805</v>
      </c>
      <c r="C762" s="11" t="s">
        <v>291</v>
      </c>
      <c r="D762" s="11" t="s">
        <v>292</v>
      </c>
      <c r="E762" s="11" t="s">
        <v>748</v>
      </c>
      <c r="F762" s="10"/>
      <c r="G762" s="11" t="s">
        <v>749</v>
      </c>
      <c r="H762" s="11" t="s">
        <v>670</v>
      </c>
      <c r="I762" s="11" t="s">
        <v>27</v>
      </c>
      <c r="J762" s="11" t="s">
        <v>684</v>
      </c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1" t="s">
        <v>67</v>
      </c>
      <c r="C763" s="11" t="s">
        <v>125</v>
      </c>
      <c r="D763" s="11" t="s">
        <v>1776</v>
      </c>
      <c r="E763" s="11" t="s">
        <v>1841</v>
      </c>
      <c r="F763" s="10"/>
      <c r="G763" s="11" t="s">
        <v>762</v>
      </c>
      <c r="H763" s="11" t="s">
        <v>670</v>
      </c>
      <c r="I763" s="11" t="s">
        <v>27</v>
      </c>
      <c r="J763" s="11" t="s">
        <v>684</v>
      </c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1" t="s">
        <v>132</v>
      </c>
      <c r="C764" s="11" t="s">
        <v>125</v>
      </c>
      <c r="D764" s="11" t="s">
        <v>1842</v>
      </c>
      <c r="E764" s="11" t="s">
        <v>1843</v>
      </c>
      <c r="F764" s="11" t="s">
        <v>1844</v>
      </c>
      <c r="G764" s="11" t="s">
        <v>762</v>
      </c>
      <c r="H764" s="11" t="s">
        <v>670</v>
      </c>
      <c r="I764" s="11" t="s">
        <v>27</v>
      </c>
      <c r="J764" s="11" t="s">
        <v>684</v>
      </c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1" t="s">
        <v>1845</v>
      </c>
      <c r="B765" s="11" t="s">
        <v>34</v>
      </c>
      <c r="C765" s="11" t="s">
        <v>125</v>
      </c>
      <c r="D765" s="11" t="s">
        <v>1846</v>
      </c>
      <c r="E765" s="11">
        <v>2.1021001284E10</v>
      </c>
      <c r="F765" s="10"/>
      <c r="G765" s="11" t="s">
        <v>762</v>
      </c>
      <c r="H765" s="11" t="s">
        <v>670</v>
      </c>
      <c r="I765" s="11" t="s">
        <v>27</v>
      </c>
      <c r="J765" s="11" t="s">
        <v>684</v>
      </c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1" t="s">
        <v>67</v>
      </c>
      <c r="C766" s="11" t="s">
        <v>270</v>
      </c>
      <c r="D766" s="11" t="s">
        <v>308</v>
      </c>
      <c r="E766" s="11" t="s">
        <v>1847</v>
      </c>
      <c r="F766" s="10"/>
      <c r="G766" s="11" t="s">
        <v>756</v>
      </c>
      <c r="H766" s="11" t="s">
        <v>670</v>
      </c>
      <c r="I766" s="11" t="s">
        <v>27</v>
      </c>
      <c r="J766" s="11" t="s">
        <v>684</v>
      </c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1" t="s">
        <v>132</v>
      </c>
      <c r="C767" s="11" t="s">
        <v>473</v>
      </c>
      <c r="D767" s="11" t="s">
        <v>1783</v>
      </c>
      <c r="E767" s="11" t="s">
        <v>1848</v>
      </c>
      <c r="F767" s="11" t="s">
        <v>1849</v>
      </c>
      <c r="G767" s="11" t="s">
        <v>756</v>
      </c>
      <c r="H767" s="11" t="s">
        <v>670</v>
      </c>
      <c r="I767" s="11" t="s">
        <v>27</v>
      </c>
      <c r="J767" s="11" t="s">
        <v>684</v>
      </c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1" t="s">
        <v>34</v>
      </c>
      <c r="C768" s="11" t="s">
        <v>153</v>
      </c>
      <c r="D768" s="11" t="s">
        <v>154</v>
      </c>
      <c r="E768" s="11" t="s">
        <v>1850</v>
      </c>
      <c r="F768" s="10"/>
      <c r="G768" s="11" t="s">
        <v>756</v>
      </c>
      <c r="H768" s="11" t="s">
        <v>670</v>
      </c>
      <c r="I768" s="11" t="s">
        <v>27</v>
      </c>
      <c r="J768" s="11" t="s">
        <v>684</v>
      </c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1" t="s">
        <v>67</v>
      </c>
      <c r="C769" s="11" t="s">
        <v>270</v>
      </c>
      <c r="D769" s="11" t="s">
        <v>1851</v>
      </c>
      <c r="E769" s="11" t="s">
        <v>1852</v>
      </c>
      <c r="F769" s="10"/>
      <c r="G769" s="11" t="s">
        <v>294</v>
      </c>
      <c r="H769" s="11" t="s">
        <v>670</v>
      </c>
      <c r="I769" s="11" t="s">
        <v>27</v>
      </c>
      <c r="J769" s="11" t="s">
        <v>684</v>
      </c>
      <c r="K769" s="10"/>
      <c r="L769" s="10"/>
      <c r="M769" s="10"/>
      <c r="N769" s="10"/>
      <c r="O769" s="10"/>
      <c r="P769" s="11" t="s">
        <v>1853</v>
      </c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1" t="s">
        <v>132</v>
      </c>
      <c r="C770" s="11" t="s">
        <v>1854</v>
      </c>
      <c r="D770" s="11" t="s">
        <v>1855</v>
      </c>
      <c r="E770" s="11" t="s">
        <v>1856</v>
      </c>
      <c r="F770" s="11" t="s">
        <v>1857</v>
      </c>
      <c r="G770" s="11" t="s">
        <v>294</v>
      </c>
      <c r="H770" s="11" t="s">
        <v>670</v>
      </c>
      <c r="I770" s="11" t="s">
        <v>27</v>
      </c>
      <c r="J770" s="11" t="s">
        <v>684</v>
      </c>
      <c r="K770" s="10"/>
      <c r="L770" s="10"/>
      <c r="M770" s="10"/>
      <c r="N770" s="10"/>
      <c r="O770" s="10"/>
      <c r="P770" s="11" t="s">
        <v>1853</v>
      </c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1" t="s">
        <v>1858</v>
      </c>
      <c r="B771" s="11" t="s">
        <v>34</v>
      </c>
      <c r="C771" s="11" t="s">
        <v>153</v>
      </c>
      <c r="D771" s="11" t="s">
        <v>154</v>
      </c>
      <c r="E771" s="11" t="s">
        <v>1840</v>
      </c>
      <c r="F771" s="10"/>
      <c r="G771" s="11" t="s">
        <v>294</v>
      </c>
      <c r="H771" s="11" t="s">
        <v>670</v>
      </c>
      <c r="I771" s="11" t="s">
        <v>27</v>
      </c>
      <c r="J771" s="11" t="s">
        <v>684</v>
      </c>
      <c r="K771" s="10"/>
      <c r="L771" s="10"/>
      <c r="M771" s="10"/>
      <c r="N771" s="10"/>
      <c r="O771" s="10"/>
      <c r="P771" s="11" t="s">
        <v>1853</v>
      </c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1" t="s">
        <v>41</v>
      </c>
      <c r="C772" s="11" t="s">
        <v>153</v>
      </c>
      <c r="D772" s="11" t="s">
        <v>348</v>
      </c>
      <c r="E772" s="11" t="s">
        <v>1859</v>
      </c>
      <c r="F772" s="10"/>
      <c r="G772" s="11" t="s">
        <v>294</v>
      </c>
      <c r="H772" s="11" t="s">
        <v>670</v>
      </c>
      <c r="I772" s="11" t="s">
        <v>27</v>
      </c>
      <c r="J772" s="11" t="s">
        <v>684</v>
      </c>
      <c r="K772" s="10"/>
      <c r="L772" s="10"/>
      <c r="M772" s="10"/>
      <c r="N772" s="10"/>
      <c r="O772" s="10"/>
      <c r="P772" s="11" t="s">
        <v>1853</v>
      </c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1" t="s">
        <v>1860</v>
      </c>
      <c r="B773" s="11" t="s">
        <v>253</v>
      </c>
      <c r="C773" s="11" t="s">
        <v>254</v>
      </c>
      <c r="D773" s="11" t="s">
        <v>255</v>
      </c>
      <c r="E773" s="11" t="s">
        <v>1861</v>
      </c>
      <c r="F773" s="10"/>
      <c r="G773" s="11" t="s">
        <v>294</v>
      </c>
      <c r="H773" s="11" t="s">
        <v>670</v>
      </c>
      <c r="I773" s="11" t="s">
        <v>27</v>
      </c>
      <c r="J773" s="11" t="s">
        <v>684</v>
      </c>
      <c r="K773" s="10"/>
      <c r="L773" s="10"/>
      <c r="M773" s="10"/>
      <c r="N773" s="10"/>
      <c r="O773" s="10"/>
      <c r="P773" s="11" t="s">
        <v>1853</v>
      </c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1" t="s">
        <v>67</v>
      </c>
      <c r="C774" s="11" t="s">
        <v>270</v>
      </c>
      <c r="D774" s="11" t="s">
        <v>1851</v>
      </c>
      <c r="E774" s="11" t="s">
        <v>1862</v>
      </c>
      <c r="F774" s="10"/>
      <c r="G774" s="11" t="s">
        <v>294</v>
      </c>
      <c r="H774" s="11" t="s">
        <v>670</v>
      </c>
      <c r="I774" s="11" t="s">
        <v>27</v>
      </c>
      <c r="J774" s="11" t="s">
        <v>865</v>
      </c>
      <c r="K774" s="10"/>
      <c r="L774" s="10"/>
      <c r="M774" s="10"/>
      <c r="N774" s="10"/>
      <c r="O774" s="10"/>
      <c r="P774" s="11" t="s">
        <v>1863</v>
      </c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1" t="s">
        <v>132</v>
      </c>
      <c r="C775" s="11" t="s">
        <v>473</v>
      </c>
      <c r="D775" s="11" t="s">
        <v>332</v>
      </c>
      <c r="E775" s="11" t="s">
        <v>1864</v>
      </c>
      <c r="F775" s="10"/>
      <c r="G775" s="11" t="s">
        <v>294</v>
      </c>
      <c r="H775" s="11" t="s">
        <v>670</v>
      </c>
      <c r="I775" s="11" t="s">
        <v>27</v>
      </c>
      <c r="J775" s="11" t="s">
        <v>865</v>
      </c>
      <c r="K775" s="10"/>
      <c r="L775" s="10"/>
      <c r="M775" s="10"/>
      <c r="N775" s="10"/>
      <c r="O775" s="10"/>
      <c r="P775" s="11" t="s">
        <v>1863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1" t="s">
        <v>34</v>
      </c>
      <c r="C776" s="11" t="s">
        <v>153</v>
      </c>
      <c r="D776" s="11" t="s">
        <v>154</v>
      </c>
      <c r="E776" s="11" t="s">
        <v>1865</v>
      </c>
      <c r="F776" s="10"/>
      <c r="G776" s="11" t="s">
        <v>294</v>
      </c>
      <c r="H776" s="11" t="s">
        <v>670</v>
      </c>
      <c r="I776" s="11" t="s">
        <v>27</v>
      </c>
      <c r="J776" s="11" t="s">
        <v>865</v>
      </c>
      <c r="K776" s="10"/>
      <c r="L776" s="10"/>
      <c r="M776" s="10"/>
      <c r="N776" s="10"/>
      <c r="O776" s="10"/>
      <c r="P776" s="11" t="s">
        <v>1863</v>
      </c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1" t="s">
        <v>1866</v>
      </c>
      <c r="B777" s="11" t="s">
        <v>67</v>
      </c>
      <c r="C777" s="11" t="s">
        <v>270</v>
      </c>
      <c r="D777" s="11" t="s">
        <v>308</v>
      </c>
      <c r="E777" s="11" t="s">
        <v>1852</v>
      </c>
      <c r="F777" s="11" t="s">
        <v>1867</v>
      </c>
      <c r="G777" s="11" t="s">
        <v>1868</v>
      </c>
      <c r="H777" s="11" t="s">
        <v>670</v>
      </c>
      <c r="I777" s="11" t="s">
        <v>27</v>
      </c>
      <c r="J777" s="11" t="s">
        <v>684</v>
      </c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1" t="s">
        <v>228</v>
      </c>
      <c r="C778" s="11" t="s">
        <v>1854</v>
      </c>
      <c r="D778" s="11" t="s">
        <v>1855</v>
      </c>
      <c r="E778" s="11" t="s">
        <v>1856</v>
      </c>
      <c r="F778" s="10"/>
      <c r="G778" s="11" t="s">
        <v>1868</v>
      </c>
      <c r="H778" s="11" t="s">
        <v>670</v>
      </c>
      <c r="I778" s="11" t="s">
        <v>27</v>
      </c>
      <c r="J778" s="11" t="s">
        <v>684</v>
      </c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1" t="s">
        <v>253</v>
      </c>
      <c r="C779" s="11" t="s">
        <v>254</v>
      </c>
      <c r="D779" s="11" t="s">
        <v>255</v>
      </c>
      <c r="E779" s="11" t="s">
        <v>1869</v>
      </c>
      <c r="F779" s="10"/>
      <c r="G779" s="11" t="s">
        <v>1868</v>
      </c>
      <c r="H779" s="11" t="s">
        <v>670</v>
      </c>
      <c r="I779" s="11" t="s">
        <v>27</v>
      </c>
      <c r="J779" s="11" t="s">
        <v>684</v>
      </c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1" t="s">
        <v>34</v>
      </c>
      <c r="C780" s="11" t="s">
        <v>153</v>
      </c>
      <c r="D780" s="11" t="s">
        <v>154</v>
      </c>
      <c r="E780" s="11" t="s">
        <v>1869</v>
      </c>
      <c r="F780" s="10"/>
      <c r="G780" s="11" t="s">
        <v>1868</v>
      </c>
      <c r="H780" s="11" t="s">
        <v>670</v>
      </c>
      <c r="I780" s="11" t="s">
        <v>27</v>
      </c>
      <c r="J780" s="11" t="s">
        <v>684</v>
      </c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1" t="s">
        <v>750</v>
      </c>
      <c r="B781" s="11" t="s">
        <v>1805</v>
      </c>
      <c r="C781" s="11" t="s">
        <v>291</v>
      </c>
      <c r="D781" s="11" t="s">
        <v>292</v>
      </c>
      <c r="E781" s="11" t="s">
        <v>751</v>
      </c>
      <c r="F781" s="10"/>
      <c r="G781" s="11" t="s">
        <v>1868</v>
      </c>
      <c r="H781" s="11" t="s">
        <v>670</v>
      </c>
      <c r="I781" s="11" t="s">
        <v>27</v>
      </c>
      <c r="J781" s="11" t="s">
        <v>684</v>
      </c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1" t="s">
        <v>286</v>
      </c>
      <c r="C782" s="11" t="s">
        <v>287</v>
      </c>
      <c r="D782" s="11" t="s">
        <v>288</v>
      </c>
      <c r="E782" s="11" t="s">
        <v>288</v>
      </c>
      <c r="F782" s="10"/>
      <c r="G782" s="11" t="s">
        <v>1868</v>
      </c>
      <c r="H782" s="11" t="s">
        <v>670</v>
      </c>
      <c r="I782" s="11" t="s">
        <v>27</v>
      </c>
      <c r="J782" s="11" t="s">
        <v>684</v>
      </c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1" t="s">
        <v>67</v>
      </c>
      <c r="C783" s="11" t="s">
        <v>270</v>
      </c>
      <c r="D783" s="11" t="s">
        <v>308</v>
      </c>
      <c r="E783" s="11" t="s">
        <v>1870</v>
      </c>
      <c r="F783" s="10"/>
      <c r="G783" s="11" t="s">
        <v>1871</v>
      </c>
      <c r="H783" s="11" t="s">
        <v>670</v>
      </c>
      <c r="I783" s="11" t="s">
        <v>27</v>
      </c>
      <c r="J783" s="11" t="s">
        <v>684</v>
      </c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1" t="s">
        <v>228</v>
      </c>
      <c r="C784" s="11" t="s">
        <v>473</v>
      </c>
      <c r="D784" s="11" t="s">
        <v>332</v>
      </c>
      <c r="E784" s="11" t="s">
        <v>1872</v>
      </c>
      <c r="F784" s="10"/>
      <c r="G784" s="11" t="s">
        <v>1871</v>
      </c>
      <c r="H784" s="11" t="s">
        <v>670</v>
      </c>
      <c r="I784" s="11" t="s">
        <v>27</v>
      </c>
      <c r="J784" s="11" t="s">
        <v>684</v>
      </c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1" t="s">
        <v>34</v>
      </c>
      <c r="C785" s="11" t="s">
        <v>153</v>
      </c>
      <c r="D785" s="11" t="s">
        <v>154</v>
      </c>
      <c r="E785" s="11" t="s">
        <v>1869</v>
      </c>
      <c r="F785" s="10"/>
      <c r="G785" s="11" t="s">
        <v>1871</v>
      </c>
      <c r="H785" s="11" t="s">
        <v>670</v>
      </c>
      <c r="I785" s="11" t="s">
        <v>27</v>
      </c>
      <c r="J785" s="11" t="s">
        <v>684</v>
      </c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1" t="s">
        <v>1805</v>
      </c>
      <c r="C786" s="11" t="s">
        <v>291</v>
      </c>
      <c r="D786" s="11" t="s">
        <v>292</v>
      </c>
      <c r="E786" s="11" t="s">
        <v>767</v>
      </c>
      <c r="F786" s="10"/>
      <c r="G786" s="11" t="s">
        <v>1871</v>
      </c>
      <c r="H786" s="11" t="s">
        <v>670</v>
      </c>
      <c r="I786" s="11" t="s">
        <v>27</v>
      </c>
      <c r="J786" s="11" t="s">
        <v>684</v>
      </c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1" t="s">
        <v>286</v>
      </c>
      <c r="C787" s="11" t="s">
        <v>287</v>
      </c>
      <c r="D787" s="11" t="s">
        <v>288</v>
      </c>
      <c r="E787" s="11" t="s">
        <v>288</v>
      </c>
      <c r="F787" s="10"/>
      <c r="G787" s="11" t="s">
        <v>1871</v>
      </c>
      <c r="H787" s="11" t="s">
        <v>670</v>
      </c>
      <c r="I787" s="11" t="s">
        <v>27</v>
      </c>
      <c r="J787" s="11" t="s">
        <v>684</v>
      </c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1" t="s">
        <v>167</v>
      </c>
      <c r="C788" s="11" t="s">
        <v>296</v>
      </c>
      <c r="D788" s="11" t="s">
        <v>1282</v>
      </c>
      <c r="E788" s="11" t="s">
        <v>1873</v>
      </c>
      <c r="F788" s="11" t="s">
        <v>1874</v>
      </c>
      <c r="G788" s="11" t="s">
        <v>1868</v>
      </c>
      <c r="H788" s="11" t="s">
        <v>670</v>
      </c>
      <c r="I788" s="11" t="s">
        <v>27</v>
      </c>
      <c r="J788" s="11" t="s">
        <v>684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1" t="s">
        <v>1875</v>
      </c>
      <c r="C789" s="11" t="s">
        <v>296</v>
      </c>
      <c r="D789" s="11" t="s">
        <v>1869</v>
      </c>
      <c r="E789" s="11" t="s">
        <v>1869</v>
      </c>
      <c r="F789" s="11" t="s">
        <v>1876</v>
      </c>
      <c r="G789" s="11" t="s">
        <v>1868</v>
      </c>
      <c r="H789" s="11" t="s">
        <v>670</v>
      </c>
      <c r="I789" s="11" t="s">
        <v>27</v>
      </c>
      <c r="J789" s="11" t="s">
        <v>684</v>
      </c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1" t="s">
        <v>167</v>
      </c>
      <c r="C790" s="11" t="s">
        <v>296</v>
      </c>
      <c r="D790" s="11" t="s">
        <v>1282</v>
      </c>
      <c r="E790" s="11" t="s">
        <v>1877</v>
      </c>
      <c r="F790" s="11" t="s">
        <v>1874</v>
      </c>
      <c r="G790" s="11" t="s">
        <v>1871</v>
      </c>
      <c r="H790" s="11" t="s">
        <v>670</v>
      </c>
      <c r="I790" s="11" t="s">
        <v>27</v>
      </c>
      <c r="J790" s="11" t="s">
        <v>684</v>
      </c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1" t="s">
        <v>1875</v>
      </c>
      <c r="C791" s="11" t="s">
        <v>296</v>
      </c>
      <c r="D791" s="11" t="s">
        <v>1869</v>
      </c>
      <c r="E791" s="11" t="s">
        <v>1869</v>
      </c>
      <c r="F791" s="11" t="s">
        <v>1876</v>
      </c>
      <c r="G791" s="11" t="s">
        <v>1871</v>
      </c>
      <c r="H791" s="11" t="s">
        <v>670</v>
      </c>
      <c r="I791" s="11" t="s">
        <v>27</v>
      </c>
      <c r="J791" s="11" t="s">
        <v>684</v>
      </c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1" t="s">
        <v>1316</v>
      </c>
      <c r="B792" s="11" t="s">
        <v>167</v>
      </c>
      <c r="C792" s="11" t="s">
        <v>296</v>
      </c>
      <c r="D792" s="11" t="s">
        <v>1282</v>
      </c>
      <c r="E792" s="11" t="s">
        <v>1320</v>
      </c>
      <c r="F792" s="11" t="s">
        <v>1874</v>
      </c>
      <c r="G792" s="11" t="s">
        <v>1878</v>
      </c>
      <c r="H792" s="11" t="s">
        <v>670</v>
      </c>
      <c r="I792" s="11" t="s">
        <v>27</v>
      </c>
      <c r="J792" s="11" t="s">
        <v>684</v>
      </c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1" t="s">
        <v>1319</v>
      </c>
      <c r="B793" s="11" t="s">
        <v>1875</v>
      </c>
      <c r="C793" s="11" t="s">
        <v>296</v>
      </c>
      <c r="D793" s="11" t="s">
        <v>1324</v>
      </c>
      <c r="E793" s="11" t="s">
        <v>1325</v>
      </c>
      <c r="F793" s="10"/>
      <c r="G793" s="11" t="s">
        <v>1878</v>
      </c>
      <c r="H793" s="11" t="s">
        <v>670</v>
      </c>
      <c r="I793" s="11" t="s">
        <v>27</v>
      </c>
      <c r="J793" s="11" t="s">
        <v>684</v>
      </c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1" t="s">
        <v>67</v>
      </c>
      <c r="C794" s="11" t="s">
        <v>125</v>
      </c>
      <c r="D794" s="11" t="s">
        <v>1879</v>
      </c>
      <c r="E794" s="11" t="s">
        <v>127</v>
      </c>
      <c r="F794" s="10"/>
      <c r="G794" s="11" t="s">
        <v>1878</v>
      </c>
      <c r="H794" s="11" t="s">
        <v>670</v>
      </c>
      <c r="I794" s="11" t="s">
        <v>27</v>
      </c>
      <c r="J794" s="11" t="s">
        <v>684</v>
      </c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1" t="s">
        <v>228</v>
      </c>
      <c r="C795" s="11" t="s">
        <v>125</v>
      </c>
      <c r="D795" s="11" t="s">
        <v>1880</v>
      </c>
      <c r="E795" s="11" t="s">
        <v>1881</v>
      </c>
      <c r="F795" s="10"/>
      <c r="G795" s="11" t="s">
        <v>1878</v>
      </c>
      <c r="H795" s="11" t="s">
        <v>670</v>
      </c>
      <c r="I795" s="11" t="s">
        <v>27</v>
      </c>
      <c r="J795" s="11" t="s">
        <v>684</v>
      </c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1" t="s">
        <v>34</v>
      </c>
      <c r="C796" s="11" t="s">
        <v>153</v>
      </c>
      <c r="D796" s="11" t="s">
        <v>154</v>
      </c>
      <c r="E796" s="11" t="s">
        <v>1882</v>
      </c>
      <c r="F796" s="10"/>
      <c r="G796" s="11" t="s">
        <v>1878</v>
      </c>
      <c r="H796" s="11" t="s">
        <v>670</v>
      </c>
      <c r="I796" s="11" t="s">
        <v>27</v>
      </c>
      <c r="J796" s="11" t="s">
        <v>28</v>
      </c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37" t="s">
        <v>410</v>
      </c>
      <c r="B797" s="11" t="s">
        <v>67</v>
      </c>
      <c r="C797" s="37" t="s">
        <v>125</v>
      </c>
      <c r="D797" s="37" t="s">
        <v>1883</v>
      </c>
      <c r="E797" s="38" t="s">
        <v>412</v>
      </c>
      <c r="F797" s="10"/>
      <c r="G797" s="11" t="s">
        <v>1884</v>
      </c>
      <c r="H797" s="11" t="s">
        <v>259</v>
      </c>
      <c r="I797" s="11" t="s">
        <v>27</v>
      </c>
      <c r="J797" s="11" t="s">
        <v>28</v>
      </c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1" t="s">
        <v>1885</v>
      </c>
      <c r="B798" s="11" t="s">
        <v>228</v>
      </c>
      <c r="C798" s="11" t="s">
        <v>125</v>
      </c>
      <c r="D798" s="11" t="s">
        <v>133</v>
      </c>
      <c r="E798" s="11" t="s">
        <v>1886</v>
      </c>
      <c r="F798" s="10"/>
      <c r="G798" s="11" t="s">
        <v>1884</v>
      </c>
      <c r="H798" s="11" t="s">
        <v>259</v>
      </c>
      <c r="I798" s="11" t="s">
        <v>27</v>
      </c>
      <c r="J798" s="11" t="s">
        <v>28</v>
      </c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1" t="s">
        <v>34</v>
      </c>
      <c r="C799" s="11" t="s">
        <v>153</v>
      </c>
      <c r="D799" s="11" t="s">
        <v>154</v>
      </c>
      <c r="E799" s="11" t="s">
        <v>417</v>
      </c>
      <c r="F799" s="10"/>
      <c r="G799" s="11" t="s">
        <v>1884</v>
      </c>
      <c r="H799" s="11" t="s">
        <v>259</v>
      </c>
      <c r="I799" s="11" t="s">
        <v>27</v>
      </c>
      <c r="J799" s="11" t="s">
        <v>28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1" t="s">
        <v>915</v>
      </c>
      <c r="B800" s="11" t="s">
        <v>1805</v>
      </c>
      <c r="C800" s="11" t="s">
        <v>291</v>
      </c>
      <c r="D800" s="11" t="s">
        <v>292</v>
      </c>
      <c r="E800" s="11" t="s">
        <v>916</v>
      </c>
      <c r="F800" s="10"/>
      <c r="G800" s="11" t="s">
        <v>1884</v>
      </c>
      <c r="H800" s="11" t="s">
        <v>259</v>
      </c>
      <c r="I800" s="11" t="s">
        <v>27</v>
      </c>
      <c r="J800" s="11" t="s">
        <v>28</v>
      </c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1" t="s">
        <v>253</v>
      </c>
      <c r="C801" s="11" t="s">
        <v>254</v>
      </c>
      <c r="D801" s="11" t="s">
        <v>255</v>
      </c>
      <c r="E801" s="11" t="s">
        <v>1869</v>
      </c>
      <c r="F801" s="10"/>
      <c r="G801" s="11" t="s">
        <v>1884</v>
      </c>
      <c r="H801" s="11" t="s">
        <v>259</v>
      </c>
      <c r="I801" s="11" t="s">
        <v>27</v>
      </c>
      <c r="J801" s="11" t="s">
        <v>28</v>
      </c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1" t="s">
        <v>1887</v>
      </c>
      <c r="B802" s="11" t="s">
        <v>1888</v>
      </c>
      <c r="C802" s="11" t="s">
        <v>615</v>
      </c>
      <c r="D802" s="11" t="s">
        <v>288</v>
      </c>
      <c r="E802" s="11" t="s">
        <v>288</v>
      </c>
      <c r="F802" s="10"/>
      <c r="G802" s="11" t="s">
        <v>1884</v>
      </c>
      <c r="H802" s="11" t="s">
        <v>259</v>
      </c>
      <c r="I802" s="11" t="s">
        <v>27</v>
      </c>
      <c r="J802" s="11" t="s">
        <v>28</v>
      </c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1" t="s">
        <v>167</v>
      </c>
      <c r="C803" s="11" t="s">
        <v>296</v>
      </c>
      <c r="D803" s="11" t="s">
        <v>297</v>
      </c>
      <c r="E803" s="11" t="s">
        <v>423</v>
      </c>
      <c r="F803" s="10"/>
      <c r="G803" s="11" t="s">
        <v>1884</v>
      </c>
      <c r="H803" s="11" t="s">
        <v>259</v>
      </c>
      <c r="I803" s="11" t="s">
        <v>27</v>
      </c>
      <c r="J803" s="11" t="s">
        <v>28</v>
      </c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1" t="s">
        <v>1875</v>
      </c>
      <c r="C804" s="11" t="s">
        <v>197</v>
      </c>
      <c r="D804" s="11" t="s">
        <v>1889</v>
      </c>
      <c r="E804" s="11" t="s">
        <v>1890</v>
      </c>
      <c r="F804" s="10"/>
      <c r="G804" s="11" t="s">
        <v>1884</v>
      </c>
      <c r="H804" s="11" t="s">
        <v>259</v>
      </c>
      <c r="I804" s="11" t="s">
        <v>27</v>
      </c>
      <c r="J804" s="11" t="s">
        <v>28</v>
      </c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1" t="s">
        <v>67</v>
      </c>
      <c r="C805" s="39" t="s">
        <v>270</v>
      </c>
      <c r="D805" s="11" t="s">
        <v>358</v>
      </c>
      <c r="E805" s="11" t="s">
        <v>1891</v>
      </c>
      <c r="F805" s="10"/>
      <c r="G805" s="11" t="s">
        <v>1892</v>
      </c>
      <c r="H805" s="11" t="s">
        <v>259</v>
      </c>
      <c r="I805" s="11" t="s">
        <v>27</v>
      </c>
      <c r="J805" s="11" t="s">
        <v>28</v>
      </c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1" t="s">
        <v>228</v>
      </c>
      <c r="C806" s="11" t="s">
        <v>362</v>
      </c>
      <c r="D806" s="11" t="s">
        <v>441</v>
      </c>
      <c r="E806" s="11" t="s">
        <v>442</v>
      </c>
      <c r="F806" s="10"/>
      <c r="G806" s="11" t="s">
        <v>1892</v>
      </c>
      <c r="H806" s="11" t="s">
        <v>259</v>
      </c>
      <c r="I806" s="11" t="s">
        <v>27</v>
      </c>
      <c r="J806" s="11" t="s">
        <v>28</v>
      </c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1" t="s">
        <v>34</v>
      </c>
      <c r="C807" s="11" t="s">
        <v>153</v>
      </c>
      <c r="D807" s="11" t="s">
        <v>154</v>
      </c>
      <c r="E807" s="11" t="s">
        <v>445</v>
      </c>
      <c r="F807" s="10"/>
      <c r="G807" s="11" t="s">
        <v>1892</v>
      </c>
      <c r="H807" s="11" t="s">
        <v>259</v>
      </c>
      <c r="I807" s="11" t="s">
        <v>27</v>
      </c>
      <c r="J807" s="11" t="s">
        <v>28</v>
      </c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1" t="s">
        <v>1805</v>
      </c>
      <c r="C808" s="11" t="s">
        <v>291</v>
      </c>
      <c r="D808" s="11" t="s">
        <v>292</v>
      </c>
      <c r="E808" s="11" t="s">
        <v>789</v>
      </c>
      <c r="F808" s="10"/>
      <c r="G808" s="11" t="s">
        <v>1892</v>
      </c>
      <c r="H808" s="11" t="s">
        <v>259</v>
      </c>
      <c r="I808" s="11" t="s">
        <v>27</v>
      </c>
      <c r="J808" s="11" t="s">
        <v>28</v>
      </c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1" t="s">
        <v>253</v>
      </c>
      <c r="C809" s="11" t="s">
        <v>254</v>
      </c>
      <c r="D809" s="11" t="s">
        <v>255</v>
      </c>
      <c r="E809" s="11" t="s">
        <v>443</v>
      </c>
      <c r="F809" s="10"/>
      <c r="G809" s="11" t="s">
        <v>1892</v>
      </c>
      <c r="H809" s="11" t="s">
        <v>259</v>
      </c>
      <c r="I809" s="11" t="s">
        <v>27</v>
      </c>
      <c r="J809" s="11" t="s">
        <v>28</v>
      </c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1" t="s">
        <v>167</v>
      </c>
      <c r="C810" s="11" t="s">
        <v>296</v>
      </c>
      <c r="D810" s="11" t="s">
        <v>297</v>
      </c>
      <c r="E810" s="11" t="s">
        <v>446</v>
      </c>
      <c r="F810" s="10"/>
      <c r="G810" s="11" t="s">
        <v>1892</v>
      </c>
      <c r="H810" s="11" t="s">
        <v>259</v>
      </c>
      <c r="I810" s="11" t="s">
        <v>27</v>
      </c>
      <c r="J810" s="11" t="s">
        <v>28</v>
      </c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1" t="s">
        <v>1875</v>
      </c>
      <c r="C811" s="11" t="s">
        <v>296</v>
      </c>
      <c r="D811" s="11" t="s">
        <v>1893</v>
      </c>
      <c r="E811" s="11" t="s">
        <v>1894</v>
      </c>
      <c r="F811" s="10"/>
      <c r="G811" s="11" t="s">
        <v>1892</v>
      </c>
      <c r="H811" s="11" t="s">
        <v>259</v>
      </c>
      <c r="I811" s="11" t="s">
        <v>27</v>
      </c>
      <c r="J811" s="11" t="s">
        <v>28</v>
      </c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1" t="s">
        <v>425</v>
      </c>
      <c r="B812" s="11" t="s">
        <v>67</v>
      </c>
      <c r="C812" s="11" t="s">
        <v>125</v>
      </c>
      <c r="D812" s="11" t="s">
        <v>1883</v>
      </c>
      <c r="E812" s="11">
        <v>2.2000167E7</v>
      </c>
      <c r="F812" s="10"/>
      <c r="G812" s="11" t="s">
        <v>1895</v>
      </c>
      <c r="H812" s="11" t="s">
        <v>259</v>
      </c>
      <c r="I812" s="11" t="s">
        <v>27</v>
      </c>
      <c r="J812" s="11" t="s">
        <v>28</v>
      </c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1" t="s">
        <v>228</v>
      </c>
      <c r="C813" s="11" t="s">
        <v>125</v>
      </c>
      <c r="D813" s="11" t="s">
        <v>1896</v>
      </c>
      <c r="E813" s="11" t="s">
        <v>1896</v>
      </c>
      <c r="F813" s="10"/>
      <c r="G813" s="11" t="s">
        <v>1895</v>
      </c>
      <c r="H813" s="11" t="s">
        <v>259</v>
      </c>
      <c r="I813" s="11" t="s">
        <v>27</v>
      </c>
      <c r="J813" s="11" t="s">
        <v>28</v>
      </c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1" t="s">
        <v>34</v>
      </c>
      <c r="C814" s="11" t="s">
        <v>153</v>
      </c>
      <c r="D814" s="11" t="s">
        <v>154</v>
      </c>
      <c r="E814" s="11" t="s">
        <v>432</v>
      </c>
      <c r="F814" s="10"/>
      <c r="G814" s="11" t="s">
        <v>1895</v>
      </c>
      <c r="H814" s="11" t="s">
        <v>259</v>
      </c>
      <c r="I814" s="11" t="s">
        <v>27</v>
      </c>
      <c r="J814" s="11" t="s">
        <v>28</v>
      </c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1" t="s">
        <v>1805</v>
      </c>
      <c r="C815" s="11" t="s">
        <v>291</v>
      </c>
      <c r="D815" s="11" t="s">
        <v>292</v>
      </c>
      <c r="E815" s="11" t="s">
        <v>464</v>
      </c>
      <c r="F815" s="10"/>
      <c r="G815" s="11" t="s">
        <v>1895</v>
      </c>
      <c r="H815" s="11" t="s">
        <v>259</v>
      </c>
      <c r="I815" s="11" t="s">
        <v>27</v>
      </c>
      <c r="J815" s="11" t="s">
        <v>28</v>
      </c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1" t="s">
        <v>1888</v>
      </c>
      <c r="C816" s="11" t="s">
        <v>615</v>
      </c>
      <c r="D816" s="11" t="s">
        <v>288</v>
      </c>
      <c r="E816" s="11" t="s">
        <v>288</v>
      </c>
      <c r="F816" s="10"/>
      <c r="G816" s="11" t="s">
        <v>1895</v>
      </c>
      <c r="H816" s="11" t="s">
        <v>259</v>
      </c>
      <c r="I816" s="11" t="s">
        <v>27</v>
      </c>
      <c r="J816" s="11" t="s">
        <v>28</v>
      </c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1" t="s">
        <v>253</v>
      </c>
      <c r="C817" s="11" t="s">
        <v>254</v>
      </c>
      <c r="D817" s="11" t="s">
        <v>255</v>
      </c>
      <c r="E817" s="11" t="s">
        <v>1869</v>
      </c>
      <c r="F817" s="10"/>
      <c r="G817" s="11" t="s">
        <v>1895</v>
      </c>
      <c r="H817" s="11" t="s">
        <v>259</v>
      </c>
      <c r="I817" s="11" t="s">
        <v>27</v>
      </c>
      <c r="J817" s="11" t="s">
        <v>28</v>
      </c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1" t="s">
        <v>167</v>
      </c>
      <c r="C818" s="11" t="s">
        <v>296</v>
      </c>
      <c r="D818" s="11" t="s">
        <v>297</v>
      </c>
      <c r="E818" s="11" t="s">
        <v>469</v>
      </c>
      <c r="F818" s="10"/>
      <c r="G818" s="11" t="s">
        <v>1895</v>
      </c>
      <c r="H818" s="11" t="s">
        <v>259</v>
      </c>
      <c r="I818" s="11" t="s">
        <v>27</v>
      </c>
      <c r="J818" s="11" t="s">
        <v>28</v>
      </c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1" t="s">
        <v>1897</v>
      </c>
      <c r="B819" s="11" t="s">
        <v>1875</v>
      </c>
      <c r="C819" s="11" t="s">
        <v>1898</v>
      </c>
      <c r="D819" s="11" t="s">
        <v>1899</v>
      </c>
      <c r="E819" s="11" t="s">
        <v>288</v>
      </c>
      <c r="F819" s="10"/>
      <c r="G819" s="11" t="s">
        <v>1895</v>
      </c>
      <c r="H819" s="11" t="s">
        <v>259</v>
      </c>
      <c r="I819" s="11" t="s">
        <v>27</v>
      </c>
      <c r="J819" s="11" t="s">
        <v>28</v>
      </c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8" t="s">
        <v>1900</v>
      </c>
      <c r="B820" s="8" t="s">
        <v>67</v>
      </c>
      <c r="C820" s="8" t="s">
        <v>270</v>
      </c>
      <c r="D820" s="8" t="s">
        <v>1901</v>
      </c>
      <c r="E820" s="14" t="s">
        <v>1902</v>
      </c>
      <c r="F820" s="8" t="s">
        <v>1903</v>
      </c>
      <c r="G820" s="8" t="s">
        <v>1904</v>
      </c>
      <c r="H820" s="11" t="s">
        <v>259</v>
      </c>
      <c r="I820" s="11" t="s">
        <v>27</v>
      </c>
      <c r="J820" s="11" t="s">
        <v>28</v>
      </c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8"/>
      <c r="B821" s="8" t="s">
        <v>228</v>
      </c>
      <c r="C821" s="8" t="s">
        <v>270</v>
      </c>
      <c r="D821" s="8" t="s">
        <v>277</v>
      </c>
      <c r="E821" s="40" t="s">
        <v>1905</v>
      </c>
      <c r="F821" s="8" t="s">
        <v>1906</v>
      </c>
      <c r="G821" s="8" t="s">
        <v>1904</v>
      </c>
      <c r="H821" s="11" t="s">
        <v>259</v>
      </c>
      <c r="I821" s="11" t="s">
        <v>27</v>
      </c>
      <c r="J821" s="11" t="s">
        <v>28</v>
      </c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8" t="s">
        <v>477</v>
      </c>
      <c r="B822" s="8" t="s">
        <v>34</v>
      </c>
      <c r="C822" s="8" t="s">
        <v>288</v>
      </c>
      <c r="D822" s="8" t="s">
        <v>288</v>
      </c>
      <c r="E822" s="14" t="s">
        <v>288</v>
      </c>
      <c r="F822" s="8" t="s">
        <v>1907</v>
      </c>
      <c r="G822" s="8" t="s">
        <v>1904</v>
      </c>
      <c r="H822" s="11" t="s">
        <v>259</v>
      </c>
      <c r="I822" s="11" t="s">
        <v>27</v>
      </c>
      <c r="J822" s="11" t="s">
        <v>28</v>
      </c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8"/>
      <c r="B823" s="8" t="s">
        <v>290</v>
      </c>
      <c r="C823" s="8" t="s">
        <v>291</v>
      </c>
      <c r="D823" s="41" t="s">
        <v>292</v>
      </c>
      <c r="E823" s="40" t="s">
        <v>912</v>
      </c>
      <c r="F823" s="8" t="s">
        <v>1908</v>
      </c>
      <c r="G823" s="8" t="s">
        <v>1904</v>
      </c>
      <c r="H823" s="11" t="s">
        <v>259</v>
      </c>
      <c r="I823" s="11" t="s">
        <v>27</v>
      </c>
      <c r="J823" s="11" t="s">
        <v>28</v>
      </c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8" t="s">
        <v>279</v>
      </c>
      <c r="B824" s="8" t="s">
        <v>253</v>
      </c>
      <c r="C824" s="8" t="s">
        <v>254</v>
      </c>
      <c r="D824" s="8" t="s">
        <v>255</v>
      </c>
      <c r="E824" s="14" t="s">
        <v>280</v>
      </c>
      <c r="F824" s="8" t="s">
        <v>1909</v>
      </c>
      <c r="G824" s="8" t="s">
        <v>1904</v>
      </c>
      <c r="H824" s="11" t="s">
        <v>259</v>
      </c>
      <c r="I824" s="11" t="s">
        <v>27</v>
      </c>
      <c r="J824" s="11" t="s">
        <v>28</v>
      </c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8"/>
      <c r="B825" s="8" t="s">
        <v>286</v>
      </c>
      <c r="C825" s="8" t="s">
        <v>1910</v>
      </c>
      <c r="D825" s="8" t="s">
        <v>288</v>
      </c>
      <c r="E825" s="14" t="s">
        <v>288</v>
      </c>
      <c r="F825" s="8" t="s">
        <v>1911</v>
      </c>
      <c r="G825" s="8" t="s">
        <v>1904</v>
      </c>
      <c r="H825" s="11" t="s">
        <v>259</v>
      </c>
      <c r="I825" s="11" t="s">
        <v>27</v>
      </c>
      <c r="J825" s="11" t="s">
        <v>28</v>
      </c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8"/>
      <c r="B826" s="8" t="s">
        <v>167</v>
      </c>
      <c r="C826" s="8" t="s">
        <v>296</v>
      </c>
      <c r="D826" s="8" t="s">
        <v>297</v>
      </c>
      <c r="E826" s="14" t="s">
        <v>298</v>
      </c>
      <c r="F826" s="8" t="s">
        <v>1912</v>
      </c>
      <c r="G826" s="8" t="s">
        <v>1904</v>
      </c>
      <c r="H826" s="11" t="s">
        <v>259</v>
      </c>
      <c r="I826" s="11" t="s">
        <v>27</v>
      </c>
      <c r="J826" s="11" t="s">
        <v>28</v>
      </c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8"/>
      <c r="B827" s="8" t="s">
        <v>1875</v>
      </c>
      <c r="C827" s="8" t="s">
        <v>48</v>
      </c>
      <c r="D827" s="8" t="s">
        <v>1913</v>
      </c>
      <c r="E827" s="14" t="s">
        <v>1914</v>
      </c>
      <c r="F827" s="8" t="s">
        <v>1915</v>
      </c>
      <c r="G827" s="8" t="s">
        <v>1904</v>
      </c>
      <c r="H827" s="11" t="s">
        <v>259</v>
      </c>
      <c r="I827" s="11" t="s">
        <v>27</v>
      </c>
      <c r="J827" s="11" t="s">
        <v>28</v>
      </c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8"/>
      <c r="B828" s="8" t="s">
        <v>67</v>
      </c>
      <c r="C828" s="8" t="s">
        <v>270</v>
      </c>
      <c r="D828" s="8" t="s">
        <v>1901</v>
      </c>
      <c r="E828" s="14" t="s">
        <v>506</v>
      </c>
      <c r="F828" s="41" t="s">
        <v>1903</v>
      </c>
      <c r="G828" s="8" t="s">
        <v>1916</v>
      </c>
      <c r="H828" s="11" t="s">
        <v>259</v>
      </c>
      <c r="I828" s="11" t="s">
        <v>27</v>
      </c>
      <c r="J828" s="11" t="s">
        <v>28</v>
      </c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8"/>
      <c r="B829" s="8" t="s">
        <v>228</v>
      </c>
      <c r="C829" s="8" t="s">
        <v>270</v>
      </c>
      <c r="D829" s="8" t="s">
        <v>1783</v>
      </c>
      <c r="E829" s="14" t="s">
        <v>1917</v>
      </c>
      <c r="F829" s="8" t="s">
        <v>1918</v>
      </c>
      <c r="G829" s="8" t="s">
        <v>1916</v>
      </c>
      <c r="H829" s="11" t="s">
        <v>259</v>
      </c>
      <c r="I829" s="11" t="s">
        <v>27</v>
      </c>
      <c r="J829" s="11" t="s">
        <v>28</v>
      </c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8" t="s">
        <v>1919</v>
      </c>
      <c r="B830" s="8" t="s">
        <v>34</v>
      </c>
      <c r="C830" s="8" t="s">
        <v>288</v>
      </c>
      <c r="D830" s="8" t="s">
        <v>288</v>
      </c>
      <c r="E830" s="14" t="s">
        <v>288</v>
      </c>
      <c r="F830" s="8" t="s">
        <v>1920</v>
      </c>
      <c r="G830" s="8" t="s">
        <v>1916</v>
      </c>
      <c r="H830" s="11" t="s">
        <v>259</v>
      </c>
      <c r="I830" s="11" t="s">
        <v>27</v>
      </c>
      <c r="J830" s="11" t="s">
        <v>28</v>
      </c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8"/>
      <c r="B831" s="8" t="s">
        <v>290</v>
      </c>
      <c r="C831" s="8" t="s">
        <v>291</v>
      </c>
      <c r="D831" s="8" t="s">
        <v>292</v>
      </c>
      <c r="E831" s="14" t="s">
        <v>516</v>
      </c>
      <c r="F831" s="8" t="s">
        <v>1921</v>
      </c>
      <c r="G831" s="8" t="s">
        <v>1916</v>
      </c>
      <c r="H831" s="11" t="s">
        <v>259</v>
      </c>
      <c r="I831" s="11" t="s">
        <v>27</v>
      </c>
      <c r="J831" s="11" t="s">
        <v>28</v>
      </c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8"/>
      <c r="B832" s="8" t="s">
        <v>253</v>
      </c>
      <c r="C832" s="8" t="s">
        <v>254</v>
      </c>
      <c r="D832" s="8" t="s">
        <v>255</v>
      </c>
      <c r="E832" s="14" t="s">
        <v>512</v>
      </c>
      <c r="F832" s="8" t="s">
        <v>1909</v>
      </c>
      <c r="G832" s="8" t="s">
        <v>1916</v>
      </c>
      <c r="H832" s="11" t="s">
        <v>259</v>
      </c>
      <c r="I832" s="11" t="s">
        <v>27</v>
      </c>
      <c r="J832" s="11" t="s">
        <v>28</v>
      </c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8"/>
      <c r="B833" s="8" t="s">
        <v>286</v>
      </c>
      <c r="C833" s="8" t="s">
        <v>1910</v>
      </c>
      <c r="D833" s="8" t="s">
        <v>288</v>
      </c>
      <c r="E833" s="14" t="s">
        <v>288</v>
      </c>
      <c r="F833" s="8" t="s">
        <v>1922</v>
      </c>
      <c r="G833" s="8" t="s">
        <v>1916</v>
      </c>
      <c r="H833" s="11" t="s">
        <v>259</v>
      </c>
      <c r="I833" s="11" t="s">
        <v>27</v>
      </c>
      <c r="J833" s="11" t="s">
        <v>28</v>
      </c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8"/>
      <c r="B834" s="8" t="s">
        <v>167</v>
      </c>
      <c r="C834" s="8" t="s">
        <v>296</v>
      </c>
      <c r="D834" s="8" t="s">
        <v>1282</v>
      </c>
      <c r="E834" s="14" t="s">
        <v>1542</v>
      </c>
      <c r="F834" s="8" t="s">
        <v>1923</v>
      </c>
      <c r="G834" s="8" t="s">
        <v>1916</v>
      </c>
      <c r="H834" s="11" t="s">
        <v>259</v>
      </c>
      <c r="I834" s="11" t="s">
        <v>27</v>
      </c>
      <c r="J834" s="11" t="s">
        <v>28</v>
      </c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8"/>
      <c r="B835" s="8" t="s">
        <v>1875</v>
      </c>
      <c r="C835" s="8" t="s">
        <v>296</v>
      </c>
      <c r="D835" s="8" t="s">
        <v>1287</v>
      </c>
      <c r="E835" s="14" t="s">
        <v>1542</v>
      </c>
      <c r="F835" s="8" t="s">
        <v>1896</v>
      </c>
      <c r="G835" s="8" t="s">
        <v>1916</v>
      </c>
      <c r="H835" s="11" t="s">
        <v>259</v>
      </c>
      <c r="I835" s="11" t="s">
        <v>27</v>
      </c>
      <c r="J835" s="11" t="s">
        <v>28</v>
      </c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1" t="s">
        <v>269</v>
      </c>
      <c r="B836" s="11" t="s">
        <v>67</v>
      </c>
      <c r="C836" s="11" t="s">
        <v>270</v>
      </c>
      <c r="D836" s="11" t="s">
        <v>1924</v>
      </c>
      <c r="E836" s="11" t="s">
        <v>1925</v>
      </c>
      <c r="F836" s="11" t="s">
        <v>1903</v>
      </c>
      <c r="G836" s="11" t="s">
        <v>868</v>
      </c>
      <c r="H836" s="11" t="s">
        <v>259</v>
      </c>
      <c r="I836" s="11" t="s">
        <v>27</v>
      </c>
      <c r="J836" s="11" t="s">
        <v>28</v>
      </c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8" t="s">
        <v>276</v>
      </c>
      <c r="B837" s="8" t="s">
        <v>132</v>
      </c>
      <c r="C837" s="8" t="s">
        <v>270</v>
      </c>
      <c r="D837" s="8" t="s">
        <v>277</v>
      </c>
      <c r="E837" s="9" t="s">
        <v>278</v>
      </c>
      <c r="F837" s="8" t="s">
        <v>134</v>
      </c>
      <c r="G837" s="11" t="s">
        <v>868</v>
      </c>
      <c r="H837" s="11" t="s">
        <v>259</v>
      </c>
      <c r="I837" s="11" t="s">
        <v>27</v>
      </c>
      <c r="J837" s="11" t="s">
        <v>28</v>
      </c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1" t="s">
        <v>513</v>
      </c>
      <c r="B838" s="11" t="s">
        <v>41</v>
      </c>
      <c r="C838" s="11" t="s">
        <v>153</v>
      </c>
      <c r="D838" s="11" t="s">
        <v>348</v>
      </c>
      <c r="E838" s="11" t="s">
        <v>514</v>
      </c>
      <c r="F838" s="11" t="s">
        <v>1926</v>
      </c>
      <c r="G838" s="11" t="s">
        <v>868</v>
      </c>
      <c r="H838" s="11" t="s">
        <v>259</v>
      </c>
      <c r="I838" s="11" t="s">
        <v>27</v>
      </c>
      <c r="J838" s="11" t="s">
        <v>28</v>
      </c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1" t="s">
        <v>34</v>
      </c>
      <c r="C839" s="11" t="s">
        <v>153</v>
      </c>
      <c r="D839" s="11" t="s">
        <v>154</v>
      </c>
      <c r="E839" s="11" t="s">
        <v>1927</v>
      </c>
      <c r="F839" s="11" t="s">
        <v>1928</v>
      </c>
      <c r="G839" s="11" t="s">
        <v>868</v>
      </c>
      <c r="H839" s="11" t="s">
        <v>259</v>
      </c>
      <c r="I839" s="11" t="s">
        <v>27</v>
      </c>
      <c r="J839" s="11" t="s">
        <v>28</v>
      </c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1" t="s">
        <v>253</v>
      </c>
      <c r="C840" s="11" t="s">
        <v>254</v>
      </c>
      <c r="D840" s="11" t="s">
        <v>255</v>
      </c>
      <c r="E840" s="11" t="s">
        <v>288</v>
      </c>
      <c r="F840" s="11" t="s">
        <v>1929</v>
      </c>
      <c r="G840" s="11" t="s">
        <v>868</v>
      </c>
      <c r="H840" s="11" t="s">
        <v>259</v>
      </c>
      <c r="I840" s="11" t="s">
        <v>27</v>
      </c>
      <c r="J840" s="11" t="s">
        <v>28</v>
      </c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1" t="s">
        <v>1930</v>
      </c>
      <c r="C841" s="11" t="s">
        <v>1910</v>
      </c>
      <c r="D841" s="11" t="s">
        <v>288</v>
      </c>
      <c r="E841" s="11" t="s">
        <v>288</v>
      </c>
      <c r="F841" s="11" t="s">
        <v>288</v>
      </c>
      <c r="G841" s="11" t="s">
        <v>868</v>
      </c>
      <c r="H841" s="11" t="s">
        <v>259</v>
      </c>
      <c r="I841" s="11" t="s">
        <v>27</v>
      </c>
      <c r="J841" s="11" t="s">
        <v>28</v>
      </c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3" t="s">
        <v>866</v>
      </c>
      <c r="B842" s="8" t="s">
        <v>98</v>
      </c>
      <c r="C842" s="8" t="s">
        <v>99</v>
      </c>
      <c r="D842" s="8" t="s">
        <v>859</v>
      </c>
      <c r="E842" s="9" t="s">
        <v>867</v>
      </c>
      <c r="F842" s="8" t="s">
        <v>861</v>
      </c>
      <c r="G842" s="11" t="s">
        <v>868</v>
      </c>
      <c r="H842" s="11" t="s">
        <v>259</v>
      </c>
      <c r="I842" s="11" t="s">
        <v>27</v>
      </c>
      <c r="J842" s="11" t="s">
        <v>28</v>
      </c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1" t="s">
        <v>67</v>
      </c>
      <c r="C843" s="11" t="s">
        <v>270</v>
      </c>
      <c r="D843" s="11" t="s">
        <v>358</v>
      </c>
      <c r="E843" s="11" t="s">
        <v>382</v>
      </c>
      <c r="F843" s="11" t="s">
        <v>1931</v>
      </c>
      <c r="G843" s="11" t="s">
        <v>1932</v>
      </c>
      <c r="H843" s="11" t="s">
        <v>259</v>
      </c>
      <c r="I843" s="11" t="s">
        <v>91</v>
      </c>
      <c r="J843" s="11" t="s">
        <v>884</v>
      </c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1" t="s">
        <v>132</v>
      </c>
      <c r="C844" s="11" t="s">
        <v>270</v>
      </c>
      <c r="D844" s="11" t="s">
        <v>277</v>
      </c>
      <c r="E844" s="11" t="s">
        <v>1711</v>
      </c>
      <c r="F844" s="11" t="s">
        <v>1918</v>
      </c>
      <c r="G844" s="11" t="s">
        <v>1932</v>
      </c>
      <c r="H844" s="11" t="s">
        <v>259</v>
      </c>
      <c r="I844" s="11" t="s">
        <v>91</v>
      </c>
      <c r="J844" s="11" t="s">
        <v>884</v>
      </c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1" t="s">
        <v>286</v>
      </c>
      <c r="C845" s="11" t="s">
        <v>1910</v>
      </c>
      <c r="D845" s="11" t="s">
        <v>288</v>
      </c>
      <c r="E845" s="11" t="s">
        <v>288</v>
      </c>
      <c r="F845" s="11" t="s">
        <v>572</v>
      </c>
      <c r="G845" s="11" t="s">
        <v>1932</v>
      </c>
      <c r="H845" s="11" t="s">
        <v>259</v>
      </c>
      <c r="I845" s="11" t="s">
        <v>91</v>
      </c>
      <c r="J845" s="11" t="s">
        <v>884</v>
      </c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1" t="s">
        <v>385</v>
      </c>
      <c r="B846" s="11" t="s">
        <v>253</v>
      </c>
      <c r="C846" s="11" t="s">
        <v>254</v>
      </c>
      <c r="D846" s="11" t="s">
        <v>255</v>
      </c>
      <c r="E846" s="11" t="s">
        <v>386</v>
      </c>
      <c r="F846" s="11" t="s">
        <v>1929</v>
      </c>
      <c r="G846" s="11" t="s">
        <v>1932</v>
      </c>
      <c r="H846" s="11" t="s">
        <v>259</v>
      </c>
      <c r="I846" s="11" t="s">
        <v>91</v>
      </c>
      <c r="J846" s="11" t="s">
        <v>884</v>
      </c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</sheetData>
  <autoFilter ref="$A$1:$Z$1051"/>
  <conditionalFormatting sqref="K1:K1051">
    <cfRule type="containsText" dxfId="0" priority="1" operator="containsText" text="ROBADO">
      <formula>NOT(ISERROR(SEARCH(("ROBADO"),(K1))))</formula>
    </cfRule>
  </conditionalFormatting>
  <dataValidations>
    <dataValidation type="list" allowBlank="1" showErrorMessage="1" sqref="I2:I846">
      <formula1>"ADMIN &amp; FIN,NEGOCIOS,COMERCIAL,OPERACIONES,ACCIONISTA"</formula1>
    </dataValidation>
    <dataValidation type="list" allowBlank="1" showErrorMessage="1" sqref="J2:J846">
      <formula1>"ATC,ADV,ADT,NOC,CONTACT CENTER,TELEVENTAS,TI,ALMACEN TI,JEFATURA,FINANZAS,RRHH,MARKETING,LOGISTICA,PROYECTOS,CABECERA,DATA CENTER,TECNICO,CADISTA,CAPACITADOR,OFICINA,CONTABILIDAD,ANALISTA,RECLUTADOR,VIGILANTE,TELESUR,ACCIONISTA,ASISTENTE"</formula1>
    </dataValidation>
    <dataValidation type="list" allowBlank="1" showErrorMessage="1" sqref="H2:H846">
      <formula1>"ILO,CAM,MOLL,LIM,ARE,TAC,MOQ"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14"/>
    <col customWidth="1" min="2" max="2" width="15.29"/>
    <col customWidth="1" min="3" max="3" width="13.57"/>
    <col customWidth="1" min="4" max="4" width="19.0"/>
    <col customWidth="1" min="5" max="5" width="20.71"/>
    <col customWidth="1" min="6" max="6" width="34.71"/>
    <col customWidth="1" min="7" max="7" width="19.57"/>
    <col customWidth="1" min="8" max="8" width="10.71"/>
    <col customWidth="1" min="9" max="9" width="16.57"/>
    <col customWidth="1" min="10" max="10" width="17.43"/>
    <col customWidth="1" min="11" max="11" width="9.14"/>
    <col customWidth="1" min="12" max="12" width="9.57"/>
    <col customWidth="1" min="13" max="15" width="10.29"/>
    <col customWidth="1" min="16" max="16" width="50.43"/>
    <col customWidth="1" min="17" max="17" width="19.57"/>
    <col customWidth="1" min="18" max="18" width="20.43"/>
    <col customWidth="1" min="19" max="19" width="18.86"/>
  </cols>
  <sheetData>
    <row r="1" ht="13.5" customHeight="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</row>
    <row r="2" ht="13.5" customHeight="1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17"/>
      <c r="M2" s="17"/>
      <c r="N2" s="18"/>
      <c r="O2" s="19"/>
      <c r="P2" s="7"/>
      <c r="Q2" s="7"/>
      <c r="R2" s="7"/>
      <c r="S2" s="17"/>
    </row>
    <row r="3" ht="13.5" customHeight="1">
      <c r="A3" s="7" t="s">
        <v>30</v>
      </c>
      <c r="B3" s="8" t="s">
        <v>20</v>
      </c>
      <c r="C3" s="8" t="s">
        <v>21</v>
      </c>
      <c r="D3" s="8" t="s">
        <v>22</v>
      </c>
      <c r="E3" s="9" t="s">
        <v>31</v>
      </c>
      <c r="F3" s="8" t="s">
        <v>24</v>
      </c>
      <c r="G3" s="8" t="s">
        <v>32</v>
      </c>
      <c r="H3" s="8" t="s">
        <v>26</v>
      </c>
      <c r="I3" s="8" t="s">
        <v>27</v>
      </c>
      <c r="J3" s="8" t="s">
        <v>28</v>
      </c>
      <c r="K3" s="8" t="s">
        <v>29</v>
      </c>
      <c r="L3" s="17"/>
      <c r="M3" s="17"/>
      <c r="N3" s="18"/>
      <c r="O3" s="19"/>
      <c r="P3" s="7"/>
      <c r="Q3" s="7"/>
      <c r="R3" s="7"/>
      <c r="S3" s="17"/>
    </row>
    <row r="4" ht="13.5" customHeight="1">
      <c r="A4" s="7" t="s">
        <v>33</v>
      </c>
      <c r="B4" s="8" t="s">
        <v>34</v>
      </c>
      <c r="C4" s="8" t="s">
        <v>35</v>
      </c>
      <c r="D4" s="8" t="s">
        <v>36</v>
      </c>
      <c r="E4" s="9" t="s">
        <v>37</v>
      </c>
      <c r="F4" s="8" t="s">
        <v>38</v>
      </c>
      <c r="G4" s="8" t="s">
        <v>25</v>
      </c>
      <c r="H4" s="8" t="s">
        <v>26</v>
      </c>
      <c r="I4" s="8" t="s">
        <v>27</v>
      </c>
      <c r="J4" s="8" t="s">
        <v>28</v>
      </c>
      <c r="K4" s="8" t="s">
        <v>29</v>
      </c>
      <c r="L4" s="17"/>
      <c r="M4" s="17"/>
      <c r="N4" s="18"/>
      <c r="O4" s="19"/>
      <c r="P4" s="7"/>
      <c r="Q4" s="7"/>
      <c r="R4" s="7"/>
      <c r="S4" s="17"/>
    </row>
    <row r="5" ht="13.5" customHeight="1">
      <c r="A5" s="7" t="s">
        <v>39</v>
      </c>
      <c r="B5" s="8" t="s">
        <v>34</v>
      </c>
      <c r="C5" s="8" t="s">
        <v>35</v>
      </c>
      <c r="D5" s="8" t="s">
        <v>36</v>
      </c>
      <c r="E5" s="9" t="s">
        <v>37</v>
      </c>
      <c r="F5" s="8" t="s">
        <v>38</v>
      </c>
      <c r="G5" s="8" t="s">
        <v>32</v>
      </c>
      <c r="H5" s="8" t="s">
        <v>26</v>
      </c>
      <c r="I5" s="8" t="s">
        <v>27</v>
      </c>
      <c r="J5" s="8" t="s">
        <v>28</v>
      </c>
      <c r="K5" s="8" t="s">
        <v>29</v>
      </c>
      <c r="L5" s="17"/>
      <c r="M5" s="17"/>
      <c r="N5" s="18"/>
      <c r="O5" s="19"/>
      <c r="P5" s="7"/>
      <c r="Q5" s="7"/>
      <c r="R5" s="7"/>
      <c r="S5" s="17"/>
    </row>
    <row r="6" ht="13.5" customHeight="1">
      <c r="A6" s="7" t="s">
        <v>40</v>
      </c>
      <c r="B6" s="8" t="s">
        <v>41</v>
      </c>
      <c r="C6" s="8" t="s">
        <v>35</v>
      </c>
      <c r="D6" s="8" t="s">
        <v>42</v>
      </c>
      <c r="E6" s="9" t="s">
        <v>43</v>
      </c>
      <c r="F6" s="8" t="s">
        <v>44</v>
      </c>
      <c r="G6" s="8" t="s">
        <v>25</v>
      </c>
      <c r="H6" s="8" t="s">
        <v>26</v>
      </c>
      <c r="I6" s="8" t="s">
        <v>27</v>
      </c>
      <c r="J6" s="8" t="s">
        <v>28</v>
      </c>
      <c r="K6" s="8" t="s">
        <v>29</v>
      </c>
      <c r="L6" s="17"/>
      <c r="M6" s="17"/>
      <c r="N6" s="18"/>
      <c r="O6" s="19"/>
      <c r="P6" s="7"/>
      <c r="Q6" s="7"/>
      <c r="R6" s="7"/>
      <c r="S6" s="17"/>
    </row>
    <row r="7" ht="13.5" customHeight="1">
      <c r="A7" s="7" t="s">
        <v>45</v>
      </c>
      <c r="B7" s="8" t="s">
        <v>41</v>
      </c>
      <c r="C7" s="8" t="s">
        <v>33</v>
      </c>
      <c r="D7" s="8" t="s">
        <v>33</v>
      </c>
      <c r="E7" s="9" t="s">
        <v>33</v>
      </c>
      <c r="F7" s="8" t="s">
        <v>44</v>
      </c>
      <c r="G7" s="8" t="s">
        <v>32</v>
      </c>
      <c r="H7" s="8" t="s">
        <v>26</v>
      </c>
      <c r="I7" s="8" t="s">
        <v>27</v>
      </c>
      <c r="J7" s="8" t="s">
        <v>28</v>
      </c>
      <c r="K7" s="8" t="s">
        <v>29</v>
      </c>
      <c r="L7" s="17"/>
      <c r="M7" s="17"/>
      <c r="N7" s="18"/>
      <c r="O7" s="19"/>
      <c r="P7" s="7"/>
      <c r="Q7" s="7"/>
      <c r="R7" s="7"/>
      <c r="S7" s="17"/>
    </row>
    <row r="8" ht="13.5" customHeight="1">
      <c r="A8" s="7" t="s">
        <v>46</v>
      </c>
      <c r="B8" s="8" t="s">
        <v>47</v>
      </c>
      <c r="C8" s="8" t="s">
        <v>48</v>
      </c>
      <c r="D8" s="8" t="s">
        <v>49</v>
      </c>
      <c r="E8" s="9" t="s">
        <v>50</v>
      </c>
      <c r="F8" s="8" t="s">
        <v>51</v>
      </c>
      <c r="G8" s="8" t="s">
        <v>25</v>
      </c>
      <c r="H8" s="8" t="s">
        <v>26</v>
      </c>
      <c r="I8" s="8" t="s">
        <v>27</v>
      </c>
      <c r="J8" s="8" t="s">
        <v>28</v>
      </c>
      <c r="K8" s="8" t="s">
        <v>52</v>
      </c>
      <c r="L8" s="17"/>
      <c r="M8" s="17"/>
      <c r="N8" s="18"/>
      <c r="O8" s="19"/>
      <c r="P8" s="7"/>
      <c r="Q8" s="42"/>
      <c r="R8" s="8" t="s">
        <v>1933</v>
      </c>
      <c r="S8" s="17"/>
    </row>
    <row r="9" ht="13.5" customHeight="1">
      <c r="A9" s="7" t="s">
        <v>33</v>
      </c>
      <c r="B9" s="8" t="s">
        <v>47</v>
      </c>
      <c r="C9" s="8" t="s">
        <v>48</v>
      </c>
      <c r="D9" s="8" t="s">
        <v>53</v>
      </c>
      <c r="E9" s="9" t="s">
        <v>54</v>
      </c>
      <c r="F9" s="8" t="s">
        <v>51</v>
      </c>
      <c r="G9" s="8" t="s">
        <v>32</v>
      </c>
      <c r="H9" s="8" t="s">
        <v>26</v>
      </c>
      <c r="I9" s="8" t="s">
        <v>27</v>
      </c>
      <c r="J9" s="8" t="s">
        <v>28</v>
      </c>
      <c r="K9" s="8" t="s">
        <v>55</v>
      </c>
      <c r="L9" s="17"/>
      <c r="M9" s="17"/>
      <c r="N9" s="18"/>
      <c r="O9" s="19"/>
      <c r="P9" s="7" t="s">
        <v>1934</v>
      </c>
      <c r="Q9" s="42">
        <v>45488.0</v>
      </c>
      <c r="R9" s="8" t="s">
        <v>1933</v>
      </c>
      <c r="S9" s="17"/>
    </row>
    <row r="10" ht="13.5" customHeight="1">
      <c r="A10" s="7" t="s">
        <v>33</v>
      </c>
      <c r="B10" s="8" t="s">
        <v>56</v>
      </c>
      <c r="C10" s="8" t="s">
        <v>57</v>
      </c>
      <c r="D10" s="1" t="s">
        <v>33</v>
      </c>
      <c r="E10" s="9" t="s">
        <v>33</v>
      </c>
      <c r="F10" s="8" t="s">
        <v>33</v>
      </c>
      <c r="G10" s="8" t="s">
        <v>25</v>
      </c>
      <c r="H10" s="8" t="s">
        <v>26</v>
      </c>
      <c r="I10" s="8" t="s">
        <v>27</v>
      </c>
      <c r="J10" s="8" t="s">
        <v>28</v>
      </c>
      <c r="K10" s="8" t="s">
        <v>55</v>
      </c>
      <c r="L10" s="17"/>
      <c r="M10" s="17"/>
      <c r="N10" s="18"/>
      <c r="O10" s="19"/>
      <c r="P10" s="7"/>
      <c r="Q10" s="42">
        <v>45488.0</v>
      </c>
      <c r="R10" s="8" t="s">
        <v>1933</v>
      </c>
      <c r="S10" s="17"/>
    </row>
    <row r="11" ht="13.5" customHeight="1">
      <c r="A11" s="7" t="s">
        <v>33</v>
      </c>
      <c r="B11" s="8" t="s">
        <v>56</v>
      </c>
      <c r="C11" s="8" t="s">
        <v>57</v>
      </c>
      <c r="D11" s="8" t="s">
        <v>33</v>
      </c>
      <c r="E11" s="9" t="s">
        <v>33</v>
      </c>
      <c r="F11" s="8" t="s">
        <v>58</v>
      </c>
      <c r="G11" s="8" t="s">
        <v>32</v>
      </c>
      <c r="H11" s="8" t="s">
        <v>26</v>
      </c>
      <c r="I11" s="8" t="s">
        <v>27</v>
      </c>
      <c r="J11" s="8" t="s">
        <v>28</v>
      </c>
      <c r="K11" s="8" t="s">
        <v>55</v>
      </c>
      <c r="L11" s="17"/>
      <c r="M11" s="17"/>
      <c r="N11" s="18"/>
      <c r="O11" s="19"/>
      <c r="P11" s="7" t="s">
        <v>1935</v>
      </c>
      <c r="Q11" s="42">
        <v>45488.0</v>
      </c>
      <c r="R11" s="8" t="s">
        <v>1933</v>
      </c>
      <c r="S11" s="17"/>
    </row>
    <row r="12" ht="13.5" customHeight="1">
      <c r="A12" s="7" t="s">
        <v>33</v>
      </c>
      <c r="B12" s="8" t="s">
        <v>59</v>
      </c>
      <c r="C12" s="8" t="s">
        <v>60</v>
      </c>
      <c r="D12" s="8" t="s">
        <v>61</v>
      </c>
      <c r="E12" s="9" t="s">
        <v>62</v>
      </c>
      <c r="F12" s="8" t="s">
        <v>63</v>
      </c>
      <c r="G12" s="8" t="s">
        <v>25</v>
      </c>
      <c r="H12" s="8" t="s">
        <v>26</v>
      </c>
      <c r="I12" s="8" t="s">
        <v>27</v>
      </c>
      <c r="J12" s="8" t="s">
        <v>28</v>
      </c>
      <c r="K12" s="8" t="s">
        <v>29</v>
      </c>
      <c r="L12" s="17"/>
      <c r="M12" s="17"/>
      <c r="N12" s="18"/>
      <c r="O12" s="19"/>
      <c r="P12" s="7"/>
      <c r="Q12" s="7"/>
      <c r="R12" s="7"/>
      <c r="S12" s="17"/>
    </row>
    <row r="13" ht="13.5" customHeight="1">
      <c r="A13" s="7" t="s">
        <v>33</v>
      </c>
      <c r="B13" s="8" t="s">
        <v>59</v>
      </c>
      <c r="C13" s="8" t="s">
        <v>60</v>
      </c>
      <c r="D13" s="8" t="s">
        <v>64</v>
      </c>
      <c r="E13" s="9" t="s">
        <v>33</v>
      </c>
      <c r="F13" s="8" t="s">
        <v>63</v>
      </c>
      <c r="G13" s="8" t="s">
        <v>32</v>
      </c>
      <c r="H13" s="8" t="s">
        <v>26</v>
      </c>
      <c r="I13" s="8" t="s">
        <v>27</v>
      </c>
      <c r="J13" s="8" t="s">
        <v>28</v>
      </c>
      <c r="K13" s="8" t="s">
        <v>65</v>
      </c>
      <c r="L13" s="17"/>
      <c r="M13" s="17"/>
      <c r="N13" s="18"/>
      <c r="O13" s="19"/>
      <c r="P13" s="7"/>
      <c r="Q13" s="7"/>
      <c r="R13" s="7"/>
      <c r="S13" s="17"/>
    </row>
    <row r="14" ht="13.5" customHeight="1">
      <c r="A14" s="7" t="s">
        <v>66</v>
      </c>
      <c r="B14" s="8" t="s">
        <v>67</v>
      </c>
      <c r="C14" s="8" t="s">
        <v>68</v>
      </c>
      <c r="D14" s="8" t="s">
        <v>69</v>
      </c>
      <c r="E14" s="9" t="s">
        <v>70</v>
      </c>
      <c r="F14" s="8" t="s">
        <v>71</v>
      </c>
      <c r="G14" s="8" t="s">
        <v>72</v>
      </c>
      <c r="H14" s="8" t="s">
        <v>26</v>
      </c>
      <c r="I14" s="8" t="s">
        <v>27</v>
      </c>
      <c r="J14" s="8" t="s">
        <v>28</v>
      </c>
      <c r="K14" s="8" t="s">
        <v>29</v>
      </c>
      <c r="L14" s="17"/>
      <c r="M14" s="17"/>
      <c r="N14" s="18"/>
      <c r="O14" s="19"/>
      <c r="P14" s="7"/>
      <c r="Q14" s="7"/>
      <c r="R14" s="7"/>
      <c r="S14" s="17"/>
    </row>
    <row r="15" ht="13.5" customHeight="1">
      <c r="A15" s="7" t="s">
        <v>73</v>
      </c>
      <c r="B15" s="8" t="s">
        <v>74</v>
      </c>
      <c r="C15" s="8" t="s">
        <v>75</v>
      </c>
      <c r="D15" s="8" t="s">
        <v>76</v>
      </c>
      <c r="E15" s="9" t="s">
        <v>33</v>
      </c>
      <c r="F15" s="8" t="s">
        <v>77</v>
      </c>
      <c r="G15" s="8" t="s">
        <v>72</v>
      </c>
      <c r="H15" s="8" t="s">
        <v>26</v>
      </c>
      <c r="I15" s="8" t="s">
        <v>27</v>
      </c>
      <c r="J15" s="8" t="s">
        <v>28</v>
      </c>
      <c r="K15" s="8" t="s">
        <v>29</v>
      </c>
      <c r="L15" s="17"/>
      <c r="M15" s="17"/>
      <c r="N15" s="18"/>
      <c r="O15" s="19"/>
      <c r="P15" s="7"/>
      <c r="Q15" s="7"/>
      <c r="R15" s="7"/>
      <c r="S15" s="17"/>
    </row>
    <row r="16" ht="13.5" customHeight="1">
      <c r="A16" s="7" t="s">
        <v>78</v>
      </c>
      <c r="B16" s="8" t="s">
        <v>79</v>
      </c>
      <c r="C16" s="8" t="s">
        <v>80</v>
      </c>
      <c r="D16" s="8" t="s">
        <v>81</v>
      </c>
      <c r="E16" s="9" t="s">
        <v>82</v>
      </c>
      <c r="F16" s="8" t="s">
        <v>83</v>
      </c>
      <c r="G16" s="8" t="s">
        <v>84</v>
      </c>
      <c r="H16" s="8" t="s">
        <v>26</v>
      </c>
      <c r="I16" s="8" t="s">
        <v>27</v>
      </c>
      <c r="J16" s="8" t="s">
        <v>28</v>
      </c>
      <c r="K16" s="8" t="s">
        <v>29</v>
      </c>
      <c r="L16" s="17"/>
      <c r="M16" s="17"/>
      <c r="N16" s="18"/>
      <c r="O16" s="19"/>
      <c r="P16" s="7"/>
      <c r="Q16" s="7"/>
      <c r="R16" s="7"/>
      <c r="S16" s="17"/>
    </row>
    <row r="17" ht="13.5" customHeight="1">
      <c r="A17" s="7" t="s">
        <v>33</v>
      </c>
      <c r="B17" s="8" t="s">
        <v>85</v>
      </c>
      <c r="C17" s="8" t="s">
        <v>86</v>
      </c>
      <c r="D17" s="8" t="s">
        <v>33</v>
      </c>
      <c r="E17" s="9" t="s">
        <v>33</v>
      </c>
      <c r="F17" s="8" t="s">
        <v>87</v>
      </c>
      <c r="G17" s="8" t="s">
        <v>84</v>
      </c>
      <c r="H17" s="8" t="s">
        <v>26</v>
      </c>
      <c r="I17" s="8" t="s">
        <v>27</v>
      </c>
      <c r="J17" s="8" t="s">
        <v>28</v>
      </c>
      <c r="K17" s="8" t="s">
        <v>29</v>
      </c>
      <c r="L17" s="17"/>
      <c r="M17" s="17"/>
      <c r="N17" s="18"/>
      <c r="O17" s="19"/>
      <c r="P17" s="7"/>
      <c r="Q17" s="7"/>
      <c r="R17" s="7"/>
      <c r="S17" s="17"/>
    </row>
    <row r="18" ht="13.5" customHeight="1">
      <c r="A18" s="7" t="s">
        <v>33</v>
      </c>
      <c r="B18" s="8" t="s">
        <v>85</v>
      </c>
      <c r="C18" s="8" t="s">
        <v>86</v>
      </c>
      <c r="D18" s="8" t="s">
        <v>33</v>
      </c>
      <c r="E18" s="9" t="s">
        <v>33</v>
      </c>
      <c r="F18" s="8" t="s">
        <v>87</v>
      </c>
      <c r="G18" s="8" t="s">
        <v>84</v>
      </c>
      <c r="H18" s="8" t="s">
        <v>26</v>
      </c>
      <c r="I18" s="8" t="s">
        <v>27</v>
      </c>
      <c r="J18" s="8" t="s">
        <v>28</v>
      </c>
      <c r="K18" s="8" t="s">
        <v>29</v>
      </c>
      <c r="L18" s="17"/>
      <c r="M18" s="17"/>
      <c r="N18" s="18"/>
      <c r="O18" s="19"/>
      <c r="P18" s="7"/>
      <c r="Q18" s="7"/>
      <c r="R18" s="7"/>
      <c r="S18" s="17"/>
    </row>
    <row r="19" ht="13.5" customHeight="1">
      <c r="A19" s="7" t="s">
        <v>33</v>
      </c>
      <c r="B19" s="8" t="s">
        <v>85</v>
      </c>
      <c r="C19" s="8" t="s">
        <v>86</v>
      </c>
      <c r="D19" s="8" t="s">
        <v>33</v>
      </c>
      <c r="E19" s="9" t="s">
        <v>33</v>
      </c>
      <c r="F19" s="8" t="s">
        <v>87</v>
      </c>
      <c r="G19" s="8" t="s">
        <v>84</v>
      </c>
      <c r="H19" s="8" t="s">
        <v>26</v>
      </c>
      <c r="I19" s="8" t="s">
        <v>27</v>
      </c>
      <c r="J19" s="8" t="s">
        <v>28</v>
      </c>
      <c r="K19" s="8" t="s">
        <v>29</v>
      </c>
      <c r="L19" s="17"/>
      <c r="M19" s="17"/>
      <c r="N19" s="18"/>
      <c r="O19" s="19"/>
      <c r="P19" s="7"/>
      <c r="Q19" s="7"/>
      <c r="R19" s="7"/>
      <c r="S19" s="17"/>
    </row>
    <row r="20" ht="13.5" customHeight="1">
      <c r="A20" s="7" t="s">
        <v>33</v>
      </c>
      <c r="B20" s="8" t="s">
        <v>85</v>
      </c>
      <c r="C20" s="8" t="s">
        <v>86</v>
      </c>
      <c r="D20" s="8" t="s">
        <v>88</v>
      </c>
      <c r="E20" s="9" t="s">
        <v>89</v>
      </c>
      <c r="F20" s="8" t="s">
        <v>90</v>
      </c>
      <c r="G20" s="8" t="s">
        <v>84</v>
      </c>
      <c r="H20" s="8" t="s">
        <v>26</v>
      </c>
      <c r="I20" s="8" t="s">
        <v>91</v>
      </c>
      <c r="J20" s="8" t="s">
        <v>92</v>
      </c>
      <c r="K20" s="8" t="s">
        <v>29</v>
      </c>
      <c r="L20" s="17"/>
      <c r="M20" s="17"/>
      <c r="N20" s="18"/>
      <c r="O20" s="19"/>
      <c r="P20" s="7"/>
      <c r="Q20" s="7"/>
      <c r="R20" s="7"/>
      <c r="S20" s="17"/>
    </row>
    <row r="21" ht="13.5" customHeight="1">
      <c r="A21" s="7" t="s">
        <v>33</v>
      </c>
      <c r="B21" s="8" t="s">
        <v>93</v>
      </c>
      <c r="C21" s="8" t="s">
        <v>86</v>
      </c>
      <c r="D21" s="8" t="s">
        <v>94</v>
      </c>
      <c r="E21" s="9" t="s">
        <v>95</v>
      </c>
      <c r="F21" s="8" t="s">
        <v>96</v>
      </c>
      <c r="G21" s="8" t="s">
        <v>84</v>
      </c>
      <c r="H21" s="8" t="s">
        <v>26</v>
      </c>
      <c r="I21" s="8" t="s">
        <v>91</v>
      </c>
      <c r="J21" s="8" t="s">
        <v>92</v>
      </c>
      <c r="K21" s="8" t="s">
        <v>29</v>
      </c>
      <c r="L21" s="17"/>
      <c r="M21" s="17"/>
      <c r="N21" s="18"/>
      <c r="O21" s="19"/>
      <c r="P21" s="7"/>
      <c r="Q21" s="7"/>
      <c r="R21" s="7"/>
      <c r="S21" s="17"/>
    </row>
    <row r="22" ht="13.5" customHeight="1">
      <c r="A22" s="7" t="s">
        <v>33</v>
      </c>
      <c r="B22" s="8" t="s">
        <v>167</v>
      </c>
      <c r="C22" s="8" t="s">
        <v>1936</v>
      </c>
      <c r="D22" s="8" t="s">
        <v>1937</v>
      </c>
      <c r="E22" s="9" t="s">
        <v>1938</v>
      </c>
      <c r="F22" s="8" t="s">
        <v>1939</v>
      </c>
      <c r="G22" s="8" t="s">
        <v>84</v>
      </c>
      <c r="H22" s="8" t="s">
        <v>259</v>
      </c>
      <c r="I22" s="8" t="s">
        <v>260</v>
      </c>
      <c r="J22" s="8" t="s">
        <v>294</v>
      </c>
      <c r="K22" s="8" t="s">
        <v>55</v>
      </c>
      <c r="L22" s="17"/>
      <c r="M22" s="17"/>
      <c r="N22" s="18"/>
      <c r="O22" s="19"/>
      <c r="P22" s="7" t="s">
        <v>1940</v>
      </c>
      <c r="Q22" s="7"/>
      <c r="R22" s="7"/>
      <c r="S22" s="17"/>
    </row>
    <row r="23" ht="13.5" customHeight="1">
      <c r="A23" s="7" t="s">
        <v>33</v>
      </c>
      <c r="B23" s="8" t="s">
        <v>167</v>
      </c>
      <c r="C23" s="8" t="s">
        <v>1936</v>
      </c>
      <c r="D23" s="8" t="s">
        <v>1937</v>
      </c>
      <c r="E23" s="9" t="s">
        <v>1941</v>
      </c>
      <c r="F23" s="8" t="s">
        <v>1942</v>
      </c>
      <c r="G23" s="8" t="s">
        <v>84</v>
      </c>
      <c r="H23" s="8" t="s">
        <v>259</v>
      </c>
      <c r="I23" s="8" t="s">
        <v>260</v>
      </c>
      <c r="J23" s="8" t="s">
        <v>294</v>
      </c>
      <c r="K23" s="8" t="s">
        <v>55</v>
      </c>
      <c r="L23" s="17"/>
      <c r="M23" s="17"/>
      <c r="N23" s="18"/>
      <c r="O23" s="19"/>
      <c r="P23" s="7" t="s">
        <v>1940</v>
      </c>
      <c r="Q23" s="7"/>
      <c r="R23" s="7"/>
      <c r="S23" s="17"/>
    </row>
    <row r="24" ht="13.5" customHeight="1">
      <c r="A24" s="7" t="s">
        <v>33</v>
      </c>
      <c r="B24" s="8" t="s">
        <v>167</v>
      </c>
      <c r="C24" s="8" t="s">
        <v>1936</v>
      </c>
      <c r="D24" s="8" t="s">
        <v>1937</v>
      </c>
      <c r="E24" s="9" t="s">
        <v>1943</v>
      </c>
      <c r="F24" s="8" t="s">
        <v>1944</v>
      </c>
      <c r="G24" s="8" t="s">
        <v>84</v>
      </c>
      <c r="H24" s="8" t="s">
        <v>259</v>
      </c>
      <c r="I24" s="8" t="s">
        <v>260</v>
      </c>
      <c r="J24" s="8" t="s">
        <v>294</v>
      </c>
      <c r="K24" s="8" t="s">
        <v>55</v>
      </c>
      <c r="L24" s="17"/>
      <c r="M24" s="17"/>
      <c r="N24" s="18"/>
      <c r="O24" s="19"/>
      <c r="P24" s="7" t="s">
        <v>1940</v>
      </c>
      <c r="Q24" s="7"/>
      <c r="R24" s="7"/>
      <c r="S24" s="17"/>
    </row>
    <row r="25" ht="13.5" customHeight="1">
      <c r="A25" s="7" t="s">
        <v>33</v>
      </c>
      <c r="B25" s="8" t="s">
        <v>167</v>
      </c>
      <c r="C25" s="8" t="s">
        <v>1936</v>
      </c>
      <c r="D25" s="8" t="s">
        <v>1937</v>
      </c>
      <c r="E25" s="9" t="s">
        <v>1945</v>
      </c>
      <c r="F25" s="8" t="s">
        <v>1946</v>
      </c>
      <c r="G25" s="8" t="s">
        <v>84</v>
      </c>
      <c r="H25" s="8" t="s">
        <v>259</v>
      </c>
      <c r="I25" s="8" t="s">
        <v>260</v>
      </c>
      <c r="J25" s="8" t="s">
        <v>294</v>
      </c>
      <c r="K25" s="8" t="s">
        <v>55</v>
      </c>
      <c r="L25" s="17"/>
      <c r="M25" s="17"/>
      <c r="N25" s="18"/>
      <c r="O25" s="19"/>
      <c r="P25" s="7" t="s">
        <v>1947</v>
      </c>
      <c r="Q25" s="7"/>
      <c r="R25" s="7"/>
      <c r="S25" s="17"/>
    </row>
    <row r="26" ht="13.5" customHeight="1">
      <c r="A26" s="7" t="s">
        <v>33</v>
      </c>
      <c r="B26" s="8" t="s">
        <v>167</v>
      </c>
      <c r="C26" s="8" t="s">
        <v>1936</v>
      </c>
      <c r="D26" s="8" t="s">
        <v>1937</v>
      </c>
      <c r="E26" s="9" t="s">
        <v>1948</v>
      </c>
      <c r="F26" s="8" t="s">
        <v>1949</v>
      </c>
      <c r="G26" s="8" t="s">
        <v>84</v>
      </c>
      <c r="H26" s="8" t="s">
        <v>259</v>
      </c>
      <c r="I26" s="8" t="s">
        <v>260</v>
      </c>
      <c r="J26" s="8" t="s">
        <v>294</v>
      </c>
      <c r="K26" s="8" t="s">
        <v>55</v>
      </c>
      <c r="L26" s="17"/>
      <c r="M26" s="17"/>
      <c r="N26" s="18"/>
      <c r="O26" s="19"/>
      <c r="P26" s="7" t="s">
        <v>1940</v>
      </c>
      <c r="Q26" s="7"/>
      <c r="R26" s="7"/>
      <c r="S26" s="17"/>
    </row>
    <row r="27" ht="13.5" customHeight="1">
      <c r="A27" s="7" t="s">
        <v>33</v>
      </c>
      <c r="B27" s="8" t="s">
        <v>167</v>
      </c>
      <c r="C27" s="8" t="s">
        <v>1936</v>
      </c>
      <c r="D27" s="8" t="s">
        <v>1937</v>
      </c>
      <c r="E27" s="9" t="s">
        <v>1950</v>
      </c>
      <c r="F27" s="8" t="s">
        <v>1951</v>
      </c>
      <c r="G27" s="8" t="s">
        <v>84</v>
      </c>
      <c r="H27" s="8" t="s">
        <v>259</v>
      </c>
      <c r="I27" s="8" t="s">
        <v>260</v>
      </c>
      <c r="J27" s="8" t="s">
        <v>294</v>
      </c>
      <c r="K27" s="8" t="s">
        <v>55</v>
      </c>
      <c r="L27" s="17"/>
      <c r="M27" s="17"/>
      <c r="N27" s="18"/>
      <c r="O27" s="19"/>
      <c r="P27" s="7" t="s">
        <v>1947</v>
      </c>
      <c r="Q27" s="7"/>
      <c r="R27" s="7"/>
      <c r="S27" s="17"/>
    </row>
    <row r="28" ht="13.5" customHeight="1">
      <c r="A28" s="7" t="s">
        <v>33</v>
      </c>
      <c r="B28" s="8" t="s">
        <v>167</v>
      </c>
      <c r="C28" s="8" t="s">
        <v>1936</v>
      </c>
      <c r="D28" s="8" t="s">
        <v>1937</v>
      </c>
      <c r="E28" s="9" t="s">
        <v>1952</v>
      </c>
      <c r="F28" s="8" t="s">
        <v>1953</v>
      </c>
      <c r="G28" s="8" t="s">
        <v>84</v>
      </c>
      <c r="H28" s="8" t="s">
        <v>259</v>
      </c>
      <c r="I28" s="8" t="s">
        <v>260</v>
      </c>
      <c r="J28" s="8" t="s">
        <v>294</v>
      </c>
      <c r="K28" s="8" t="s">
        <v>55</v>
      </c>
      <c r="L28" s="17"/>
      <c r="M28" s="17"/>
      <c r="N28" s="18"/>
      <c r="O28" s="19"/>
      <c r="P28" s="7" t="s">
        <v>1940</v>
      </c>
      <c r="Q28" s="7"/>
      <c r="R28" s="7"/>
      <c r="S28" s="17"/>
    </row>
    <row r="29" ht="13.5" customHeight="1">
      <c r="A29" s="7" t="s">
        <v>33</v>
      </c>
      <c r="B29" s="8" t="s">
        <v>167</v>
      </c>
      <c r="C29" s="8" t="s">
        <v>1936</v>
      </c>
      <c r="D29" s="8" t="s">
        <v>1937</v>
      </c>
      <c r="E29" s="9" t="s">
        <v>1954</v>
      </c>
      <c r="F29" s="8" t="s">
        <v>1955</v>
      </c>
      <c r="G29" s="8" t="s">
        <v>84</v>
      </c>
      <c r="H29" s="8" t="s">
        <v>259</v>
      </c>
      <c r="I29" s="8" t="s">
        <v>260</v>
      </c>
      <c r="J29" s="8" t="s">
        <v>294</v>
      </c>
      <c r="K29" s="8" t="s">
        <v>55</v>
      </c>
      <c r="L29" s="17"/>
      <c r="M29" s="17"/>
      <c r="N29" s="18"/>
      <c r="O29" s="19"/>
      <c r="P29" s="7" t="s">
        <v>1947</v>
      </c>
      <c r="Q29" s="7"/>
      <c r="R29" s="7"/>
      <c r="S29" s="17"/>
    </row>
    <row r="30" ht="13.5" customHeight="1">
      <c r="A30" s="7" t="s">
        <v>33</v>
      </c>
      <c r="B30" s="8" t="s">
        <v>167</v>
      </c>
      <c r="C30" s="8" t="s">
        <v>1936</v>
      </c>
      <c r="D30" s="8" t="s">
        <v>1937</v>
      </c>
      <c r="E30" s="9" t="s">
        <v>1956</v>
      </c>
      <c r="F30" s="8" t="s">
        <v>1957</v>
      </c>
      <c r="G30" s="8" t="s">
        <v>84</v>
      </c>
      <c r="H30" s="8" t="s">
        <v>259</v>
      </c>
      <c r="I30" s="8" t="s">
        <v>260</v>
      </c>
      <c r="J30" s="8" t="s">
        <v>294</v>
      </c>
      <c r="K30" s="8" t="s">
        <v>55</v>
      </c>
      <c r="L30" s="17"/>
      <c r="M30" s="17"/>
      <c r="N30" s="18"/>
      <c r="O30" s="19"/>
      <c r="P30" s="7" t="s">
        <v>1947</v>
      </c>
      <c r="Q30" s="7"/>
      <c r="R30" s="7"/>
      <c r="S30" s="17"/>
    </row>
    <row r="31" ht="13.5" customHeight="1">
      <c r="A31" s="7" t="s">
        <v>33</v>
      </c>
      <c r="B31" s="8" t="s">
        <v>167</v>
      </c>
      <c r="C31" s="8" t="s">
        <v>1936</v>
      </c>
      <c r="D31" s="8" t="s">
        <v>1937</v>
      </c>
      <c r="E31" s="9" t="s">
        <v>1958</v>
      </c>
      <c r="F31" s="8" t="s">
        <v>1959</v>
      </c>
      <c r="G31" s="8" t="s">
        <v>84</v>
      </c>
      <c r="H31" s="8" t="s">
        <v>259</v>
      </c>
      <c r="I31" s="8" t="s">
        <v>260</v>
      </c>
      <c r="J31" s="8" t="s">
        <v>294</v>
      </c>
      <c r="K31" s="8" t="s">
        <v>55</v>
      </c>
      <c r="L31" s="17"/>
      <c r="M31" s="17"/>
      <c r="N31" s="18"/>
      <c r="O31" s="19"/>
      <c r="P31" s="7" t="s">
        <v>1947</v>
      </c>
      <c r="Q31" s="7"/>
      <c r="R31" s="7"/>
      <c r="S31" s="17"/>
    </row>
    <row r="32" ht="13.5" customHeight="1">
      <c r="A32" s="7" t="s">
        <v>33</v>
      </c>
      <c r="B32" s="8" t="s">
        <v>167</v>
      </c>
      <c r="C32" s="8" t="s">
        <v>1936</v>
      </c>
      <c r="D32" s="8" t="s">
        <v>1937</v>
      </c>
      <c r="E32" s="9" t="s">
        <v>1960</v>
      </c>
      <c r="F32" s="8" t="s">
        <v>1961</v>
      </c>
      <c r="G32" s="8" t="s">
        <v>84</v>
      </c>
      <c r="H32" s="8" t="s">
        <v>259</v>
      </c>
      <c r="I32" s="8" t="s">
        <v>260</v>
      </c>
      <c r="J32" s="8" t="s">
        <v>294</v>
      </c>
      <c r="K32" s="8" t="s">
        <v>55</v>
      </c>
      <c r="L32" s="17"/>
      <c r="M32" s="17"/>
      <c r="N32" s="18"/>
      <c r="O32" s="19"/>
      <c r="P32" s="7" t="s">
        <v>1947</v>
      </c>
      <c r="Q32" s="7"/>
      <c r="R32" s="7"/>
      <c r="S32" s="17"/>
    </row>
    <row r="33" ht="13.5" customHeight="1">
      <c r="A33" s="7" t="s">
        <v>33</v>
      </c>
      <c r="B33" s="8" t="s">
        <v>167</v>
      </c>
      <c r="C33" s="8" t="s">
        <v>1936</v>
      </c>
      <c r="D33" s="8" t="s">
        <v>1937</v>
      </c>
      <c r="E33" s="9" t="s">
        <v>1962</v>
      </c>
      <c r="F33" s="8" t="s">
        <v>1963</v>
      </c>
      <c r="G33" s="8" t="s">
        <v>84</v>
      </c>
      <c r="H33" s="8" t="s">
        <v>259</v>
      </c>
      <c r="I33" s="8" t="s">
        <v>260</v>
      </c>
      <c r="J33" s="8" t="s">
        <v>294</v>
      </c>
      <c r="K33" s="8" t="s">
        <v>55</v>
      </c>
      <c r="L33" s="17"/>
      <c r="M33" s="17"/>
      <c r="N33" s="18"/>
      <c r="O33" s="19"/>
      <c r="P33" s="7" t="s">
        <v>1947</v>
      </c>
      <c r="Q33" s="7"/>
      <c r="R33" s="7"/>
      <c r="S33" s="17"/>
    </row>
    <row r="34" ht="13.5" customHeight="1">
      <c r="A34" s="7" t="s">
        <v>33</v>
      </c>
      <c r="B34" s="8" t="s">
        <v>167</v>
      </c>
      <c r="C34" s="8" t="s">
        <v>1936</v>
      </c>
      <c r="D34" s="8" t="s">
        <v>1937</v>
      </c>
      <c r="E34" s="9" t="s">
        <v>1964</v>
      </c>
      <c r="F34" s="8" t="s">
        <v>1965</v>
      </c>
      <c r="G34" s="8" t="s">
        <v>84</v>
      </c>
      <c r="H34" s="8" t="s">
        <v>259</v>
      </c>
      <c r="I34" s="8" t="s">
        <v>260</v>
      </c>
      <c r="J34" s="8" t="s">
        <v>294</v>
      </c>
      <c r="K34" s="8" t="s">
        <v>55</v>
      </c>
      <c r="L34" s="17"/>
      <c r="M34" s="17"/>
      <c r="N34" s="18"/>
      <c r="O34" s="19"/>
      <c r="P34" s="7" t="s">
        <v>1947</v>
      </c>
      <c r="Q34" s="7"/>
      <c r="R34" s="7"/>
      <c r="S34" s="17"/>
    </row>
    <row r="35" ht="13.5" customHeight="1">
      <c r="A35" s="7" t="s">
        <v>33</v>
      </c>
      <c r="B35" s="8" t="s">
        <v>167</v>
      </c>
      <c r="C35" s="8" t="s">
        <v>1936</v>
      </c>
      <c r="D35" s="8" t="s">
        <v>1937</v>
      </c>
      <c r="E35" s="9" t="s">
        <v>1966</v>
      </c>
      <c r="F35" s="8" t="s">
        <v>1967</v>
      </c>
      <c r="G35" s="8" t="s">
        <v>84</v>
      </c>
      <c r="H35" s="8" t="s">
        <v>259</v>
      </c>
      <c r="I35" s="8" t="s">
        <v>260</v>
      </c>
      <c r="J35" s="8" t="s">
        <v>294</v>
      </c>
      <c r="K35" s="8" t="s">
        <v>55</v>
      </c>
      <c r="L35" s="17"/>
      <c r="M35" s="17"/>
      <c r="N35" s="18"/>
      <c r="O35" s="19"/>
      <c r="P35" s="7" t="s">
        <v>1947</v>
      </c>
      <c r="Q35" s="7"/>
      <c r="R35" s="7"/>
      <c r="S35" s="17"/>
    </row>
    <row r="36" ht="13.5" customHeight="1">
      <c r="A36" s="7" t="s">
        <v>33</v>
      </c>
      <c r="B36" s="8" t="s">
        <v>167</v>
      </c>
      <c r="C36" s="8" t="s">
        <v>1936</v>
      </c>
      <c r="D36" s="8" t="s">
        <v>1937</v>
      </c>
      <c r="E36" s="9" t="s">
        <v>1968</v>
      </c>
      <c r="F36" s="8" t="s">
        <v>1969</v>
      </c>
      <c r="G36" s="8" t="s">
        <v>84</v>
      </c>
      <c r="H36" s="8" t="s">
        <v>259</v>
      </c>
      <c r="I36" s="8" t="s">
        <v>260</v>
      </c>
      <c r="J36" s="8" t="s">
        <v>294</v>
      </c>
      <c r="K36" s="8" t="s">
        <v>55</v>
      </c>
      <c r="L36" s="17"/>
      <c r="M36" s="17"/>
      <c r="N36" s="18"/>
      <c r="O36" s="19"/>
      <c r="P36" s="7" t="s">
        <v>1970</v>
      </c>
      <c r="Q36" s="7"/>
      <c r="R36" s="7"/>
      <c r="S36" s="17"/>
    </row>
    <row r="37" ht="13.5" customHeight="1">
      <c r="A37" s="7" t="s">
        <v>33</v>
      </c>
      <c r="B37" s="8" t="s">
        <v>167</v>
      </c>
      <c r="C37" s="8" t="s">
        <v>1936</v>
      </c>
      <c r="D37" s="8" t="s">
        <v>1937</v>
      </c>
      <c r="E37" s="9" t="s">
        <v>1971</v>
      </c>
      <c r="F37" s="8" t="s">
        <v>1972</v>
      </c>
      <c r="G37" s="8" t="s">
        <v>84</v>
      </c>
      <c r="H37" s="8" t="s">
        <v>259</v>
      </c>
      <c r="I37" s="8" t="s">
        <v>260</v>
      </c>
      <c r="J37" s="8" t="s">
        <v>294</v>
      </c>
      <c r="K37" s="8" t="s">
        <v>55</v>
      </c>
      <c r="L37" s="17"/>
      <c r="M37" s="17"/>
      <c r="N37" s="18"/>
      <c r="O37" s="19"/>
      <c r="P37" s="7" t="s">
        <v>1947</v>
      </c>
      <c r="Q37" s="7"/>
      <c r="R37" s="7"/>
      <c r="S37" s="17"/>
    </row>
    <row r="38" ht="13.5" customHeight="1">
      <c r="A38" s="7" t="s">
        <v>33</v>
      </c>
      <c r="B38" s="8" t="s">
        <v>167</v>
      </c>
      <c r="C38" s="8" t="s">
        <v>1936</v>
      </c>
      <c r="D38" s="8" t="s">
        <v>1937</v>
      </c>
      <c r="E38" s="9" t="s">
        <v>1973</v>
      </c>
      <c r="F38" s="8" t="s">
        <v>1974</v>
      </c>
      <c r="G38" s="8" t="s">
        <v>84</v>
      </c>
      <c r="H38" s="8" t="s">
        <v>259</v>
      </c>
      <c r="I38" s="8" t="s">
        <v>260</v>
      </c>
      <c r="J38" s="8" t="s">
        <v>294</v>
      </c>
      <c r="K38" s="8" t="s">
        <v>55</v>
      </c>
      <c r="L38" s="17"/>
      <c r="M38" s="17"/>
      <c r="N38" s="18"/>
      <c r="O38" s="19"/>
      <c r="P38" s="7" t="s">
        <v>1975</v>
      </c>
      <c r="Q38" s="7"/>
      <c r="R38" s="7"/>
      <c r="S38" s="17"/>
    </row>
    <row r="39" ht="13.5" customHeight="1">
      <c r="A39" s="7" t="s">
        <v>33</v>
      </c>
      <c r="B39" s="8" t="s">
        <v>167</v>
      </c>
      <c r="C39" s="8" t="s">
        <v>1936</v>
      </c>
      <c r="D39" s="8" t="s">
        <v>1937</v>
      </c>
      <c r="E39" s="9" t="s">
        <v>1976</v>
      </c>
      <c r="F39" s="8" t="s">
        <v>1977</v>
      </c>
      <c r="G39" s="8" t="s">
        <v>84</v>
      </c>
      <c r="H39" s="8" t="s">
        <v>259</v>
      </c>
      <c r="I39" s="8" t="s">
        <v>260</v>
      </c>
      <c r="J39" s="8" t="s">
        <v>294</v>
      </c>
      <c r="K39" s="8" t="s">
        <v>55</v>
      </c>
      <c r="L39" s="17"/>
      <c r="M39" s="17"/>
      <c r="N39" s="18"/>
      <c r="O39" s="19"/>
      <c r="P39" s="7" t="s">
        <v>1947</v>
      </c>
      <c r="Q39" s="7"/>
      <c r="R39" s="7"/>
      <c r="S39" s="17"/>
    </row>
    <row r="40" ht="13.5" customHeight="1">
      <c r="A40" s="7" t="s">
        <v>33</v>
      </c>
      <c r="B40" s="8" t="s">
        <v>167</v>
      </c>
      <c r="C40" s="8" t="s">
        <v>99</v>
      </c>
      <c r="D40" s="8" t="s">
        <v>1978</v>
      </c>
      <c r="E40" s="9" t="s">
        <v>1979</v>
      </c>
      <c r="F40" s="8" t="s">
        <v>1980</v>
      </c>
      <c r="G40" s="8" t="s">
        <v>84</v>
      </c>
      <c r="H40" s="8" t="s">
        <v>259</v>
      </c>
      <c r="I40" s="8" t="s">
        <v>260</v>
      </c>
      <c r="J40" s="8" t="s">
        <v>294</v>
      </c>
      <c r="K40" s="8" t="s">
        <v>55</v>
      </c>
      <c r="L40" s="17"/>
      <c r="M40" s="17"/>
      <c r="N40" s="18"/>
      <c r="O40" s="19"/>
      <c r="P40" s="7" t="s">
        <v>1981</v>
      </c>
      <c r="Q40" s="7"/>
      <c r="R40" s="7"/>
      <c r="S40" s="17"/>
    </row>
    <row r="41" ht="13.5" customHeight="1">
      <c r="A41" s="7" t="s">
        <v>33</v>
      </c>
      <c r="B41" s="8" t="s">
        <v>167</v>
      </c>
      <c r="C41" s="8" t="s">
        <v>99</v>
      </c>
      <c r="D41" s="8" t="s">
        <v>1978</v>
      </c>
      <c r="E41" s="9" t="s">
        <v>1982</v>
      </c>
      <c r="F41" s="8" t="s">
        <v>1983</v>
      </c>
      <c r="G41" s="8" t="s">
        <v>84</v>
      </c>
      <c r="H41" s="8" t="s">
        <v>259</v>
      </c>
      <c r="I41" s="8" t="s">
        <v>260</v>
      </c>
      <c r="J41" s="8" t="s">
        <v>294</v>
      </c>
      <c r="K41" s="8" t="s">
        <v>55</v>
      </c>
      <c r="L41" s="17"/>
      <c r="M41" s="17"/>
      <c r="N41" s="18"/>
      <c r="O41" s="19"/>
      <c r="P41" s="7" t="s">
        <v>1984</v>
      </c>
      <c r="Q41" s="7"/>
      <c r="R41" s="7"/>
      <c r="S41" s="17"/>
    </row>
    <row r="42" ht="13.5" customHeight="1">
      <c r="A42" s="7" t="s">
        <v>33</v>
      </c>
      <c r="B42" s="8" t="s">
        <v>167</v>
      </c>
      <c r="C42" s="8" t="s">
        <v>48</v>
      </c>
      <c r="D42" s="8" t="s">
        <v>1985</v>
      </c>
      <c r="E42" s="9" t="s">
        <v>1986</v>
      </c>
      <c r="F42" s="8" t="s">
        <v>1987</v>
      </c>
      <c r="G42" s="8" t="s">
        <v>84</v>
      </c>
      <c r="H42" s="8" t="s">
        <v>259</v>
      </c>
      <c r="I42" s="8" t="s">
        <v>260</v>
      </c>
      <c r="J42" s="8" t="s">
        <v>294</v>
      </c>
      <c r="K42" s="8" t="s">
        <v>55</v>
      </c>
      <c r="L42" s="17"/>
      <c r="M42" s="17"/>
      <c r="N42" s="18"/>
      <c r="O42" s="19"/>
      <c r="P42" s="7" t="s">
        <v>1988</v>
      </c>
      <c r="Q42" s="7"/>
      <c r="R42" s="7"/>
      <c r="S42" s="17"/>
    </row>
    <row r="43" ht="13.5" customHeight="1">
      <c r="A43" s="7" t="s">
        <v>33</v>
      </c>
      <c r="B43" s="8" t="s">
        <v>167</v>
      </c>
      <c r="C43" s="8" t="s">
        <v>48</v>
      </c>
      <c r="D43" s="8" t="s">
        <v>1985</v>
      </c>
      <c r="E43" s="9" t="s">
        <v>1989</v>
      </c>
      <c r="F43" s="8" t="s">
        <v>1990</v>
      </c>
      <c r="G43" s="8" t="s">
        <v>84</v>
      </c>
      <c r="H43" s="8" t="s">
        <v>259</v>
      </c>
      <c r="I43" s="8" t="s">
        <v>260</v>
      </c>
      <c r="J43" s="8" t="s">
        <v>294</v>
      </c>
      <c r="K43" s="8" t="s">
        <v>55</v>
      </c>
      <c r="L43" s="17"/>
      <c r="M43" s="17"/>
      <c r="N43" s="18"/>
      <c r="O43" s="19"/>
      <c r="P43" s="7" t="s">
        <v>1991</v>
      </c>
      <c r="Q43" s="7"/>
      <c r="R43" s="7"/>
      <c r="S43" s="17"/>
    </row>
    <row r="44" ht="13.5" customHeight="1">
      <c r="A44" s="7" t="s">
        <v>33</v>
      </c>
      <c r="B44" s="8" t="s">
        <v>167</v>
      </c>
      <c r="C44" s="8" t="s">
        <v>48</v>
      </c>
      <c r="D44" s="8" t="s">
        <v>1985</v>
      </c>
      <c r="E44" s="9" t="s">
        <v>1992</v>
      </c>
      <c r="F44" s="8" t="s">
        <v>1993</v>
      </c>
      <c r="G44" s="8" t="s">
        <v>84</v>
      </c>
      <c r="H44" s="8" t="s">
        <v>259</v>
      </c>
      <c r="I44" s="8" t="s">
        <v>260</v>
      </c>
      <c r="J44" s="8" t="s">
        <v>294</v>
      </c>
      <c r="K44" s="8" t="s">
        <v>55</v>
      </c>
      <c r="L44" s="17"/>
      <c r="M44" s="17"/>
      <c r="N44" s="18"/>
      <c r="O44" s="19"/>
      <c r="P44" s="7" t="s">
        <v>1988</v>
      </c>
      <c r="Q44" s="7"/>
      <c r="R44" s="7"/>
      <c r="S44" s="17"/>
    </row>
    <row r="45" ht="13.5" customHeight="1">
      <c r="A45" s="7" t="s">
        <v>33</v>
      </c>
      <c r="B45" s="8" t="s">
        <v>167</v>
      </c>
      <c r="C45" s="8" t="s">
        <v>48</v>
      </c>
      <c r="D45" s="8" t="s">
        <v>1985</v>
      </c>
      <c r="E45" s="9" t="s">
        <v>1994</v>
      </c>
      <c r="F45" s="8" t="s">
        <v>1995</v>
      </c>
      <c r="G45" s="8" t="s">
        <v>84</v>
      </c>
      <c r="H45" s="8" t="s">
        <v>259</v>
      </c>
      <c r="I45" s="8" t="s">
        <v>260</v>
      </c>
      <c r="J45" s="8" t="s">
        <v>294</v>
      </c>
      <c r="K45" s="8" t="s">
        <v>55</v>
      </c>
      <c r="L45" s="17"/>
      <c r="M45" s="17"/>
      <c r="N45" s="18"/>
      <c r="O45" s="19"/>
      <c r="P45" s="7" t="s">
        <v>1988</v>
      </c>
      <c r="Q45" s="7"/>
      <c r="R45" s="7"/>
      <c r="S45" s="17"/>
    </row>
    <row r="46" ht="13.5" customHeight="1">
      <c r="A46" s="7" t="s">
        <v>33</v>
      </c>
      <c r="B46" s="8" t="s">
        <v>167</v>
      </c>
      <c r="C46" s="8" t="s">
        <v>48</v>
      </c>
      <c r="D46" s="8" t="s">
        <v>1985</v>
      </c>
      <c r="E46" s="9" t="s">
        <v>1996</v>
      </c>
      <c r="F46" s="8" t="s">
        <v>1997</v>
      </c>
      <c r="G46" s="8" t="s">
        <v>84</v>
      </c>
      <c r="H46" s="8" t="s">
        <v>259</v>
      </c>
      <c r="I46" s="8" t="s">
        <v>260</v>
      </c>
      <c r="J46" s="8" t="s">
        <v>294</v>
      </c>
      <c r="K46" s="8" t="s">
        <v>55</v>
      </c>
      <c r="L46" s="17"/>
      <c r="M46" s="17"/>
      <c r="N46" s="18"/>
      <c r="O46" s="19"/>
      <c r="P46" s="7" t="s">
        <v>1988</v>
      </c>
      <c r="Q46" s="7"/>
      <c r="R46" s="7"/>
      <c r="S46" s="17"/>
    </row>
    <row r="47" ht="13.5" customHeight="1">
      <c r="A47" s="7" t="s">
        <v>33</v>
      </c>
      <c r="B47" s="8" t="s">
        <v>167</v>
      </c>
      <c r="C47" s="8" t="s">
        <v>48</v>
      </c>
      <c r="D47" s="8" t="s">
        <v>1985</v>
      </c>
      <c r="E47" s="9" t="s">
        <v>1998</v>
      </c>
      <c r="F47" s="8" t="s">
        <v>1999</v>
      </c>
      <c r="G47" s="8" t="s">
        <v>84</v>
      </c>
      <c r="H47" s="8" t="s">
        <v>259</v>
      </c>
      <c r="I47" s="8" t="s">
        <v>260</v>
      </c>
      <c r="J47" s="8" t="s">
        <v>294</v>
      </c>
      <c r="K47" s="8" t="s">
        <v>55</v>
      </c>
      <c r="L47" s="17"/>
      <c r="M47" s="17"/>
      <c r="N47" s="18"/>
      <c r="O47" s="19"/>
      <c r="P47" s="7" t="s">
        <v>1988</v>
      </c>
      <c r="Q47" s="7"/>
      <c r="R47" s="7"/>
      <c r="S47" s="17"/>
    </row>
    <row r="48" ht="13.5" customHeight="1">
      <c r="A48" s="7" t="s">
        <v>33</v>
      </c>
      <c r="B48" s="8" t="s">
        <v>167</v>
      </c>
      <c r="C48" s="8" t="s">
        <v>48</v>
      </c>
      <c r="D48" s="8" t="s">
        <v>1985</v>
      </c>
      <c r="E48" s="9" t="s">
        <v>2000</v>
      </c>
      <c r="F48" s="8" t="s">
        <v>2001</v>
      </c>
      <c r="G48" s="8" t="s">
        <v>84</v>
      </c>
      <c r="H48" s="8" t="s">
        <v>259</v>
      </c>
      <c r="I48" s="8" t="s">
        <v>260</v>
      </c>
      <c r="J48" s="8" t="s">
        <v>294</v>
      </c>
      <c r="K48" s="8" t="s">
        <v>55</v>
      </c>
      <c r="L48" s="17"/>
      <c r="M48" s="17"/>
      <c r="N48" s="18"/>
      <c r="O48" s="19"/>
      <c r="P48" s="8" t="s">
        <v>2002</v>
      </c>
      <c r="Q48" s="7"/>
      <c r="R48" s="7"/>
      <c r="S48" s="17"/>
    </row>
    <row r="49" ht="13.5" customHeight="1">
      <c r="A49" s="7" t="s">
        <v>33</v>
      </c>
      <c r="B49" s="8" t="s">
        <v>167</v>
      </c>
      <c r="C49" s="8" t="s">
        <v>48</v>
      </c>
      <c r="D49" s="8" t="s">
        <v>1985</v>
      </c>
      <c r="E49" s="9" t="s">
        <v>2003</v>
      </c>
      <c r="F49" s="8" t="s">
        <v>2004</v>
      </c>
      <c r="G49" s="8" t="s">
        <v>84</v>
      </c>
      <c r="H49" s="8" t="s">
        <v>259</v>
      </c>
      <c r="I49" s="8" t="s">
        <v>260</v>
      </c>
      <c r="J49" s="8" t="s">
        <v>294</v>
      </c>
      <c r="K49" s="8" t="s">
        <v>55</v>
      </c>
      <c r="L49" s="17"/>
      <c r="M49" s="17"/>
      <c r="N49" s="18"/>
      <c r="O49" s="19"/>
      <c r="P49" s="7" t="s">
        <v>2005</v>
      </c>
      <c r="Q49" s="7"/>
      <c r="R49" s="7"/>
      <c r="S49" s="17"/>
    </row>
    <row r="50" ht="13.5" customHeight="1">
      <c r="A50" s="7" t="s">
        <v>33</v>
      </c>
      <c r="B50" s="8" t="s">
        <v>167</v>
      </c>
      <c r="C50" s="8" t="s">
        <v>48</v>
      </c>
      <c r="D50" s="8" t="s">
        <v>1985</v>
      </c>
      <c r="E50" s="9" t="s">
        <v>2006</v>
      </c>
      <c r="F50" s="8" t="s">
        <v>2007</v>
      </c>
      <c r="G50" s="8" t="s">
        <v>84</v>
      </c>
      <c r="H50" s="8" t="s">
        <v>259</v>
      </c>
      <c r="I50" s="8" t="s">
        <v>260</v>
      </c>
      <c r="J50" s="8" t="s">
        <v>294</v>
      </c>
      <c r="K50" s="8" t="s">
        <v>55</v>
      </c>
      <c r="L50" s="17"/>
      <c r="M50" s="17"/>
      <c r="N50" s="18"/>
      <c r="O50" s="19"/>
      <c r="P50" s="7" t="s">
        <v>2008</v>
      </c>
      <c r="Q50" s="7"/>
      <c r="R50" s="7"/>
      <c r="S50" s="17"/>
    </row>
    <row r="51" ht="13.5" customHeight="1">
      <c r="A51" s="7" t="s">
        <v>33</v>
      </c>
      <c r="B51" s="8" t="s">
        <v>167</v>
      </c>
      <c r="C51" s="8" t="s">
        <v>48</v>
      </c>
      <c r="D51" s="8" t="s">
        <v>1985</v>
      </c>
      <c r="E51" s="9" t="s">
        <v>2009</v>
      </c>
      <c r="F51" s="8" t="s">
        <v>2010</v>
      </c>
      <c r="G51" s="8" t="s">
        <v>84</v>
      </c>
      <c r="H51" s="8" t="s">
        <v>259</v>
      </c>
      <c r="I51" s="8" t="s">
        <v>260</v>
      </c>
      <c r="J51" s="8" t="s">
        <v>294</v>
      </c>
      <c r="K51" s="8" t="s">
        <v>55</v>
      </c>
      <c r="L51" s="17"/>
      <c r="M51" s="17"/>
      <c r="N51" s="18"/>
      <c r="O51" s="19"/>
      <c r="P51" s="7" t="s">
        <v>1988</v>
      </c>
      <c r="Q51" s="7"/>
      <c r="R51" s="7"/>
      <c r="S51" s="17"/>
    </row>
    <row r="52" ht="13.5" customHeight="1">
      <c r="A52" s="7" t="s">
        <v>33</v>
      </c>
      <c r="B52" s="8" t="s">
        <v>167</v>
      </c>
      <c r="C52" s="8" t="s">
        <v>48</v>
      </c>
      <c r="D52" s="8" t="s">
        <v>1985</v>
      </c>
      <c r="E52" s="9" t="s">
        <v>2011</v>
      </c>
      <c r="F52" s="8" t="s">
        <v>2012</v>
      </c>
      <c r="G52" s="8" t="s">
        <v>84</v>
      </c>
      <c r="H52" s="8" t="s">
        <v>259</v>
      </c>
      <c r="I52" s="8" t="s">
        <v>260</v>
      </c>
      <c r="J52" s="8" t="s">
        <v>294</v>
      </c>
      <c r="K52" s="8" t="s">
        <v>55</v>
      </c>
      <c r="L52" s="17"/>
      <c r="M52" s="17"/>
      <c r="N52" s="18"/>
      <c r="O52" s="19"/>
      <c r="P52" s="7" t="s">
        <v>1988</v>
      </c>
      <c r="Q52" s="7"/>
      <c r="R52" s="7"/>
      <c r="S52" s="17"/>
    </row>
    <row r="53" ht="13.5" customHeight="1">
      <c r="A53" s="7" t="s">
        <v>33</v>
      </c>
      <c r="B53" s="8" t="s">
        <v>167</v>
      </c>
      <c r="C53" s="8" t="s">
        <v>48</v>
      </c>
      <c r="D53" s="8" t="s">
        <v>1985</v>
      </c>
      <c r="E53" s="9" t="s">
        <v>2013</v>
      </c>
      <c r="F53" s="8" t="s">
        <v>2014</v>
      </c>
      <c r="G53" s="8" t="s">
        <v>84</v>
      </c>
      <c r="H53" s="8" t="s">
        <v>259</v>
      </c>
      <c r="I53" s="8" t="s">
        <v>260</v>
      </c>
      <c r="J53" s="8" t="s">
        <v>294</v>
      </c>
      <c r="K53" s="8" t="s">
        <v>55</v>
      </c>
      <c r="L53" s="17"/>
      <c r="M53" s="17"/>
      <c r="N53" s="18"/>
      <c r="O53" s="19"/>
      <c r="P53" s="7" t="s">
        <v>1988</v>
      </c>
      <c r="Q53" s="7"/>
      <c r="R53" s="7"/>
      <c r="S53" s="17"/>
    </row>
    <row r="54" ht="13.5" customHeight="1">
      <c r="A54" s="7" t="s">
        <v>33</v>
      </c>
      <c r="B54" s="8" t="s">
        <v>167</v>
      </c>
      <c r="C54" s="8" t="s">
        <v>48</v>
      </c>
      <c r="D54" s="8" t="s">
        <v>1985</v>
      </c>
      <c r="E54" s="9" t="s">
        <v>2015</v>
      </c>
      <c r="F54" s="8" t="s">
        <v>2016</v>
      </c>
      <c r="G54" s="8" t="s">
        <v>84</v>
      </c>
      <c r="H54" s="8" t="s">
        <v>259</v>
      </c>
      <c r="I54" s="8" t="s">
        <v>260</v>
      </c>
      <c r="J54" s="8" t="s">
        <v>294</v>
      </c>
      <c r="K54" s="8" t="s">
        <v>55</v>
      </c>
      <c r="L54" s="17"/>
      <c r="M54" s="17"/>
      <c r="N54" s="18"/>
      <c r="O54" s="19"/>
      <c r="P54" s="7" t="s">
        <v>1988</v>
      </c>
      <c r="Q54" s="7"/>
      <c r="R54" s="7"/>
      <c r="S54" s="17"/>
    </row>
    <row r="55" ht="13.5" customHeight="1">
      <c r="A55" s="7" t="s">
        <v>33</v>
      </c>
      <c r="B55" s="8" t="s">
        <v>167</v>
      </c>
      <c r="C55" s="8" t="s">
        <v>48</v>
      </c>
      <c r="D55" s="8" t="s">
        <v>1985</v>
      </c>
      <c r="E55" s="9" t="s">
        <v>2017</v>
      </c>
      <c r="F55" s="8" t="s">
        <v>2018</v>
      </c>
      <c r="G55" s="8" t="s">
        <v>84</v>
      </c>
      <c r="H55" s="8" t="s">
        <v>259</v>
      </c>
      <c r="I55" s="8" t="s">
        <v>260</v>
      </c>
      <c r="J55" s="8" t="s">
        <v>294</v>
      </c>
      <c r="K55" s="8" t="s">
        <v>55</v>
      </c>
      <c r="L55" s="17"/>
      <c r="M55" s="17"/>
      <c r="N55" s="18"/>
      <c r="O55" s="19"/>
      <c r="P55" s="7" t="s">
        <v>1988</v>
      </c>
      <c r="Q55" s="7"/>
      <c r="R55" s="7"/>
      <c r="S55" s="17"/>
    </row>
    <row r="56" ht="13.5" customHeight="1">
      <c r="A56" s="7" t="s">
        <v>33</v>
      </c>
      <c r="B56" s="8" t="s">
        <v>167</v>
      </c>
      <c r="C56" s="8" t="s">
        <v>48</v>
      </c>
      <c r="D56" s="8" t="s">
        <v>1985</v>
      </c>
      <c r="E56" s="9" t="s">
        <v>2019</v>
      </c>
      <c r="F56" s="8" t="s">
        <v>2020</v>
      </c>
      <c r="G56" s="8" t="s">
        <v>84</v>
      </c>
      <c r="H56" s="8" t="s">
        <v>259</v>
      </c>
      <c r="I56" s="8" t="s">
        <v>260</v>
      </c>
      <c r="J56" s="8" t="s">
        <v>294</v>
      </c>
      <c r="K56" s="8" t="s">
        <v>55</v>
      </c>
      <c r="L56" s="17"/>
      <c r="M56" s="17"/>
      <c r="N56" s="18"/>
      <c r="O56" s="19"/>
      <c r="P56" s="7" t="s">
        <v>2021</v>
      </c>
      <c r="Q56" s="7"/>
      <c r="R56" s="7"/>
      <c r="S56" s="17"/>
    </row>
    <row r="57" ht="13.5" customHeight="1">
      <c r="A57" s="7" t="s">
        <v>33</v>
      </c>
      <c r="B57" s="8" t="s">
        <v>167</v>
      </c>
      <c r="C57" s="8" t="s">
        <v>99</v>
      </c>
      <c r="D57" s="8" t="s">
        <v>2022</v>
      </c>
      <c r="E57" s="9" t="s">
        <v>2023</v>
      </c>
      <c r="F57" s="8" t="s">
        <v>2024</v>
      </c>
      <c r="G57" s="8" t="s">
        <v>84</v>
      </c>
      <c r="H57" s="8" t="s">
        <v>259</v>
      </c>
      <c r="I57" s="8" t="s">
        <v>260</v>
      </c>
      <c r="J57" s="8" t="s">
        <v>294</v>
      </c>
      <c r="K57" s="8" t="s">
        <v>55</v>
      </c>
      <c r="L57" s="17"/>
      <c r="M57" s="17"/>
      <c r="N57" s="18"/>
      <c r="O57" s="19"/>
      <c r="P57" s="7" t="s">
        <v>2025</v>
      </c>
      <c r="Q57" s="7"/>
      <c r="R57" s="7"/>
      <c r="S57" s="17"/>
    </row>
    <row r="58" ht="13.5" customHeight="1">
      <c r="A58" s="7" t="s">
        <v>33</v>
      </c>
      <c r="B58" s="8" t="s">
        <v>167</v>
      </c>
      <c r="C58" s="8" t="s">
        <v>99</v>
      </c>
      <c r="D58" s="8" t="s">
        <v>2022</v>
      </c>
      <c r="E58" s="9" t="s">
        <v>2026</v>
      </c>
      <c r="F58" s="8" t="s">
        <v>2027</v>
      </c>
      <c r="G58" s="8" t="s">
        <v>84</v>
      </c>
      <c r="H58" s="8" t="s">
        <v>259</v>
      </c>
      <c r="I58" s="8" t="s">
        <v>260</v>
      </c>
      <c r="J58" s="8" t="s">
        <v>294</v>
      </c>
      <c r="K58" s="8" t="s">
        <v>55</v>
      </c>
      <c r="L58" s="17"/>
      <c r="M58" s="17"/>
      <c r="N58" s="18"/>
      <c r="O58" s="19"/>
      <c r="P58" s="7" t="s">
        <v>2025</v>
      </c>
      <c r="Q58" s="7"/>
      <c r="R58" s="7"/>
      <c r="S58" s="17"/>
    </row>
    <row r="59" ht="13.5" customHeight="1">
      <c r="A59" s="7" t="s">
        <v>33</v>
      </c>
      <c r="B59" s="8" t="s">
        <v>167</v>
      </c>
      <c r="C59" s="8" t="s">
        <v>99</v>
      </c>
      <c r="D59" s="8" t="s">
        <v>2022</v>
      </c>
      <c r="E59" s="9" t="s">
        <v>2028</v>
      </c>
      <c r="F59" s="8" t="s">
        <v>2029</v>
      </c>
      <c r="G59" s="8" t="s">
        <v>84</v>
      </c>
      <c r="H59" s="8" t="s">
        <v>259</v>
      </c>
      <c r="I59" s="8" t="s">
        <v>260</v>
      </c>
      <c r="J59" s="8" t="s">
        <v>294</v>
      </c>
      <c r="K59" s="8" t="s">
        <v>55</v>
      </c>
      <c r="L59" s="17"/>
      <c r="M59" s="17"/>
      <c r="N59" s="18"/>
      <c r="O59" s="19"/>
      <c r="P59" s="7" t="s">
        <v>2025</v>
      </c>
      <c r="Q59" s="7"/>
      <c r="R59" s="7"/>
      <c r="S59" s="17"/>
    </row>
    <row r="60" ht="13.5" customHeight="1">
      <c r="A60" s="7" t="s">
        <v>33</v>
      </c>
      <c r="B60" s="8" t="s">
        <v>167</v>
      </c>
      <c r="C60" s="8" t="s">
        <v>99</v>
      </c>
      <c r="D60" s="8" t="s">
        <v>2022</v>
      </c>
      <c r="E60" s="9" t="s">
        <v>2030</v>
      </c>
      <c r="F60" s="8" t="s">
        <v>2031</v>
      </c>
      <c r="G60" s="8" t="s">
        <v>84</v>
      </c>
      <c r="H60" s="8" t="s">
        <v>259</v>
      </c>
      <c r="I60" s="8" t="s">
        <v>260</v>
      </c>
      <c r="J60" s="8" t="s">
        <v>294</v>
      </c>
      <c r="K60" s="8" t="s">
        <v>55</v>
      </c>
      <c r="L60" s="17"/>
      <c r="M60" s="17"/>
      <c r="N60" s="18"/>
      <c r="O60" s="19"/>
      <c r="P60" s="7" t="s">
        <v>2025</v>
      </c>
      <c r="Q60" s="7"/>
      <c r="R60" s="7"/>
      <c r="S60" s="17"/>
    </row>
    <row r="61" ht="13.5" customHeight="1">
      <c r="A61" s="7" t="s">
        <v>33</v>
      </c>
      <c r="B61" s="8" t="s">
        <v>167</v>
      </c>
      <c r="C61" s="8" t="s">
        <v>48</v>
      </c>
      <c r="D61" s="8" t="s">
        <v>1985</v>
      </c>
      <c r="E61" s="9" t="s">
        <v>2032</v>
      </c>
      <c r="F61" s="8" t="s">
        <v>2033</v>
      </c>
      <c r="G61" s="8" t="s">
        <v>84</v>
      </c>
      <c r="H61" s="8" t="s">
        <v>259</v>
      </c>
      <c r="I61" s="8" t="s">
        <v>260</v>
      </c>
      <c r="J61" s="8" t="s">
        <v>294</v>
      </c>
      <c r="K61" s="8" t="s">
        <v>55</v>
      </c>
      <c r="L61" s="17"/>
      <c r="M61" s="17"/>
      <c r="N61" s="18"/>
      <c r="O61" s="19"/>
      <c r="P61" s="7" t="s">
        <v>1988</v>
      </c>
      <c r="Q61" s="7"/>
      <c r="R61" s="7"/>
      <c r="S61" s="17"/>
    </row>
    <row r="62" ht="13.5" customHeight="1">
      <c r="A62" s="7" t="s">
        <v>33</v>
      </c>
      <c r="B62" s="8" t="s">
        <v>167</v>
      </c>
      <c r="C62" s="8" t="s">
        <v>99</v>
      </c>
      <c r="D62" s="8" t="s">
        <v>2022</v>
      </c>
      <c r="E62" s="9" t="s">
        <v>2034</v>
      </c>
      <c r="F62" s="8" t="s">
        <v>2035</v>
      </c>
      <c r="G62" s="8" t="s">
        <v>84</v>
      </c>
      <c r="H62" s="8" t="s">
        <v>259</v>
      </c>
      <c r="I62" s="8" t="s">
        <v>260</v>
      </c>
      <c r="J62" s="8" t="s">
        <v>294</v>
      </c>
      <c r="K62" s="8" t="s">
        <v>55</v>
      </c>
      <c r="L62" s="17"/>
      <c r="M62" s="17"/>
      <c r="N62" s="18"/>
      <c r="O62" s="19"/>
      <c r="P62" s="7" t="s">
        <v>2025</v>
      </c>
      <c r="Q62" s="7"/>
      <c r="R62" s="7"/>
      <c r="S62" s="17"/>
    </row>
    <row r="63" ht="13.5" customHeight="1">
      <c r="A63" s="7" t="s">
        <v>33</v>
      </c>
      <c r="B63" s="8" t="s">
        <v>167</v>
      </c>
      <c r="C63" s="8" t="s">
        <v>99</v>
      </c>
      <c r="D63" s="8" t="s">
        <v>2022</v>
      </c>
      <c r="E63" s="9" t="s">
        <v>2036</v>
      </c>
      <c r="F63" s="8" t="s">
        <v>2037</v>
      </c>
      <c r="G63" s="8" t="s">
        <v>84</v>
      </c>
      <c r="H63" s="8" t="s">
        <v>259</v>
      </c>
      <c r="I63" s="8" t="s">
        <v>260</v>
      </c>
      <c r="J63" s="8" t="s">
        <v>294</v>
      </c>
      <c r="K63" s="8" t="s">
        <v>55</v>
      </c>
      <c r="L63" s="17"/>
      <c r="M63" s="17"/>
      <c r="N63" s="18"/>
      <c r="O63" s="19"/>
      <c r="P63" s="7" t="s">
        <v>2038</v>
      </c>
      <c r="Q63" s="7"/>
      <c r="R63" s="7"/>
      <c r="S63" s="17"/>
    </row>
    <row r="64" ht="13.5" customHeight="1">
      <c r="A64" s="7" t="s">
        <v>33</v>
      </c>
      <c r="B64" s="8" t="s">
        <v>167</v>
      </c>
      <c r="C64" s="8" t="s">
        <v>99</v>
      </c>
      <c r="D64" s="8" t="s">
        <v>2022</v>
      </c>
      <c r="E64" s="9" t="s">
        <v>2039</v>
      </c>
      <c r="F64" s="8" t="s">
        <v>2040</v>
      </c>
      <c r="G64" s="8" t="s">
        <v>84</v>
      </c>
      <c r="H64" s="8" t="s">
        <v>259</v>
      </c>
      <c r="I64" s="8" t="s">
        <v>260</v>
      </c>
      <c r="J64" s="8" t="s">
        <v>294</v>
      </c>
      <c r="K64" s="8" t="s">
        <v>55</v>
      </c>
      <c r="L64" s="17"/>
      <c r="M64" s="17"/>
      <c r="N64" s="18"/>
      <c r="O64" s="19"/>
      <c r="P64" s="7" t="s">
        <v>2041</v>
      </c>
      <c r="Q64" s="7"/>
      <c r="R64" s="7"/>
      <c r="S64" s="17"/>
    </row>
    <row r="65" ht="13.5" customHeight="1">
      <c r="A65" s="7" t="s">
        <v>33</v>
      </c>
      <c r="B65" s="8" t="s">
        <v>167</v>
      </c>
      <c r="C65" s="8" t="s">
        <v>99</v>
      </c>
      <c r="D65" s="8" t="s">
        <v>2022</v>
      </c>
      <c r="E65" s="9" t="s">
        <v>2042</v>
      </c>
      <c r="F65" s="8" t="s">
        <v>2043</v>
      </c>
      <c r="G65" s="8" t="s">
        <v>84</v>
      </c>
      <c r="H65" s="8" t="s">
        <v>259</v>
      </c>
      <c r="I65" s="8" t="s">
        <v>260</v>
      </c>
      <c r="J65" s="8" t="s">
        <v>294</v>
      </c>
      <c r="K65" s="8" t="s">
        <v>55</v>
      </c>
      <c r="L65" s="17"/>
      <c r="M65" s="17"/>
      <c r="N65" s="18"/>
      <c r="O65" s="19"/>
      <c r="P65" s="7" t="s">
        <v>2044</v>
      </c>
      <c r="Q65" s="7"/>
      <c r="R65" s="7"/>
      <c r="S65" s="17"/>
    </row>
    <row r="66" ht="13.5" customHeight="1">
      <c r="A66" s="7" t="s">
        <v>33</v>
      </c>
      <c r="B66" s="8" t="s">
        <v>167</v>
      </c>
      <c r="C66" s="8" t="s">
        <v>99</v>
      </c>
      <c r="D66" s="8" t="s">
        <v>2022</v>
      </c>
      <c r="E66" s="9" t="s">
        <v>2045</v>
      </c>
      <c r="F66" s="8" t="s">
        <v>2046</v>
      </c>
      <c r="G66" s="8" t="s">
        <v>84</v>
      </c>
      <c r="H66" s="8" t="s">
        <v>259</v>
      </c>
      <c r="I66" s="8" t="s">
        <v>260</v>
      </c>
      <c r="J66" s="8" t="s">
        <v>294</v>
      </c>
      <c r="K66" s="8" t="s">
        <v>55</v>
      </c>
      <c r="L66" s="17"/>
      <c r="M66" s="17"/>
      <c r="N66" s="18"/>
      <c r="O66" s="19"/>
      <c r="P66" s="7" t="s">
        <v>1988</v>
      </c>
      <c r="Q66" s="7"/>
      <c r="R66" s="7"/>
      <c r="S66" s="17"/>
    </row>
    <row r="67" ht="13.5" customHeight="1">
      <c r="A67" s="7" t="s">
        <v>33</v>
      </c>
      <c r="B67" s="8" t="s">
        <v>167</v>
      </c>
      <c r="C67" s="8" t="s">
        <v>99</v>
      </c>
      <c r="D67" s="8" t="s">
        <v>2022</v>
      </c>
      <c r="E67" s="9" t="s">
        <v>2047</v>
      </c>
      <c r="F67" s="8" t="s">
        <v>2048</v>
      </c>
      <c r="G67" s="8" t="s">
        <v>84</v>
      </c>
      <c r="H67" s="8" t="s">
        <v>259</v>
      </c>
      <c r="I67" s="8" t="s">
        <v>260</v>
      </c>
      <c r="J67" s="8" t="s">
        <v>294</v>
      </c>
      <c r="K67" s="8" t="s">
        <v>55</v>
      </c>
      <c r="L67" s="17"/>
      <c r="M67" s="17"/>
      <c r="N67" s="18"/>
      <c r="O67" s="19"/>
      <c r="P67" s="7" t="s">
        <v>2049</v>
      </c>
      <c r="Q67" s="7"/>
      <c r="R67" s="7"/>
      <c r="S67" s="17"/>
    </row>
    <row r="68" ht="13.5" customHeight="1">
      <c r="A68" s="7" t="s">
        <v>33</v>
      </c>
      <c r="B68" s="8" t="s">
        <v>167</v>
      </c>
      <c r="C68" s="8" t="s">
        <v>99</v>
      </c>
      <c r="D68" s="8" t="s">
        <v>2022</v>
      </c>
      <c r="E68" s="9" t="s">
        <v>2050</v>
      </c>
      <c r="F68" s="8" t="s">
        <v>2051</v>
      </c>
      <c r="G68" s="8" t="s">
        <v>84</v>
      </c>
      <c r="H68" s="8" t="s">
        <v>259</v>
      </c>
      <c r="I68" s="8" t="s">
        <v>260</v>
      </c>
      <c r="J68" s="8" t="s">
        <v>294</v>
      </c>
      <c r="K68" s="8" t="s">
        <v>55</v>
      </c>
      <c r="L68" s="17"/>
      <c r="M68" s="17"/>
      <c r="N68" s="18"/>
      <c r="O68" s="19"/>
      <c r="P68" s="7" t="s">
        <v>2052</v>
      </c>
      <c r="Q68" s="7"/>
      <c r="R68" s="7"/>
      <c r="S68" s="17"/>
    </row>
    <row r="69" ht="13.5" customHeight="1">
      <c r="A69" s="7" t="s">
        <v>33</v>
      </c>
      <c r="B69" s="8" t="s">
        <v>167</v>
      </c>
      <c r="C69" s="8" t="s">
        <v>99</v>
      </c>
      <c r="D69" s="8" t="s">
        <v>2022</v>
      </c>
      <c r="E69" s="9" t="s">
        <v>2053</v>
      </c>
      <c r="F69" s="8" t="s">
        <v>2054</v>
      </c>
      <c r="G69" s="8" t="s">
        <v>84</v>
      </c>
      <c r="H69" s="8" t="s">
        <v>259</v>
      </c>
      <c r="I69" s="8" t="s">
        <v>260</v>
      </c>
      <c r="J69" s="8" t="s">
        <v>294</v>
      </c>
      <c r="K69" s="8" t="s">
        <v>55</v>
      </c>
      <c r="L69" s="17"/>
      <c r="M69" s="17"/>
      <c r="N69" s="18"/>
      <c r="O69" s="19"/>
      <c r="P69" s="7" t="s">
        <v>2055</v>
      </c>
      <c r="Q69" s="7"/>
      <c r="R69" s="7"/>
      <c r="S69" s="17"/>
    </row>
    <row r="70" ht="13.5" customHeight="1">
      <c r="A70" s="7" t="s">
        <v>33</v>
      </c>
      <c r="B70" s="8" t="s">
        <v>167</v>
      </c>
      <c r="C70" s="8" t="s">
        <v>99</v>
      </c>
      <c r="D70" s="8" t="s">
        <v>2022</v>
      </c>
      <c r="E70" s="9" t="s">
        <v>2056</v>
      </c>
      <c r="F70" s="8" t="s">
        <v>2057</v>
      </c>
      <c r="G70" s="8" t="s">
        <v>84</v>
      </c>
      <c r="H70" s="8" t="s">
        <v>259</v>
      </c>
      <c r="I70" s="8" t="s">
        <v>260</v>
      </c>
      <c r="J70" s="8" t="s">
        <v>294</v>
      </c>
      <c r="K70" s="8" t="s">
        <v>55</v>
      </c>
      <c r="L70" s="17"/>
      <c r="M70" s="17"/>
      <c r="N70" s="18"/>
      <c r="O70" s="19"/>
      <c r="P70" s="7" t="s">
        <v>1988</v>
      </c>
      <c r="Q70" s="7"/>
      <c r="R70" s="7"/>
      <c r="S70" s="17"/>
    </row>
    <row r="71" ht="13.5" customHeight="1">
      <c r="A71" s="7" t="s">
        <v>33</v>
      </c>
      <c r="B71" s="8" t="s">
        <v>167</v>
      </c>
      <c r="C71" s="8" t="s">
        <v>99</v>
      </c>
      <c r="D71" s="8" t="s">
        <v>2022</v>
      </c>
      <c r="E71" s="9" t="s">
        <v>2058</v>
      </c>
      <c r="F71" s="8" t="s">
        <v>2059</v>
      </c>
      <c r="G71" s="8" t="s">
        <v>84</v>
      </c>
      <c r="H71" s="8" t="s">
        <v>259</v>
      </c>
      <c r="I71" s="8" t="s">
        <v>260</v>
      </c>
      <c r="J71" s="8" t="s">
        <v>294</v>
      </c>
      <c r="K71" s="8" t="s">
        <v>55</v>
      </c>
      <c r="L71" s="17"/>
      <c r="M71" s="17"/>
      <c r="N71" s="18"/>
      <c r="O71" s="19"/>
      <c r="P71" s="7" t="s">
        <v>1988</v>
      </c>
      <c r="Q71" s="7"/>
      <c r="R71" s="7"/>
      <c r="S71" s="17"/>
    </row>
    <row r="72" ht="13.5" customHeight="1">
      <c r="A72" s="7" t="s">
        <v>33</v>
      </c>
      <c r="B72" s="8" t="s">
        <v>167</v>
      </c>
      <c r="C72" s="8" t="s">
        <v>99</v>
      </c>
      <c r="D72" s="8" t="s">
        <v>2022</v>
      </c>
      <c r="E72" s="9" t="s">
        <v>2060</v>
      </c>
      <c r="F72" s="8" t="s">
        <v>2061</v>
      </c>
      <c r="G72" s="8" t="s">
        <v>84</v>
      </c>
      <c r="H72" s="8" t="s">
        <v>259</v>
      </c>
      <c r="I72" s="8" t="s">
        <v>260</v>
      </c>
      <c r="J72" s="8" t="s">
        <v>294</v>
      </c>
      <c r="K72" s="8" t="s">
        <v>55</v>
      </c>
      <c r="L72" s="17"/>
      <c r="M72" s="17"/>
      <c r="N72" s="18"/>
      <c r="O72" s="19"/>
      <c r="P72" s="7" t="s">
        <v>1988</v>
      </c>
      <c r="Q72" s="7"/>
      <c r="R72" s="7"/>
      <c r="S72" s="17"/>
    </row>
    <row r="73" ht="13.5" customHeight="1">
      <c r="A73" s="7" t="s">
        <v>33</v>
      </c>
      <c r="B73" s="8" t="s">
        <v>167</v>
      </c>
      <c r="C73" s="8" t="s">
        <v>99</v>
      </c>
      <c r="D73" s="8" t="s">
        <v>2022</v>
      </c>
      <c r="E73" s="9" t="s">
        <v>2062</v>
      </c>
      <c r="F73" s="8" t="s">
        <v>2063</v>
      </c>
      <c r="G73" s="8" t="s">
        <v>84</v>
      </c>
      <c r="H73" s="8" t="s">
        <v>259</v>
      </c>
      <c r="I73" s="8" t="s">
        <v>260</v>
      </c>
      <c r="J73" s="8" t="s">
        <v>294</v>
      </c>
      <c r="K73" s="8" t="s">
        <v>55</v>
      </c>
      <c r="L73" s="17"/>
      <c r="M73" s="17"/>
      <c r="N73" s="18"/>
      <c r="O73" s="19"/>
      <c r="P73" s="7" t="s">
        <v>2055</v>
      </c>
      <c r="Q73" s="7"/>
      <c r="R73" s="7"/>
      <c r="S73" s="17"/>
    </row>
    <row r="74" ht="13.5" customHeight="1">
      <c r="A74" s="7" t="s">
        <v>33</v>
      </c>
      <c r="B74" s="8" t="s">
        <v>167</v>
      </c>
      <c r="C74" s="8" t="s">
        <v>99</v>
      </c>
      <c r="D74" s="8" t="s">
        <v>2022</v>
      </c>
      <c r="E74" s="9" t="s">
        <v>2064</v>
      </c>
      <c r="F74" s="8" t="s">
        <v>2065</v>
      </c>
      <c r="G74" s="8" t="s">
        <v>84</v>
      </c>
      <c r="H74" s="8" t="s">
        <v>259</v>
      </c>
      <c r="I74" s="8" t="s">
        <v>260</v>
      </c>
      <c r="J74" s="8" t="s">
        <v>294</v>
      </c>
      <c r="K74" s="8" t="s">
        <v>55</v>
      </c>
      <c r="L74" s="17"/>
      <c r="M74" s="17"/>
      <c r="N74" s="18"/>
      <c r="O74" s="19"/>
      <c r="P74" s="7" t="s">
        <v>1988</v>
      </c>
      <c r="Q74" s="7"/>
      <c r="R74" s="7"/>
      <c r="S74" s="17"/>
    </row>
    <row r="75" ht="13.5" customHeight="1">
      <c r="A75" s="7" t="s">
        <v>33</v>
      </c>
      <c r="B75" s="8" t="s">
        <v>167</v>
      </c>
      <c r="C75" s="8" t="s">
        <v>99</v>
      </c>
      <c r="D75" s="8" t="s">
        <v>2022</v>
      </c>
      <c r="E75" s="9" t="s">
        <v>2066</v>
      </c>
      <c r="F75" s="8" t="s">
        <v>2067</v>
      </c>
      <c r="G75" s="8" t="s">
        <v>84</v>
      </c>
      <c r="H75" s="8" t="s">
        <v>259</v>
      </c>
      <c r="I75" s="8" t="s">
        <v>260</v>
      </c>
      <c r="J75" s="8" t="s">
        <v>294</v>
      </c>
      <c r="K75" s="8" t="s">
        <v>55</v>
      </c>
      <c r="L75" s="17"/>
      <c r="M75" s="17"/>
      <c r="N75" s="18"/>
      <c r="O75" s="19"/>
      <c r="P75" s="7" t="s">
        <v>2049</v>
      </c>
      <c r="Q75" s="7"/>
      <c r="R75" s="7"/>
      <c r="S75" s="17"/>
    </row>
    <row r="76" ht="13.5" customHeight="1">
      <c r="A76" s="7" t="s">
        <v>33</v>
      </c>
      <c r="B76" s="8" t="s">
        <v>167</v>
      </c>
      <c r="C76" s="8" t="s">
        <v>99</v>
      </c>
      <c r="D76" s="8" t="s">
        <v>2022</v>
      </c>
      <c r="E76" s="9" t="s">
        <v>2068</v>
      </c>
      <c r="F76" s="8" t="s">
        <v>2069</v>
      </c>
      <c r="G76" s="8" t="s">
        <v>84</v>
      </c>
      <c r="H76" s="8" t="s">
        <v>259</v>
      </c>
      <c r="I76" s="8" t="s">
        <v>260</v>
      </c>
      <c r="J76" s="8" t="s">
        <v>294</v>
      </c>
      <c r="K76" s="8" t="s">
        <v>55</v>
      </c>
      <c r="L76" s="17"/>
      <c r="M76" s="17"/>
      <c r="N76" s="18"/>
      <c r="O76" s="19"/>
      <c r="P76" s="7" t="s">
        <v>1988</v>
      </c>
      <c r="Q76" s="7"/>
      <c r="R76" s="7"/>
      <c r="S76" s="17"/>
    </row>
    <row r="77" ht="13.5" customHeight="1">
      <c r="A77" s="7" t="s">
        <v>33</v>
      </c>
      <c r="B77" s="8" t="s">
        <v>167</v>
      </c>
      <c r="C77" s="8" t="s">
        <v>99</v>
      </c>
      <c r="D77" s="8" t="s">
        <v>2022</v>
      </c>
      <c r="E77" s="9" t="s">
        <v>2070</v>
      </c>
      <c r="F77" s="8" t="s">
        <v>2071</v>
      </c>
      <c r="G77" s="8" t="s">
        <v>84</v>
      </c>
      <c r="H77" s="8" t="s">
        <v>259</v>
      </c>
      <c r="I77" s="8" t="s">
        <v>260</v>
      </c>
      <c r="J77" s="8" t="s">
        <v>294</v>
      </c>
      <c r="K77" s="8" t="s">
        <v>55</v>
      </c>
      <c r="L77" s="17"/>
      <c r="M77" s="17"/>
      <c r="N77" s="18"/>
      <c r="O77" s="19"/>
      <c r="P77" s="7" t="s">
        <v>1988</v>
      </c>
      <c r="Q77" s="7"/>
      <c r="R77" s="7"/>
      <c r="S77" s="17"/>
    </row>
    <row r="78" ht="13.5" customHeight="1">
      <c r="A78" s="7" t="s">
        <v>33</v>
      </c>
      <c r="B78" s="8" t="s">
        <v>167</v>
      </c>
      <c r="C78" s="8" t="s">
        <v>99</v>
      </c>
      <c r="D78" s="8" t="s">
        <v>2022</v>
      </c>
      <c r="E78" s="9" t="s">
        <v>2072</v>
      </c>
      <c r="F78" s="8" t="s">
        <v>2073</v>
      </c>
      <c r="G78" s="8" t="s">
        <v>84</v>
      </c>
      <c r="H78" s="8" t="s">
        <v>259</v>
      </c>
      <c r="I78" s="8" t="s">
        <v>260</v>
      </c>
      <c r="J78" s="8" t="s">
        <v>294</v>
      </c>
      <c r="K78" s="8" t="s">
        <v>55</v>
      </c>
      <c r="L78" s="17"/>
      <c r="M78" s="17"/>
      <c r="N78" s="18"/>
      <c r="O78" s="19"/>
      <c r="P78" s="7" t="s">
        <v>2074</v>
      </c>
      <c r="Q78" s="7"/>
      <c r="R78" s="7"/>
      <c r="S78" s="17"/>
    </row>
    <row r="79" ht="13.5" customHeight="1">
      <c r="A79" s="7" t="s">
        <v>33</v>
      </c>
      <c r="B79" s="8" t="s">
        <v>167</v>
      </c>
      <c r="C79" s="8" t="s">
        <v>99</v>
      </c>
      <c r="D79" s="8" t="s">
        <v>2022</v>
      </c>
      <c r="E79" s="9" t="s">
        <v>2075</v>
      </c>
      <c r="F79" s="8" t="s">
        <v>2076</v>
      </c>
      <c r="G79" s="8" t="s">
        <v>84</v>
      </c>
      <c r="H79" s="8" t="s">
        <v>259</v>
      </c>
      <c r="I79" s="8" t="s">
        <v>260</v>
      </c>
      <c r="J79" s="8" t="s">
        <v>294</v>
      </c>
      <c r="K79" s="8" t="s">
        <v>55</v>
      </c>
      <c r="L79" s="17"/>
      <c r="M79" s="17"/>
      <c r="N79" s="18"/>
      <c r="O79" s="19"/>
      <c r="P79" s="7" t="s">
        <v>2077</v>
      </c>
      <c r="Q79" s="7"/>
      <c r="R79" s="7"/>
      <c r="S79" s="17"/>
    </row>
    <row r="80" ht="13.5" customHeight="1">
      <c r="A80" s="7" t="s">
        <v>33</v>
      </c>
      <c r="B80" s="8" t="s">
        <v>167</v>
      </c>
      <c r="C80" s="8" t="s">
        <v>99</v>
      </c>
      <c r="D80" s="8" t="s">
        <v>2022</v>
      </c>
      <c r="E80" s="9" t="s">
        <v>2078</v>
      </c>
      <c r="F80" s="8" t="s">
        <v>2079</v>
      </c>
      <c r="G80" s="8" t="s">
        <v>84</v>
      </c>
      <c r="H80" s="8" t="s">
        <v>259</v>
      </c>
      <c r="I80" s="8" t="s">
        <v>260</v>
      </c>
      <c r="J80" s="8" t="s">
        <v>294</v>
      </c>
      <c r="K80" s="8" t="s">
        <v>55</v>
      </c>
      <c r="L80" s="17"/>
      <c r="M80" s="17"/>
      <c r="N80" s="18"/>
      <c r="O80" s="19"/>
      <c r="P80" s="7" t="s">
        <v>2080</v>
      </c>
      <c r="Q80" s="7"/>
      <c r="R80" s="7"/>
      <c r="S80" s="17"/>
    </row>
    <row r="81" ht="13.5" customHeight="1">
      <c r="A81" s="7" t="s">
        <v>33</v>
      </c>
      <c r="B81" s="8" t="s">
        <v>167</v>
      </c>
      <c r="C81" s="8" t="s">
        <v>99</v>
      </c>
      <c r="D81" s="8" t="s">
        <v>2022</v>
      </c>
      <c r="E81" s="9" t="s">
        <v>2081</v>
      </c>
      <c r="F81" s="8" t="s">
        <v>2082</v>
      </c>
      <c r="G81" s="8" t="s">
        <v>84</v>
      </c>
      <c r="H81" s="8" t="s">
        <v>259</v>
      </c>
      <c r="I81" s="8" t="s">
        <v>260</v>
      </c>
      <c r="J81" s="8" t="s">
        <v>294</v>
      </c>
      <c r="K81" s="8" t="s">
        <v>55</v>
      </c>
      <c r="L81" s="17"/>
      <c r="M81" s="17"/>
      <c r="N81" s="18"/>
      <c r="O81" s="19"/>
      <c r="P81" s="7" t="s">
        <v>1988</v>
      </c>
      <c r="Q81" s="7"/>
      <c r="R81" s="7"/>
      <c r="S81" s="17"/>
    </row>
    <row r="82" ht="13.5" customHeight="1">
      <c r="A82" s="7" t="s">
        <v>33</v>
      </c>
      <c r="B82" s="8" t="s">
        <v>167</v>
      </c>
      <c r="C82" s="8" t="s">
        <v>99</v>
      </c>
      <c r="D82" s="8" t="s">
        <v>2022</v>
      </c>
      <c r="E82" s="9" t="s">
        <v>2083</v>
      </c>
      <c r="F82" s="8" t="s">
        <v>2084</v>
      </c>
      <c r="G82" s="8" t="s">
        <v>84</v>
      </c>
      <c r="H82" s="8" t="s">
        <v>259</v>
      </c>
      <c r="I82" s="8" t="s">
        <v>260</v>
      </c>
      <c r="J82" s="8" t="s">
        <v>294</v>
      </c>
      <c r="K82" s="8" t="s">
        <v>55</v>
      </c>
      <c r="L82" s="17"/>
      <c r="M82" s="17"/>
      <c r="N82" s="18"/>
      <c r="O82" s="19"/>
      <c r="P82" s="7" t="s">
        <v>1988</v>
      </c>
      <c r="Q82" s="7"/>
      <c r="R82" s="7"/>
      <c r="S82" s="17"/>
    </row>
    <row r="83" ht="13.5" customHeight="1">
      <c r="A83" s="7" t="s">
        <v>33</v>
      </c>
      <c r="B83" s="8" t="s">
        <v>167</v>
      </c>
      <c r="C83" s="8" t="s">
        <v>99</v>
      </c>
      <c r="D83" s="8" t="s">
        <v>2022</v>
      </c>
      <c r="E83" s="9" t="s">
        <v>2085</v>
      </c>
      <c r="F83" s="8" t="s">
        <v>2086</v>
      </c>
      <c r="G83" s="8" t="s">
        <v>84</v>
      </c>
      <c r="H83" s="8" t="s">
        <v>259</v>
      </c>
      <c r="I83" s="8" t="s">
        <v>260</v>
      </c>
      <c r="J83" s="8" t="s">
        <v>294</v>
      </c>
      <c r="K83" s="8" t="s">
        <v>55</v>
      </c>
      <c r="L83" s="17"/>
      <c r="M83" s="17"/>
      <c r="N83" s="18"/>
      <c r="O83" s="19"/>
      <c r="P83" s="7" t="s">
        <v>1988</v>
      </c>
      <c r="Q83" s="7"/>
      <c r="R83" s="7"/>
      <c r="S83" s="17"/>
    </row>
    <row r="84" ht="13.5" customHeight="1">
      <c r="A84" s="7" t="s">
        <v>33</v>
      </c>
      <c r="B84" s="8" t="s">
        <v>167</v>
      </c>
      <c r="C84" s="8" t="s">
        <v>99</v>
      </c>
      <c r="D84" s="8" t="s">
        <v>2087</v>
      </c>
      <c r="E84" s="9" t="s">
        <v>2088</v>
      </c>
      <c r="F84" s="8" t="s">
        <v>2089</v>
      </c>
      <c r="G84" s="8" t="s">
        <v>84</v>
      </c>
      <c r="H84" s="8" t="s">
        <v>259</v>
      </c>
      <c r="I84" s="8" t="s">
        <v>260</v>
      </c>
      <c r="J84" s="8" t="s">
        <v>294</v>
      </c>
      <c r="K84" s="8" t="s">
        <v>55</v>
      </c>
      <c r="L84" s="17"/>
      <c r="M84" s="17"/>
      <c r="N84" s="18"/>
      <c r="O84" s="19"/>
      <c r="P84" s="7" t="s">
        <v>1988</v>
      </c>
      <c r="Q84" s="7"/>
      <c r="R84" s="7"/>
      <c r="S84" s="17"/>
    </row>
    <row r="85" ht="13.5" customHeight="1">
      <c r="A85" s="7" t="s">
        <v>33</v>
      </c>
      <c r="B85" s="8" t="s">
        <v>167</v>
      </c>
      <c r="C85" s="8" t="s">
        <v>99</v>
      </c>
      <c r="D85" s="8" t="s">
        <v>2087</v>
      </c>
      <c r="E85" s="9" t="s">
        <v>2090</v>
      </c>
      <c r="F85" s="8" t="s">
        <v>2091</v>
      </c>
      <c r="G85" s="8" t="s">
        <v>84</v>
      </c>
      <c r="H85" s="8" t="s">
        <v>259</v>
      </c>
      <c r="I85" s="8" t="s">
        <v>260</v>
      </c>
      <c r="J85" s="8" t="s">
        <v>294</v>
      </c>
      <c r="K85" s="8" t="s">
        <v>55</v>
      </c>
      <c r="L85" s="17"/>
      <c r="M85" s="17"/>
      <c r="N85" s="18"/>
      <c r="O85" s="19"/>
      <c r="P85" s="7" t="s">
        <v>1988</v>
      </c>
      <c r="Q85" s="7"/>
      <c r="R85" s="7"/>
      <c r="S85" s="17"/>
    </row>
    <row r="86" ht="13.5" customHeight="1">
      <c r="A86" s="7" t="s">
        <v>33</v>
      </c>
      <c r="B86" s="8" t="s">
        <v>167</v>
      </c>
      <c r="C86" s="8" t="s">
        <v>99</v>
      </c>
      <c r="D86" s="8" t="s">
        <v>2087</v>
      </c>
      <c r="E86" s="9" t="s">
        <v>2092</v>
      </c>
      <c r="F86" s="8" t="s">
        <v>2093</v>
      </c>
      <c r="G86" s="8" t="s">
        <v>84</v>
      </c>
      <c r="H86" s="8" t="s">
        <v>259</v>
      </c>
      <c r="I86" s="8" t="s">
        <v>260</v>
      </c>
      <c r="J86" s="8" t="s">
        <v>294</v>
      </c>
      <c r="K86" s="8" t="s">
        <v>55</v>
      </c>
      <c r="L86" s="17"/>
      <c r="M86" s="17"/>
      <c r="N86" s="18"/>
      <c r="O86" s="19"/>
      <c r="P86" s="7" t="s">
        <v>1988</v>
      </c>
      <c r="Q86" s="7"/>
      <c r="R86" s="7"/>
      <c r="S86" s="17"/>
    </row>
    <row r="87" ht="13.5" customHeight="1">
      <c r="A87" s="7" t="s">
        <v>33</v>
      </c>
      <c r="B87" s="8" t="s">
        <v>167</v>
      </c>
      <c r="C87" s="8" t="s">
        <v>99</v>
      </c>
      <c r="D87" s="8" t="s">
        <v>2087</v>
      </c>
      <c r="E87" s="9" t="s">
        <v>2094</v>
      </c>
      <c r="F87" s="8" t="s">
        <v>2095</v>
      </c>
      <c r="G87" s="8" t="s">
        <v>84</v>
      </c>
      <c r="H87" s="8" t="s">
        <v>259</v>
      </c>
      <c r="I87" s="8" t="s">
        <v>260</v>
      </c>
      <c r="J87" s="8" t="s">
        <v>294</v>
      </c>
      <c r="K87" s="8" t="s">
        <v>55</v>
      </c>
      <c r="L87" s="17"/>
      <c r="M87" s="17"/>
      <c r="N87" s="18"/>
      <c r="O87" s="19"/>
      <c r="P87" s="7" t="s">
        <v>1988</v>
      </c>
      <c r="Q87" s="7"/>
      <c r="R87" s="7"/>
      <c r="S87" s="17"/>
    </row>
    <row r="88" ht="13.5" customHeight="1">
      <c r="A88" s="7" t="s">
        <v>33</v>
      </c>
      <c r="B88" s="8" t="s">
        <v>167</v>
      </c>
      <c r="C88" s="8" t="s">
        <v>99</v>
      </c>
      <c r="D88" s="8" t="s">
        <v>2087</v>
      </c>
      <c r="E88" s="9" t="s">
        <v>2096</v>
      </c>
      <c r="F88" s="8" t="s">
        <v>2097</v>
      </c>
      <c r="G88" s="8" t="s">
        <v>84</v>
      </c>
      <c r="H88" s="8" t="s">
        <v>259</v>
      </c>
      <c r="I88" s="8" t="s">
        <v>260</v>
      </c>
      <c r="J88" s="8" t="s">
        <v>294</v>
      </c>
      <c r="K88" s="8" t="s">
        <v>55</v>
      </c>
      <c r="L88" s="17"/>
      <c r="M88" s="17"/>
      <c r="N88" s="18"/>
      <c r="O88" s="19"/>
      <c r="P88" s="7" t="s">
        <v>1988</v>
      </c>
      <c r="Q88" s="7"/>
      <c r="R88" s="7"/>
      <c r="S88" s="17"/>
    </row>
    <row r="89" ht="13.5" customHeight="1">
      <c r="A89" s="43" t="s">
        <v>2098</v>
      </c>
      <c r="B89" s="8" t="s">
        <v>79</v>
      </c>
      <c r="C89" s="8" t="s">
        <v>619</v>
      </c>
      <c r="D89" s="8" t="s">
        <v>2099</v>
      </c>
      <c r="E89" s="9" t="s">
        <v>33</v>
      </c>
      <c r="F89" s="8" t="s">
        <v>2100</v>
      </c>
      <c r="G89" s="8" t="s">
        <v>84</v>
      </c>
      <c r="H89" s="8" t="s">
        <v>259</v>
      </c>
      <c r="I89" s="8" t="s">
        <v>260</v>
      </c>
      <c r="J89" s="8" t="s">
        <v>294</v>
      </c>
      <c r="K89" s="8" t="s">
        <v>55</v>
      </c>
      <c r="L89" s="17"/>
      <c r="M89" s="17"/>
      <c r="N89" s="18"/>
      <c r="O89" s="19"/>
      <c r="P89" s="7"/>
      <c r="Q89" s="7"/>
      <c r="R89" s="7"/>
      <c r="S89" s="17"/>
    </row>
    <row r="90" ht="13.5" customHeight="1">
      <c r="A90" s="7" t="s">
        <v>33</v>
      </c>
      <c r="B90" s="8" t="s">
        <v>59</v>
      </c>
      <c r="C90" s="8" t="s">
        <v>60</v>
      </c>
      <c r="D90" s="8" t="s">
        <v>2101</v>
      </c>
      <c r="E90" s="9" t="s">
        <v>33</v>
      </c>
      <c r="F90" s="8" t="s">
        <v>2102</v>
      </c>
      <c r="G90" s="8" t="s">
        <v>84</v>
      </c>
      <c r="H90" s="8" t="s">
        <v>259</v>
      </c>
      <c r="I90" s="8" t="s">
        <v>260</v>
      </c>
      <c r="J90" s="8" t="s">
        <v>2103</v>
      </c>
      <c r="K90" s="8" t="s">
        <v>29</v>
      </c>
      <c r="L90" s="17"/>
      <c r="M90" s="17"/>
      <c r="N90" s="18"/>
      <c r="O90" s="19"/>
      <c r="P90" s="7"/>
      <c r="Q90" s="7"/>
      <c r="R90" s="7"/>
      <c r="S90" s="17"/>
    </row>
    <row r="91" ht="13.5" customHeight="1">
      <c r="A91" s="7" t="s">
        <v>33</v>
      </c>
      <c r="B91" s="8" t="s">
        <v>2104</v>
      </c>
      <c r="C91" s="8" t="s">
        <v>33</v>
      </c>
      <c r="D91" s="8" t="s">
        <v>33</v>
      </c>
      <c r="E91" s="9" t="s">
        <v>33</v>
      </c>
      <c r="F91" s="8" t="s">
        <v>2102</v>
      </c>
      <c r="G91" s="8" t="s">
        <v>84</v>
      </c>
      <c r="H91" s="8" t="s">
        <v>259</v>
      </c>
      <c r="I91" s="8" t="s">
        <v>260</v>
      </c>
      <c r="J91" s="8" t="s">
        <v>2103</v>
      </c>
      <c r="K91" s="8" t="s">
        <v>29</v>
      </c>
      <c r="L91" s="17"/>
      <c r="M91" s="17"/>
      <c r="N91" s="18"/>
      <c r="O91" s="19"/>
      <c r="P91" s="7"/>
      <c r="Q91" s="7"/>
      <c r="R91" s="7"/>
      <c r="S91" s="17"/>
    </row>
    <row r="92" ht="13.5" customHeight="1">
      <c r="A92" s="7" t="s">
        <v>33</v>
      </c>
      <c r="B92" s="8" t="s">
        <v>2105</v>
      </c>
      <c r="C92" s="8" t="s">
        <v>60</v>
      </c>
      <c r="D92" s="8" t="s">
        <v>61</v>
      </c>
      <c r="E92" s="9" t="s">
        <v>33</v>
      </c>
      <c r="F92" s="8" t="s">
        <v>2102</v>
      </c>
      <c r="G92" s="8" t="s">
        <v>84</v>
      </c>
      <c r="H92" s="8" t="s">
        <v>259</v>
      </c>
      <c r="I92" s="8" t="s">
        <v>260</v>
      </c>
      <c r="J92" s="8" t="s">
        <v>2103</v>
      </c>
      <c r="K92" s="8" t="s">
        <v>29</v>
      </c>
      <c r="L92" s="17"/>
      <c r="M92" s="17"/>
      <c r="N92" s="18"/>
      <c r="O92" s="19"/>
      <c r="P92" s="7"/>
      <c r="Q92" s="7"/>
      <c r="R92" s="7"/>
      <c r="S92" s="17"/>
    </row>
    <row r="93" ht="13.5" customHeight="1">
      <c r="A93" s="7" t="s">
        <v>33</v>
      </c>
      <c r="B93" s="8" t="s">
        <v>2105</v>
      </c>
      <c r="C93" s="8" t="s">
        <v>60</v>
      </c>
      <c r="D93" s="8" t="s">
        <v>61</v>
      </c>
      <c r="E93" s="9" t="s">
        <v>33</v>
      </c>
      <c r="F93" s="8" t="s">
        <v>2102</v>
      </c>
      <c r="G93" s="8" t="s">
        <v>84</v>
      </c>
      <c r="H93" s="8" t="s">
        <v>259</v>
      </c>
      <c r="I93" s="8" t="s">
        <v>260</v>
      </c>
      <c r="J93" s="8" t="s">
        <v>2103</v>
      </c>
      <c r="K93" s="8" t="s">
        <v>29</v>
      </c>
      <c r="L93" s="17"/>
      <c r="M93" s="17"/>
      <c r="N93" s="18"/>
      <c r="O93" s="19"/>
      <c r="P93" s="7"/>
      <c r="Q93" s="7"/>
      <c r="R93" s="7"/>
      <c r="S93" s="17"/>
    </row>
    <row r="94" ht="13.5" customHeight="1">
      <c r="A94" s="7" t="s">
        <v>33</v>
      </c>
      <c r="B94" s="8" t="s">
        <v>2106</v>
      </c>
      <c r="C94" s="8" t="s">
        <v>2107</v>
      </c>
      <c r="D94" s="8" t="s">
        <v>33</v>
      </c>
      <c r="E94" s="9" t="s">
        <v>2108</v>
      </c>
      <c r="F94" s="8" t="s">
        <v>2102</v>
      </c>
      <c r="G94" s="8" t="s">
        <v>84</v>
      </c>
      <c r="H94" s="8" t="s">
        <v>259</v>
      </c>
      <c r="I94" s="8" t="s">
        <v>260</v>
      </c>
      <c r="J94" s="8" t="s">
        <v>2103</v>
      </c>
      <c r="K94" s="8" t="s">
        <v>29</v>
      </c>
      <c r="L94" s="17"/>
      <c r="M94" s="17"/>
      <c r="N94" s="18"/>
      <c r="O94" s="19"/>
      <c r="P94" s="7"/>
      <c r="Q94" s="7"/>
      <c r="R94" s="7"/>
      <c r="S94" s="17"/>
    </row>
    <row r="95" ht="13.5" customHeight="1">
      <c r="A95" s="7" t="s">
        <v>33</v>
      </c>
      <c r="B95" s="8" t="s">
        <v>2109</v>
      </c>
      <c r="C95" s="8" t="s">
        <v>153</v>
      </c>
      <c r="D95" s="8" t="s">
        <v>33</v>
      </c>
      <c r="E95" s="9" t="s">
        <v>33</v>
      </c>
      <c r="F95" s="8" t="s">
        <v>2102</v>
      </c>
      <c r="G95" s="8" t="s">
        <v>84</v>
      </c>
      <c r="H95" s="8" t="s">
        <v>259</v>
      </c>
      <c r="I95" s="8" t="s">
        <v>260</v>
      </c>
      <c r="J95" s="8" t="s">
        <v>2103</v>
      </c>
      <c r="K95" s="8" t="s">
        <v>29</v>
      </c>
      <c r="L95" s="17"/>
      <c r="M95" s="17"/>
      <c r="N95" s="18"/>
      <c r="O95" s="19"/>
      <c r="P95" s="7"/>
      <c r="Q95" s="7"/>
      <c r="R95" s="7"/>
      <c r="S95" s="17"/>
    </row>
    <row r="96" ht="13.5" customHeight="1">
      <c r="A96" s="7" t="s">
        <v>2110</v>
      </c>
      <c r="B96" s="8" t="s">
        <v>34</v>
      </c>
      <c r="C96" s="8" t="s">
        <v>35</v>
      </c>
      <c r="D96" s="8" t="s">
        <v>2111</v>
      </c>
      <c r="E96" s="9" t="s">
        <v>33</v>
      </c>
      <c r="F96" s="8" t="s">
        <v>2102</v>
      </c>
      <c r="G96" s="8" t="s">
        <v>84</v>
      </c>
      <c r="H96" s="8" t="s">
        <v>259</v>
      </c>
      <c r="I96" s="8" t="s">
        <v>260</v>
      </c>
      <c r="J96" s="8" t="s">
        <v>2103</v>
      </c>
      <c r="K96" s="8" t="s">
        <v>29</v>
      </c>
      <c r="L96" s="17"/>
      <c r="M96" s="17"/>
      <c r="N96" s="18"/>
      <c r="O96" s="19"/>
      <c r="P96" s="7"/>
      <c r="Q96" s="7"/>
      <c r="R96" s="7"/>
      <c r="S96" s="17"/>
    </row>
    <row r="97" ht="13.5" customHeight="1">
      <c r="A97" s="7" t="s">
        <v>33</v>
      </c>
      <c r="B97" s="8" t="s">
        <v>2106</v>
      </c>
      <c r="C97" s="8" t="s">
        <v>2107</v>
      </c>
      <c r="D97" s="8" t="s">
        <v>2112</v>
      </c>
      <c r="E97" s="9" t="s">
        <v>2108</v>
      </c>
      <c r="F97" s="8" t="s">
        <v>2102</v>
      </c>
      <c r="G97" s="8" t="s">
        <v>84</v>
      </c>
      <c r="H97" s="8" t="s">
        <v>259</v>
      </c>
      <c r="I97" s="8" t="s">
        <v>260</v>
      </c>
      <c r="J97" s="8" t="s">
        <v>2103</v>
      </c>
      <c r="K97" s="8" t="s">
        <v>29</v>
      </c>
      <c r="L97" s="17"/>
      <c r="M97" s="17"/>
      <c r="N97" s="18"/>
      <c r="O97" s="19"/>
      <c r="P97" s="7"/>
      <c r="Q97" s="7"/>
      <c r="R97" s="7"/>
      <c r="S97" s="17"/>
    </row>
    <row r="98" ht="13.5" customHeight="1">
      <c r="A98" s="7" t="s">
        <v>33</v>
      </c>
      <c r="B98" s="8" t="s">
        <v>2106</v>
      </c>
      <c r="C98" s="8" t="s">
        <v>2107</v>
      </c>
      <c r="D98" s="8" t="s">
        <v>33</v>
      </c>
      <c r="E98" s="9" t="s">
        <v>2108</v>
      </c>
      <c r="F98" s="8" t="s">
        <v>2102</v>
      </c>
      <c r="G98" s="8" t="s">
        <v>84</v>
      </c>
      <c r="H98" s="8" t="s">
        <v>259</v>
      </c>
      <c r="I98" s="8" t="s">
        <v>260</v>
      </c>
      <c r="J98" s="8" t="s">
        <v>2103</v>
      </c>
      <c r="K98" s="8" t="s">
        <v>29</v>
      </c>
      <c r="L98" s="17"/>
      <c r="M98" s="17"/>
      <c r="N98" s="18"/>
      <c r="O98" s="19"/>
      <c r="P98" s="7"/>
      <c r="Q98" s="7"/>
      <c r="R98" s="7"/>
      <c r="S98" s="17"/>
    </row>
    <row r="99" ht="13.5" customHeight="1">
      <c r="A99" s="7" t="s">
        <v>33</v>
      </c>
      <c r="B99" s="8" t="s">
        <v>2106</v>
      </c>
      <c r="C99" s="8" t="s">
        <v>2107</v>
      </c>
      <c r="D99" s="8" t="s">
        <v>2112</v>
      </c>
      <c r="E99" s="9" t="s">
        <v>2108</v>
      </c>
      <c r="F99" s="8" t="s">
        <v>2102</v>
      </c>
      <c r="G99" s="8" t="s">
        <v>84</v>
      </c>
      <c r="H99" s="8" t="s">
        <v>259</v>
      </c>
      <c r="I99" s="8" t="s">
        <v>260</v>
      </c>
      <c r="J99" s="8" t="s">
        <v>2103</v>
      </c>
      <c r="K99" s="8" t="s">
        <v>29</v>
      </c>
      <c r="L99" s="17"/>
      <c r="M99" s="17"/>
      <c r="N99" s="18"/>
      <c r="O99" s="19"/>
      <c r="P99" s="7"/>
      <c r="Q99" s="7"/>
      <c r="R99" s="7"/>
      <c r="S99" s="17"/>
    </row>
    <row r="100" ht="13.5" customHeight="1">
      <c r="A100" s="7" t="s">
        <v>33</v>
      </c>
      <c r="B100" s="8" t="s">
        <v>2113</v>
      </c>
      <c r="C100" s="8" t="s">
        <v>145</v>
      </c>
      <c r="D100" s="8" t="s">
        <v>345</v>
      </c>
      <c r="E100" s="9" t="s">
        <v>33</v>
      </c>
      <c r="F100" s="8" t="s">
        <v>33</v>
      </c>
      <c r="G100" s="8" t="s">
        <v>84</v>
      </c>
      <c r="H100" s="8" t="s">
        <v>259</v>
      </c>
      <c r="I100" s="8" t="s">
        <v>260</v>
      </c>
      <c r="J100" s="8" t="s">
        <v>2103</v>
      </c>
      <c r="K100" s="8" t="s">
        <v>29</v>
      </c>
      <c r="L100" s="17"/>
      <c r="M100" s="17"/>
      <c r="N100" s="18"/>
      <c r="O100" s="19"/>
      <c r="P100" s="7"/>
      <c r="Q100" s="7"/>
      <c r="R100" s="7"/>
      <c r="S100" s="17"/>
    </row>
    <row r="101" ht="13.5" customHeight="1">
      <c r="A101" s="7" t="s">
        <v>33</v>
      </c>
      <c r="B101" s="8" t="s">
        <v>2106</v>
      </c>
      <c r="C101" s="8" t="s">
        <v>2114</v>
      </c>
      <c r="D101" s="8" t="s">
        <v>2115</v>
      </c>
      <c r="E101" s="9" t="s">
        <v>2108</v>
      </c>
      <c r="F101" s="8" t="s">
        <v>2102</v>
      </c>
      <c r="G101" s="8" t="s">
        <v>84</v>
      </c>
      <c r="H101" s="8" t="s">
        <v>259</v>
      </c>
      <c r="I101" s="8" t="s">
        <v>260</v>
      </c>
      <c r="J101" s="8" t="s">
        <v>2103</v>
      </c>
      <c r="K101" s="8" t="s">
        <v>29</v>
      </c>
      <c r="L101" s="17"/>
      <c r="M101" s="17"/>
      <c r="N101" s="18"/>
      <c r="O101" s="19"/>
      <c r="P101" s="7"/>
      <c r="Q101" s="7"/>
      <c r="R101" s="7"/>
      <c r="S101" s="17"/>
    </row>
    <row r="102" ht="13.5" customHeight="1">
      <c r="A102" s="7" t="s">
        <v>33</v>
      </c>
      <c r="B102" s="8" t="s">
        <v>2113</v>
      </c>
      <c r="C102" s="8" t="s">
        <v>2116</v>
      </c>
      <c r="D102" s="8" t="s">
        <v>2117</v>
      </c>
      <c r="E102" s="9" t="s">
        <v>33</v>
      </c>
      <c r="F102" s="8" t="s">
        <v>2102</v>
      </c>
      <c r="G102" s="8" t="s">
        <v>84</v>
      </c>
      <c r="H102" s="8" t="s">
        <v>259</v>
      </c>
      <c r="I102" s="8" t="s">
        <v>260</v>
      </c>
      <c r="J102" s="8" t="s">
        <v>2103</v>
      </c>
      <c r="K102" s="8" t="s">
        <v>29</v>
      </c>
      <c r="L102" s="17"/>
      <c r="M102" s="17"/>
      <c r="N102" s="18"/>
      <c r="O102" s="19"/>
      <c r="P102" s="7"/>
      <c r="Q102" s="7"/>
      <c r="R102" s="7"/>
      <c r="S102" s="17"/>
    </row>
    <row r="103" ht="13.5" customHeight="1">
      <c r="A103" s="7" t="s">
        <v>33</v>
      </c>
      <c r="B103" s="8" t="s">
        <v>2113</v>
      </c>
      <c r="C103" s="8" t="s">
        <v>86</v>
      </c>
      <c r="D103" s="8" t="s">
        <v>2118</v>
      </c>
      <c r="E103" s="9" t="s">
        <v>2119</v>
      </c>
      <c r="F103" s="8" t="s">
        <v>2102</v>
      </c>
      <c r="G103" s="8" t="s">
        <v>84</v>
      </c>
      <c r="H103" s="8" t="s">
        <v>259</v>
      </c>
      <c r="I103" s="8" t="s">
        <v>260</v>
      </c>
      <c r="J103" s="8" t="s">
        <v>2103</v>
      </c>
      <c r="K103" s="8" t="s">
        <v>29</v>
      </c>
      <c r="L103" s="17"/>
      <c r="M103" s="17"/>
      <c r="N103" s="18"/>
      <c r="O103" s="19"/>
      <c r="P103" s="7"/>
      <c r="Q103" s="7"/>
      <c r="R103" s="7"/>
      <c r="S103" s="17"/>
    </row>
    <row r="104" ht="13.5" customHeight="1">
      <c r="A104" s="7" t="s">
        <v>33</v>
      </c>
      <c r="B104" s="8" t="s">
        <v>2106</v>
      </c>
      <c r="C104" s="8" t="s">
        <v>68</v>
      </c>
      <c r="D104" s="8" t="s">
        <v>2120</v>
      </c>
      <c r="E104" s="9" t="s">
        <v>2108</v>
      </c>
      <c r="F104" s="8" t="s">
        <v>2102</v>
      </c>
      <c r="G104" s="8" t="s">
        <v>84</v>
      </c>
      <c r="H104" s="8" t="s">
        <v>259</v>
      </c>
      <c r="I104" s="8" t="s">
        <v>260</v>
      </c>
      <c r="J104" s="8" t="s">
        <v>2103</v>
      </c>
      <c r="K104" s="8" t="s">
        <v>29</v>
      </c>
      <c r="L104" s="17"/>
      <c r="M104" s="17"/>
      <c r="N104" s="18"/>
      <c r="O104" s="19"/>
      <c r="P104" s="7"/>
      <c r="Q104" s="7"/>
      <c r="R104" s="7"/>
      <c r="S104" s="17"/>
    </row>
    <row r="105" ht="13.5" customHeight="1">
      <c r="A105" s="7" t="s">
        <v>33</v>
      </c>
      <c r="B105" s="8" t="s">
        <v>2113</v>
      </c>
      <c r="C105" s="8" t="s">
        <v>99</v>
      </c>
      <c r="D105" s="8" t="s">
        <v>2121</v>
      </c>
      <c r="E105" s="9" t="s">
        <v>33</v>
      </c>
      <c r="F105" s="8" t="s">
        <v>2102</v>
      </c>
      <c r="G105" s="8" t="s">
        <v>84</v>
      </c>
      <c r="H105" s="8" t="s">
        <v>259</v>
      </c>
      <c r="I105" s="8" t="s">
        <v>260</v>
      </c>
      <c r="J105" s="8" t="s">
        <v>2103</v>
      </c>
      <c r="K105" s="8" t="s">
        <v>29</v>
      </c>
      <c r="L105" s="17"/>
      <c r="M105" s="17"/>
      <c r="N105" s="18"/>
      <c r="O105" s="19"/>
      <c r="P105" s="7"/>
      <c r="Q105" s="7"/>
      <c r="R105" s="7"/>
      <c r="S105" s="17"/>
    </row>
    <row r="106" ht="13.5" customHeight="1">
      <c r="A106" s="7" t="s">
        <v>2122</v>
      </c>
      <c r="B106" s="8" t="s">
        <v>2106</v>
      </c>
      <c r="C106" s="8" t="s">
        <v>33</v>
      </c>
      <c r="D106" s="8" t="s">
        <v>33</v>
      </c>
      <c r="E106" s="9" t="s">
        <v>2108</v>
      </c>
      <c r="F106" s="8" t="s">
        <v>33</v>
      </c>
      <c r="G106" s="8" t="s">
        <v>84</v>
      </c>
      <c r="H106" s="8" t="s">
        <v>259</v>
      </c>
      <c r="I106" s="8" t="s">
        <v>260</v>
      </c>
      <c r="J106" s="8" t="s">
        <v>2103</v>
      </c>
      <c r="K106" s="8" t="s">
        <v>29</v>
      </c>
      <c r="L106" s="17"/>
      <c r="M106" s="17"/>
      <c r="N106" s="18"/>
      <c r="O106" s="19"/>
      <c r="P106" s="7"/>
      <c r="Q106" s="7"/>
      <c r="R106" s="7"/>
      <c r="S106" s="17"/>
    </row>
    <row r="107" ht="13.5" customHeight="1">
      <c r="A107" s="7" t="s">
        <v>33</v>
      </c>
      <c r="B107" s="8" t="s">
        <v>2123</v>
      </c>
      <c r="C107" s="8" t="s">
        <v>2124</v>
      </c>
      <c r="D107" s="8" t="s">
        <v>2125</v>
      </c>
      <c r="E107" s="9" t="s">
        <v>33</v>
      </c>
      <c r="F107" s="8" t="s">
        <v>33</v>
      </c>
      <c r="G107" s="8" t="s">
        <v>84</v>
      </c>
      <c r="H107" s="8" t="s">
        <v>259</v>
      </c>
      <c r="I107" s="8" t="s">
        <v>260</v>
      </c>
      <c r="J107" s="8" t="s">
        <v>2103</v>
      </c>
      <c r="K107" s="8" t="s">
        <v>29</v>
      </c>
      <c r="L107" s="17"/>
      <c r="M107" s="17"/>
      <c r="N107" s="18"/>
      <c r="O107" s="19"/>
      <c r="P107" s="7"/>
      <c r="Q107" s="7"/>
      <c r="R107" s="7"/>
      <c r="S107" s="17"/>
    </row>
    <row r="108" ht="13.5" customHeight="1">
      <c r="A108" s="7" t="s">
        <v>33</v>
      </c>
      <c r="B108" s="8" t="s">
        <v>218</v>
      </c>
      <c r="C108" s="8" t="s">
        <v>86</v>
      </c>
      <c r="D108" s="8" t="s">
        <v>94</v>
      </c>
      <c r="E108" s="9" t="s">
        <v>2126</v>
      </c>
      <c r="F108" s="8" t="s">
        <v>179</v>
      </c>
      <c r="G108" s="8" t="s">
        <v>84</v>
      </c>
      <c r="H108" s="8" t="s">
        <v>259</v>
      </c>
      <c r="I108" s="8" t="s">
        <v>260</v>
      </c>
      <c r="J108" s="8" t="s">
        <v>294</v>
      </c>
      <c r="K108" s="8" t="s">
        <v>117</v>
      </c>
      <c r="L108" s="17"/>
      <c r="M108" s="17"/>
      <c r="N108" s="18"/>
      <c r="O108" s="19"/>
      <c r="P108" s="8" t="s">
        <v>2127</v>
      </c>
      <c r="Q108" s="7"/>
      <c r="R108" s="7"/>
      <c r="S108" s="17"/>
    </row>
    <row r="109" ht="13.5" customHeight="1">
      <c r="A109" s="7" t="s">
        <v>2128</v>
      </c>
      <c r="B109" s="8" t="s">
        <v>2129</v>
      </c>
      <c r="C109" s="8" t="s">
        <v>2130</v>
      </c>
      <c r="D109" s="8" t="s">
        <v>2131</v>
      </c>
      <c r="E109" s="9" t="s">
        <v>33</v>
      </c>
      <c r="F109" s="8" t="s">
        <v>38</v>
      </c>
      <c r="G109" s="8" t="s">
        <v>84</v>
      </c>
      <c r="H109" s="8" t="s">
        <v>259</v>
      </c>
      <c r="I109" s="8" t="s">
        <v>260</v>
      </c>
      <c r="J109" s="8" t="s">
        <v>294</v>
      </c>
      <c r="K109" s="8" t="s">
        <v>29</v>
      </c>
      <c r="L109" s="17"/>
      <c r="M109" s="17"/>
      <c r="N109" s="18"/>
      <c r="O109" s="19"/>
      <c r="P109" s="7"/>
      <c r="Q109" s="7"/>
      <c r="R109" s="7"/>
      <c r="S109" s="17"/>
    </row>
    <row r="110" ht="13.5" customHeight="1">
      <c r="A110" s="7" t="s">
        <v>33</v>
      </c>
      <c r="B110" s="8" t="s">
        <v>85</v>
      </c>
      <c r="C110" s="8" t="s">
        <v>86</v>
      </c>
      <c r="D110" s="8" t="s">
        <v>2132</v>
      </c>
      <c r="E110" s="9" t="s">
        <v>2133</v>
      </c>
      <c r="F110" s="8" t="s">
        <v>33</v>
      </c>
      <c r="G110" s="8" t="s">
        <v>84</v>
      </c>
      <c r="H110" s="8" t="s">
        <v>259</v>
      </c>
      <c r="I110" s="8" t="s">
        <v>260</v>
      </c>
      <c r="J110" s="8" t="s">
        <v>294</v>
      </c>
      <c r="K110" s="8" t="s">
        <v>117</v>
      </c>
      <c r="L110" s="17"/>
      <c r="M110" s="17"/>
      <c r="N110" s="18"/>
      <c r="O110" s="19"/>
      <c r="P110" s="8" t="s">
        <v>2134</v>
      </c>
      <c r="Q110" s="7"/>
      <c r="R110" s="7"/>
      <c r="S110" s="17"/>
    </row>
    <row r="111" ht="13.5" customHeight="1">
      <c r="A111" s="7" t="s">
        <v>33</v>
      </c>
      <c r="B111" s="8" t="s">
        <v>85</v>
      </c>
      <c r="C111" s="8" t="s">
        <v>86</v>
      </c>
      <c r="D111" s="8" t="s">
        <v>2132</v>
      </c>
      <c r="E111" s="9" t="s">
        <v>2135</v>
      </c>
      <c r="F111" s="8" t="s">
        <v>33</v>
      </c>
      <c r="G111" s="8" t="s">
        <v>84</v>
      </c>
      <c r="H111" s="8" t="s">
        <v>259</v>
      </c>
      <c r="I111" s="8" t="s">
        <v>260</v>
      </c>
      <c r="J111" s="8" t="s">
        <v>294</v>
      </c>
      <c r="K111" s="8" t="s">
        <v>117</v>
      </c>
      <c r="L111" s="17"/>
      <c r="M111" s="17"/>
      <c r="N111" s="18"/>
      <c r="O111" s="19"/>
      <c r="P111" s="8" t="s">
        <v>2134</v>
      </c>
      <c r="Q111" s="7"/>
      <c r="R111" s="7"/>
      <c r="S111" s="17"/>
    </row>
    <row r="112" ht="13.5" customHeight="1">
      <c r="A112" s="7" t="s">
        <v>33</v>
      </c>
      <c r="B112" s="8" t="s">
        <v>85</v>
      </c>
      <c r="C112" s="8" t="s">
        <v>86</v>
      </c>
      <c r="D112" s="8" t="s">
        <v>2132</v>
      </c>
      <c r="E112" s="9" t="s">
        <v>2136</v>
      </c>
      <c r="F112" s="8" t="s">
        <v>33</v>
      </c>
      <c r="G112" s="8" t="s">
        <v>84</v>
      </c>
      <c r="H112" s="8" t="s">
        <v>259</v>
      </c>
      <c r="I112" s="8" t="s">
        <v>260</v>
      </c>
      <c r="J112" s="8" t="s">
        <v>294</v>
      </c>
      <c r="K112" s="8" t="s">
        <v>117</v>
      </c>
      <c r="L112" s="17"/>
      <c r="M112" s="17"/>
      <c r="N112" s="18"/>
      <c r="O112" s="19"/>
      <c r="P112" s="8" t="s">
        <v>2134</v>
      </c>
      <c r="Q112" s="7"/>
      <c r="R112" s="7"/>
      <c r="S112" s="17"/>
    </row>
    <row r="113" ht="13.5" customHeight="1">
      <c r="A113" s="7" t="s">
        <v>33</v>
      </c>
      <c r="B113" s="8" t="s">
        <v>85</v>
      </c>
      <c r="C113" s="8" t="s">
        <v>86</v>
      </c>
      <c r="D113" s="8" t="s">
        <v>2132</v>
      </c>
      <c r="E113" s="9" t="s">
        <v>2137</v>
      </c>
      <c r="F113" s="8" t="s">
        <v>33</v>
      </c>
      <c r="G113" s="8" t="s">
        <v>84</v>
      </c>
      <c r="H113" s="8" t="s">
        <v>259</v>
      </c>
      <c r="I113" s="8" t="s">
        <v>260</v>
      </c>
      <c r="J113" s="8" t="s">
        <v>294</v>
      </c>
      <c r="K113" s="8" t="s">
        <v>117</v>
      </c>
      <c r="L113" s="17"/>
      <c r="M113" s="17"/>
      <c r="N113" s="18"/>
      <c r="O113" s="19"/>
      <c r="P113" s="8" t="s">
        <v>2134</v>
      </c>
      <c r="Q113" s="7"/>
      <c r="R113" s="7"/>
      <c r="S113" s="17"/>
    </row>
    <row r="114" ht="13.5" customHeight="1">
      <c r="A114" s="7" t="s">
        <v>33</v>
      </c>
      <c r="B114" s="8" t="s">
        <v>85</v>
      </c>
      <c r="C114" s="8" t="s">
        <v>86</v>
      </c>
      <c r="D114" s="8" t="s">
        <v>2132</v>
      </c>
      <c r="E114" s="9" t="s">
        <v>2138</v>
      </c>
      <c r="F114" s="8" t="s">
        <v>33</v>
      </c>
      <c r="G114" s="8" t="s">
        <v>84</v>
      </c>
      <c r="H114" s="8" t="s">
        <v>259</v>
      </c>
      <c r="I114" s="8" t="s">
        <v>260</v>
      </c>
      <c r="J114" s="8" t="s">
        <v>294</v>
      </c>
      <c r="K114" s="8" t="s">
        <v>117</v>
      </c>
      <c r="L114" s="17"/>
      <c r="M114" s="17"/>
      <c r="N114" s="18"/>
      <c r="O114" s="19"/>
      <c r="P114" s="8" t="s">
        <v>2134</v>
      </c>
      <c r="Q114" s="7"/>
      <c r="R114" s="7"/>
      <c r="S114" s="17"/>
    </row>
    <row r="115" ht="13.5" customHeight="1">
      <c r="A115" s="7" t="s">
        <v>33</v>
      </c>
      <c r="B115" s="8" t="s">
        <v>85</v>
      </c>
      <c r="C115" s="8" t="s">
        <v>86</v>
      </c>
      <c r="D115" s="8" t="s">
        <v>2132</v>
      </c>
      <c r="E115" s="9" t="s">
        <v>2139</v>
      </c>
      <c r="F115" s="8" t="s">
        <v>33</v>
      </c>
      <c r="G115" s="8" t="s">
        <v>84</v>
      </c>
      <c r="H115" s="8" t="s">
        <v>259</v>
      </c>
      <c r="I115" s="8" t="s">
        <v>260</v>
      </c>
      <c r="J115" s="8" t="s">
        <v>294</v>
      </c>
      <c r="K115" s="8" t="s">
        <v>117</v>
      </c>
      <c r="L115" s="17"/>
      <c r="M115" s="17"/>
      <c r="N115" s="18"/>
      <c r="O115" s="19"/>
      <c r="P115" s="8" t="s">
        <v>2134</v>
      </c>
      <c r="Q115" s="7"/>
      <c r="R115" s="7"/>
      <c r="S115" s="17"/>
    </row>
    <row r="116" ht="13.5" customHeight="1">
      <c r="A116" s="7"/>
      <c r="B116" s="8"/>
      <c r="C116" s="8"/>
      <c r="D116" s="8"/>
      <c r="E116" s="9"/>
      <c r="F116" s="8"/>
      <c r="G116" s="8"/>
      <c r="H116" s="8"/>
      <c r="I116" s="8"/>
      <c r="J116" s="8"/>
      <c r="K116" s="8"/>
      <c r="L116" s="17"/>
      <c r="M116" s="17"/>
      <c r="N116" s="18"/>
      <c r="O116" s="19"/>
      <c r="P116" s="7"/>
      <c r="Q116" s="7"/>
      <c r="R116" s="7"/>
      <c r="S116" s="17"/>
    </row>
    <row r="117" ht="13.5" customHeight="1">
      <c r="A117" s="7"/>
      <c r="B117" s="8"/>
      <c r="C117" s="8"/>
      <c r="D117" s="8"/>
      <c r="E117" s="9"/>
      <c r="F117" s="8"/>
      <c r="G117" s="8"/>
      <c r="H117" s="8"/>
      <c r="I117" s="8"/>
      <c r="J117" s="8"/>
      <c r="K117" s="8"/>
      <c r="L117" s="17"/>
      <c r="M117" s="17"/>
      <c r="N117" s="18"/>
      <c r="O117" s="19"/>
      <c r="P117" s="7"/>
      <c r="Q117" s="7"/>
      <c r="R117" s="7"/>
      <c r="S117" s="17"/>
    </row>
    <row r="118" ht="13.5" customHeight="1">
      <c r="A118" s="7"/>
      <c r="B118" s="8"/>
      <c r="C118" s="8"/>
      <c r="D118" s="8"/>
      <c r="E118" s="9"/>
      <c r="F118" s="8"/>
      <c r="G118" s="8"/>
      <c r="H118" s="8"/>
      <c r="I118" s="8"/>
      <c r="J118" s="8"/>
      <c r="K118" s="8"/>
      <c r="L118" s="17"/>
      <c r="M118" s="17"/>
      <c r="N118" s="18"/>
      <c r="O118" s="19"/>
      <c r="P118" s="7"/>
      <c r="Q118" s="7"/>
      <c r="R118" s="7"/>
      <c r="S118" s="17"/>
    </row>
    <row r="119" ht="13.5" customHeight="1">
      <c r="A119" s="7"/>
      <c r="B119" s="8"/>
      <c r="C119" s="8"/>
      <c r="D119" s="8"/>
      <c r="E119" s="9"/>
      <c r="F119" s="8"/>
      <c r="G119" s="8"/>
      <c r="H119" s="8"/>
      <c r="I119" s="8"/>
      <c r="J119" s="8"/>
      <c r="K119" s="8"/>
      <c r="L119" s="17"/>
      <c r="M119" s="17"/>
      <c r="N119" s="18"/>
      <c r="O119" s="19"/>
      <c r="P119" s="7"/>
      <c r="Q119" s="7"/>
      <c r="R119" s="7"/>
      <c r="S119" s="17"/>
    </row>
    <row r="120" ht="13.5" customHeight="1">
      <c r="A120" s="7"/>
      <c r="B120" s="8"/>
      <c r="C120" s="8"/>
      <c r="D120" s="8"/>
      <c r="E120" s="9"/>
      <c r="F120" s="8"/>
      <c r="G120" s="8"/>
      <c r="H120" s="8"/>
      <c r="I120" s="8"/>
      <c r="J120" s="8"/>
      <c r="K120" s="8"/>
      <c r="L120" s="17"/>
      <c r="M120" s="17"/>
      <c r="N120" s="18"/>
      <c r="O120" s="19"/>
      <c r="P120" s="7"/>
      <c r="Q120" s="7"/>
      <c r="R120" s="7"/>
      <c r="S120" s="17"/>
    </row>
    <row r="121" ht="13.5" customHeight="1">
      <c r="A121" s="7"/>
      <c r="B121" s="8"/>
      <c r="C121" s="8"/>
      <c r="D121" s="8"/>
      <c r="E121" s="9"/>
      <c r="F121" s="8"/>
      <c r="G121" s="8"/>
      <c r="H121" s="8"/>
      <c r="I121" s="8"/>
      <c r="J121" s="8"/>
      <c r="K121" s="8"/>
      <c r="L121" s="17"/>
      <c r="M121" s="17"/>
      <c r="N121" s="18"/>
      <c r="O121" s="19"/>
      <c r="P121" s="7"/>
      <c r="Q121" s="7"/>
      <c r="R121" s="7"/>
      <c r="S121" s="17"/>
    </row>
    <row r="122" ht="13.5" customHeight="1">
      <c r="A122" s="7"/>
      <c r="B122" s="8"/>
      <c r="C122" s="8"/>
      <c r="D122" s="8"/>
      <c r="E122" s="9"/>
      <c r="F122" s="8"/>
      <c r="G122" s="8"/>
      <c r="H122" s="8"/>
      <c r="I122" s="8"/>
      <c r="J122" s="8"/>
      <c r="K122" s="8"/>
      <c r="L122" s="17"/>
      <c r="M122" s="17"/>
      <c r="N122" s="18"/>
      <c r="O122" s="19"/>
      <c r="P122" s="7"/>
      <c r="Q122" s="7"/>
      <c r="R122" s="7"/>
      <c r="S122" s="17"/>
    </row>
    <row r="123" ht="13.5" customHeight="1">
      <c r="A123" s="7"/>
      <c r="B123" s="8"/>
      <c r="C123" s="8"/>
      <c r="D123" s="8"/>
      <c r="E123" s="9"/>
      <c r="F123" s="8"/>
      <c r="G123" s="8"/>
      <c r="H123" s="8"/>
      <c r="I123" s="8"/>
      <c r="J123" s="8"/>
      <c r="K123" s="8"/>
      <c r="L123" s="17"/>
      <c r="M123" s="17"/>
      <c r="N123" s="18"/>
      <c r="O123" s="19"/>
      <c r="P123" s="7"/>
      <c r="Q123" s="7"/>
      <c r="R123" s="7"/>
      <c r="S123" s="17"/>
    </row>
    <row r="124" ht="13.5" customHeight="1">
      <c r="A124" s="8" t="s">
        <v>2140</v>
      </c>
      <c r="B124" s="8" t="s">
        <v>98</v>
      </c>
      <c r="C124" s="8" t="s">
        <v>48</v>
      </c>
      <c r="D124" s="8" t="s">
        <v>2141</v>
      </c>
      <c r="E124" s="9" t="s">
        <v>2142</v>
      </c>
      <c r="F124" s="8" t="s">
        <v>2143</v>
      </c>
      <c r="G124" s="8" t="s">
        <v>258</v>
      </c>
      <c r="H124" s="8" t="s">
        <v>259</v>
      </c>
      <c r="I124" s="8" t="s">
        <v>260</v>
      </c>
      <c r="J124" s="8" t="s">
        <v>261</v>
      </c>
      <c r="K124" s="8" t="s">
        <v>29</v>
      </c>
      <c r="L124" s="17"/>
      <c r="M124" s="17"/>
      <c r="N124" s="18"/>
      <c r="O124" s="19"/>
      <c r="P124" s="7"/>
      <c r="Q124" s="7"/>
      <c r="R124" s="7"/>
      <c r="S124" s="17"/>
    </row>
    <row r="125" ht="13.5" customHeight="1">
      <c r="A125" s="8" t="s">
        <v>2144</v>
      </c>
      <c r="B125" s="8" t="s">
        <v>98</v>
      </c>
      <c r="C125" s="8" t="s">
        <v>99</v>
      </c>
      <c r="D125" s="8" t="s">
        <v>2145</v>
      </c>
      <c r="E125" s="9" t="s">
        <v>2146</v>
      </c>
      <c r="F125" s="8" t="s">
        <v>102</v>
      </c>
      <c r="G125" s="8" t="s">
        <v>2147</v>
      </c>
      <c r="H125" s="8" t="s">
        <v>259</v>
      </c>
      <c r="I125" s="8" t="s">
        <v>260</v>
      </c>
      <c r="J125" s="8" t="s">
        <v>261</v>
      </c>
      <c r="K125" s="8" t="s">
        <v>29</v>
      </c>
      <c r="L125" s="17"/>
      <c r="M125" s="17"/>
      <c r="N125" s="18"/>
      <c r="O125" s="19"/>
      <c r="P125" s="7"/>
      <c r="Q125" s="7"/>
      <c r="R125" s="7"/>
      <c r="S125" s="17"/>
    </row>
    <row r="126" ht="13.5" customHeight="1">
      <c r="A126" s="7" t="s">
        <v>33</v>
      </c>
      <c r="B126" s="8" t="s">
        <v>79</v>
      </c>
      <c r="C126" s="8" t="s">
        <v>619</v>
      </c>
      <c r="D126" s="8" t="s">
        <v>2148</v>
      </c>
      <c r="E126" s="9" t="s">
        <v>2149</v>
      </c>
      <c r="F126" s="8" t="s">
        <v>2150</v>
      </c>
      <c r="G126" s="8" t="s">
        <v>84</v>
      </c>
      <c r="H126" s="8" t="s">
        <v>259</v>
      </c>
      <c r="I126" s="8" t="s">
        <v>260</v>
      </c>
      <c r="J126" s="8" t="s">
        <v>667</v>
      </c>
      <c r="K126" s="8" t="s">
        <v>117</v>
      </c>
      <c r="L126" s="17"/>
      <c r="M126" s="17"/>
      <c r="N126" s="18"/>
      <c r="O126" s="19"/>
      <c r="P126" s="7"/>
      <c r="Q126" s="7"/>
      <c r="R126" s="7"/>
      <c r="S126" s="17"/>
    </row>
    <row r="127" ht="13.5" customHeight="1">
      <c r="A127" s="7" t="s">
        <v>33</v>
      </c>
      <c r="B127" s="8" t="s">
        <v>79</v>
      </c>
      <c r="C127" s="8" t="s">
        <v>21</v>
      </c>
      <c r="D127" s="8" t="s">
        <v>2151</v>
      </c>
      <c r="E127" s="9" t="s">
        <v>2152</v>
      </c>
      <c r="F127" s="8" t="s">
        <v>2153</v>
      </c>
      <c r="G127" s="8" t="s">
        <v>84</v>
      </c>
      <c r="H127" s="8" t="s">
        <v>259</v>
      </c>
      <c r="I127" s="8" t="s">
        <v>260</v>
      </c>
      <c r="J127" s="8" t="s">
        <v>490</v>
      </c>
      <c r="K127" s="8" t="s">
        <v>29</v>
      </c>
      <c r="L127" s="17"/>
      <c r="M127" s="17"/>
      <c r="N127" s="18"/>
      <c r="O127" s="19"/>
      <c r="P127" s="7"/>
      <c r="Q127" s="7"/>
      <c r="R127" s="7"/>
      <c r="S127" s="17"/>
    </row>
    <row r="128" ht="13.5" customHeight="1">
      <c r="A128" s="7" t="s">
        <v>33</v>
      </c>
      <c r="B128" s="8" t="s">
        <v>79</v>
      </c>
      <c r="C128" s="8" t="s">
        <v>80</v>
      </c>
      <c r="D128" s="8" t="s">
        <v>2154</v>
      </c>
      <c r="E128" s="9" t="s">
        <v>2155</v>
      </c>
      <c r="F128" s="8" t="s">
        <v>2156</v>
      </c>
      <c r="G128" s="8" t="s">
        <v>84</v>
      </c>
      <c r="H128" s="8" t="s">
        <v>259</v>
      </c>
      <c r="I128" s="8" t="s">
        <v>260</v>
      </c>
      <c r="J128" s="8" t="s">
        <v>667</v>
      </c>
      <c r="K128" s="8" t="s">
        <v>55</v>
      </c>
      <c r="L128" s="17"/>
      <c r="M128" s="17"/>
      <c r="N128" s="18"/>
      <c r="O128" s="19"/>
      <c r="P128" s="7"/>
      <c r="Q128" s="7"/>
      <c r="R128" s="7"/>
      <c r="S128" s="17"/>
    </row>
    <row r="129" ht="13.5" customHeight="1">
      <c r="A129" s="7" t="s">
        <v>97</v>
      </c>
      <c r="B129" s="8" t="s">
        <v>98</v>
      </c>
      <c r="C129" s="8" t="s">
        <v>99</v>
      </c>
      <c r="D129" s="8" t="s">
        <v>100</v>
      </c>
      <c r="E129" s="9" t="s">
        <v>101</v>
      </c>
      <c r="F129" s="8" t="s">
        <v>102</v>
      </c>
      <c r="G129" s="8" t="s">
        <v>84</v>
      </c>
      <c r="H129" s="8" t="s">
        <v>103</v>
      </c>
      <c r="I129" s="8" t="s">
        <v>27</v>
      </c>
      <c r="J129" s="8" t="s">
        <v>28</v>
      </c>
      <c r="K129" s="8" t="s">
        <v>29</v>
      </c>
      <c r="L129" s="17"/>
      <c r="M129" s="17"/>
      <c r="N129" s="18"/>
      <c r="O129" s="19"/>
      <c r="P129" s="7"/>
      <c r="Q129" s="7"/>
      <c r="R129" s="7"/>
      <c r="S129" s="17"/>
    </row>
    <row r="130" ht="13.5" customHeight="1">
      <c r="A130" s="7" t="s">
        <v>33</v>
      </c>
      <c r="B130" s="8" t="s">
        <v>104</v>
      </c>
      <c r="C130" s="8" t="s">
        <v>99</v>
      </c>
      <c r="D130" s="8" t="s">
        <v>105</v>
      </c>
      <c r="E130" s="9" t="s">
        <v>106</v>
      </c>
      <c r="F130" s="8" t="s">
        <v>107</v>
      </c>
      <c r="G130" s="8" t="s">
        <v>84</v>
      </c>
      <c r="H130" s="8" t="s">
        <v>103</v>
      </c>
      <c r="I130" s="8" t="s">
        <v>27</v>
      </c>
      <c r="J130" s="8" t="s">
        <v>28</v>
      </c>
      <c r="K130" s="8" t="s">
        <v>29</v>
      </c>
      <c r="L130" s="17"/>
      <c r="M130" s="17"/>
      <c r="N130" s="18"/>
      <c r="O130" s="19"/>
      <c r="P130" s="7"/>
      <c r="Q130" s="7"/>
      <c r="R130" s="7"/>
      <c r="S130" s="17"/>
    </row>
    <row r="131" ht="13.5" customHeight="1">
      <c r="A131" s="7" t="s">
        <v>33</v>
      </c>
      <c r="B131" s="8" t="s">
        <v>79</v>
      </c>
      <c r="C131" s="8" t="s">
        <v>108</v>
      </c>
      <c r="D131" s="8" t="s">
        <v>109</v>
      </c>
      <c r="E131" s="9" t="s">
        <v>110</v>
      </c>
      <c r="F131" s="8" t="s">
        <v>83</v>
      </c>
      <c r="G131" s="8" t="s">
        <v>84</v>
      </c>
      <c r="H131" s="8" t="s">
        <v>103</v>
      </c>
      <c r="I131" s="8" t="s">
        <v>27</v>
      </c>
      <c r="J131" s="8" t="s">
        <v>28</v>
      </c>
      <c r="K131" s="8" t="s">
        <v>29</v>
      </c>
      <c r="L131" s="17"/>
      <c r="M131" s="17"/>
      <c r="N131" s="18"/>
      <c r="O131" s="19"/>
      <c r="P131" s="7"/>
      <c r="Q131" s="7"/>
      <c r="R131" s="7"/>
      <c r="S131" s="17"/>
    </row>
    <row r="132" ht="13.5" customHeight="1">
      <c r="A132" s="7" t="s">
        <v>111</v>
      </c>
      <c r="B132" s="8" t="s">
        <v>47</v>
      </c>
      <c r="C132" s="8" t="s">
        <v>99</v>
      </c>
      <c r="D132" s="8" t="s">
        <v>112</v>
      </c>
      <c r="E132" s="9" t="s">
        <v>113</v>
      </c>
      <c r="F132" s="8" t="s">
        <v>51</v>
      </c>
      <c r="G132" s="8" t="s">
        <v>114</v>
      </c>
      <c r="H132" s="8" t="s">
        <v>103</v>
      </c>
      <c r="I132" s="8" t="s">
        <v>27</v>
      </c>
      <c r="J132" s="8" t="s">
        <v>28</v>
      </c>
      <c r="K132" s="8" t="s">
        <v>29</v>
      </c>
      <c r="L132" s="17"/>
      <c r="M132" s="17"/>
      <c r="N132" s="18"/>
      <c r="O132" s="19"/>
      <c r="P132" s="7"/>
      <c r="Q132" s="7"/>
      <c r="R132" s="7"/>
      <c r="S132" s="17"/>
    </row>
    <row r="133" ht="13.5" customHeight="1">
      <c r="A133" s="7" t="s">
        <v>33</v>
      </c>
      <c r="B133" s="8" t="s">
        <v>104</v>
      </c>
      <c r="C133" s="8" t="s">
        <v>99</v>
      </c>
      <c r="D133" s="8" t="s">
        <v>115</v>
      </c>
      <c r="E133" s="9" t="s">
        <v>116</v>
      </c>
      <c r="F133" s="8" t="s">
        <v>107</v>
      </c>
      <c r="G133" s="8" t="s">
        <v>114</v>
      </c>
      <c r="H133" s="8" t="s">
        <v>103</v>
      </c>
      <c r="I133" s="8" t="s">
        <v>27</v>
      </c>
      <c r="J133" s="8" t="s">
        <v>28</v>
      </c>
      <c r="K133" s="8" t="s">
        <v>117</v>
      </c>
      <c r="L133" s="17"/>
      <c r="M133" s="17"/>
      <c r="N133" s="18"/>
      <c r="O133" s="19"/>
      <c r="P133" s="7"/>
      <c r="Q133" s="7"/>
      <c r="R133" s="7"/>
      <c r="S133" s="17"/>
    </row>
    <row r="134" ht="13.5" customHeight="1">
      <c r="A134" s="7" t="s">
        <v>33</v>
      </c>
      <c r="B134" s="8" t="s">
        <v>118</v>
      </c>
      <c r="C134" s="8" t="s">
        <v>119</v>
      </c>
      <c r="D134" s="8" t="s">
        <v>120</v>
      </c>
      <c r="E134" s="9" t="s">
        <v>33</v>
      </c>
      <c r="F134" s="8" t="s">
        <v>121</v>
      </c>
      <c r="G134" s="8" t="s">
        <v>114</v>
      </c>
      <c r="H134" s="8" t="s">
        <v>103</v>
      </c>
      <c r="I134" s="8" t="s">
        <v>27</v>
      </c>
      <c r="J134" s="8" t="s">
        <v>28</v>
      </c>
      <c r="K134" s="8" t="s">
        <v>55</v>
      </c>
      <c r="L134" s="17"/>
      <c r="M134" s="17"/>
      <c r="N134" s="18"/>
      <c r="O134" s="19"/>
      <c r="P134" s="8" t="s">
        <v>2157</v>
      </c>
      <c r="Q134" s="42">
        <v>45488.0</v>
      </c>
      <c r="R134" s="8" t="s">
        <v>1933</v>
      </c>
      <c r="S134" s="17"/>
    </row>
    <row r="135" ht="13.5" customHeight="1">
      <c r="A135" s="7" t="s">
        <v>122</v>
      </c>
      <c r="B135" s="8" t="s">
        <v>20</v>
      </c>
      <c r="C135" s="8" t="s">
        <v>21</v>
      </c>
      <c r="D135" s="8" t="s">
        <v>22</v>
      </c>
      <c r="E135" s="9" t="s">
        <v>123</v>
      </c>
      <c r="F135" s="8" t="s">
        <v>24</v>
      </c>
      <c r="G135" s="8" t="s">
        <v>114</v>
      </c>
      <c r="H135" s="8" t="s">
        <v>103</v>
      </c>
      <c r="I135" s="8" t="s">
        <v>27</v>
      </c>
      <c r="J135" s="8" t="s">
        <v>28</v>
      </c>
      <c r="K135" s="8" t="s">
        <v>29</v>
      </c>
      <c r="L135" s="17"/>
      <c r="M135" s="17"/>
      <c r="N135" s="18"/>
      <c r="O135" s="19"/>
      <c r="P135" s="7"/>
      <c r="Q135" s="42"/>
      <c r="R135" s="8"/>
      <c r="S135" s="17"/>
    </row>
    <row r="136" ht="13.5" customHeight="1">
      <c r="A136" s="8" t="s">
        <v>124</v>
      </c>
      <c r="B136" s="8" t="s">
        <v>67</v>
      </c>
      <c r="C136" s="8" t="s">
        <v>125</v>
      </c>
      <c r="D136" s="8" t="s">
        <v>126</v>
      </c>
      <c r="E136" s="9" t="s">
        <v>127</v>
      </c>
      <c r="F136" s="8" t="s">
        <v>128</v>
      </c>
      <c r="G136" s="8" t="s">
        <v>129</v>
      </c>
      <c r="H136" s="8" t="s">
        <v>103</v>
      </c>
      <c r="I136" s="8" t="s">
        <v>91</v>
      </c>
      <c r="J136" s="8" t="s">
        <v>130</v>
      </c>
      <c r="K136" s="8" t="s">
        <v>29</v>
      </c>
      <c r="L136" s="17"/>
      <c r="M136" s="17"/>
      <c r="N136" s="18"/>
      <c r="O136" s="19"/>
      <c r="P136" s="8"/>
      <c r="Q136" s="7"/>
      <c r="R136" s="7"/>
      <c r="S136" s="17"/>
    </row>
    <row r="137" ht="13.5" customHeight="1">
      <c r="A137" s="8" t="s">
        <v>131</v>
      </c>
      <c r="B137" s="8" t="s">
        <v>132</v>
      </c>
      <c r="C137" s="8" t="s">
        <v>125</v>
      </c>
      <c r="D137" s="8" t="s">
        <v>133</v>
      </c>
      <c r="E137" s="9" t="s">
        <v>33</v>
      </c>
      <c r="F137" s="8" t="s">
        <v>134</v>
      </c>
      <c r="G137" s="8" t="s">
        <v>129</v>
      </c>
      <c r="H137" s="8" t="s">
        <v>103</v>
      </c>
      <c r="I137" s="8" t="s">
        <v>91</v>
      </c>
      <c r="J137" s="8" t="s">
        <v>130</v>
      </c>
      <c r="K137" s="8" t="s">
        <v>29</v>
      </c>
      <c r="L137" s="17"/>
      <c r="M137" s="17"/>
      <c r="N137" s="18"/>
      <c r="O137" s="19"/>
      <c r="P137" s="7"/>
      <c r="Q137" s="7"/>
      <c r="R137" s="7"/>
      <c r="S137" s="17"/>
    </row>
    <row r="138" ht="13.5" customHeight="1">
      <c r="A138" s="8" t="s">
        <v>135</v>
      </c>
      <c r="B138" s="8" t="s">
        <v>74</v>
      </c>
      <c r="C138" s="8" t="s">
        <v>136</v>
      </c>
      <c r="D138" s="8" t="s">
        <v>33</v>
      </c>
      <c r="E138" s="9" t="s">
        <v>33</v>
      </c>
      <c r="F138" s="8" t="s">
        <v>137</v>
      </c>
      <c r="G138" s="8" t="s">
        <v>129</v>
      </c>
      <c r="H138" s="8" t="s">
        <v>103</v>
      </c>
      <c r="I138" s="8" t="s">
        <v>91</v>
      </c>
      <c r="J138" s="8" t="s">
        <v>130</v>
      </c>
      <c r="K138" s="8" t="s">
        <v>29</v>
      </c>
      <c r="L138" s="17"/>
      <c r="M138" s="17"/>
      <c r="N138" s="18"/>
      <c r="O138" s="19"/>
      <c r="P138" s="7"/>
      <c r="Q138" s="7"/>
      <c r="R138" s="7"/>
      <c r="S138" s="17"/>
    </row>
    <row r="139" ht="13.5" customHeight="1">
      <c r="A139" s="7" t="s">
        <v>138</v>
      </c>
      <c r="B139" s="8" t="s">
        <v>34</v>
      </c>
      <c r="C139" s="8" t="s">
        <v>139</v>
      </c>
      <c r="D139" s="8" t="s">
        <v>33</v>
      </c>
      <c r="E139" s="9" t="s">
        <v>140</v>
      </c>
      <c r="F139" s="8" t="s">
        <v>33</v>
      </c>
      <c r="G139" s="8" t="s">
        <v>129</v>
      </c>
      <c r="H139" s="8" t="s">
        <v>103</v>
      </c>
      <c r="I139" s="8" t="s">
        <v>91</v>
      </c>
      <c r="J139" s="8" t="s">
        <v>130</v>
      </c>
      <c r="K139" s="8" t="s">
        <v>29</v>
      </c>
      <c r="L139" s="17"/>
      <c r="M139" s="17"/>
      <c r="N139" s="18"/>
      <c r="O139" s="19"/>
      <c r="P139" s="7"/>
      <c r="Q139" s="7"/>
      <c r="R139" s="7"/>
      <c r="S139" s="17"/>
    </row>
    <row r="140" ht="13.5" customHeight="1">
      <c r="A140" s="7" t="s">
        <v>141</v>
      </c>
      <c r="B140" s="8" t="s">
        <v>79</v>
      </c>
      <c r="C140" s="8" t="s">
        <v>80</v>
      </c>
      <c r="D140" s="8" t="s">
        <v>109</v>
      </c>
      <c r="E140" s="9" t="s">
        <v>142</v>
      </c>
      <c r="F140" s="8" t="s">
        <v>83</v>
      </c>
      <c r="G140" s="8" t="s">
        <v>84</v>
      </c>
      <c r="H140" s="8" t="s">
        <v>143</v>
      </c>
      <c r="I140" s="8" t="s">
        <v>27</v>
      </c>
      <c r="J140" s="8" t="s">
        <v>28</v>
      </c>
      <c r="K140" s="8" t="s">
        <v>29</v>
      </c>
      <c r="L140" s="17"/>
      <c r="M140" s="17"/>
      <c r="N140" s="18"/>
      <c r="O140" s="19"/>
      <c r="P140" s="7"/>
      <c r="Q140" s="7"/>
      <c r="R140" s="7"/>
      <c r="S140" s="17"/>
    </row>
    <row r="141" ht="13.5" customHeight="1">
      <c r="A141" s="7" t="s">
        <v>144</v>
      </c>
      <c r="B141" s="8" t="s">
        <v>47</v>
      </c>
      <c r="C141" s="8" t="s">
        <v>145</v>
      </c>
      <c r="D141" s="8" t="s">
        <v>33</v>
      </c>
      <c r="E141" s="9" t="s">
        <v>146</v>
      </c>
      <c r="F141" s="8" t="s">
        <v>147</v>
      </c>
      <c r="G141" s="8" t="s">
        <v>148</v>
      </c>
      <c r="H141" s="8" t="s">
        <v>143</v>
      </c>
      <c r="I141" s="8" t="s">
        <v>27</v>
      </c>
      <c r="J141" s="8" t="s">
        <v>28</v>
      </c>
      <c r="K141" s="8" t="s">
        <v>33</v>
      </c>
      <c r="L141" s="17"/>
      <c r="M141" s="17"/>
      <c r="N141" s="18"/>
      <c r="O141" s="19"/>
      <c r="P141" s="7"/>
      <c r="Q141" s="7"/>
      <c r="R141" s="7"/>
      <c r="S141" s="17"/>
    </row>
    <row r="142" ht="13.5" customHeight="1">
      <c r="A142" s="7" t="s">
        <v>33</v>
      </c>
      <c r="B142" s="8" t="s">
        <v>118</v>
      </c>
      <c r="C142" s="8" t="s">
        <v>119</v>
      </c>
      <c r="D142" s="8" t="s">
        <v>149</v>
      </c>
      <c r="E142" s="9" t="s">
        <v>33</v>
      </c>
      <c r="F142" s="8" t="s">
        <v>150</v>
      </c>
      <c r="G142" s="8" t="s">
        <v>148</v>
      </c>
      <c r="H142" s="8" t="s">
        <v>143</v>
      </c>
      <c r="I142" s="8" t="s">
        <v>27</v>
      </c>
      <c r="J142" s="8" t="s">
        <v>28</v>
      </c>
      <c r="K142" s="8" t="s">
        <v>33</v>
      </c>
      <c r="L142" s="17"/>
      <c r="M142" s="17"/>
      <c r="N142" s="18"/>
      <c r="O142" s="19"/>
      <c r="P142" s="7"/>
      <c r="Q142" s="7"/>
      <c r="R142" s="7"/>
      <c r="S142" s="17"/>
    </row>
    <row r="143" ht="13.5" customHeight="1">
      <c r="A143" s="7" t="s">
        <v>33</v>
      </c>
      <c r="B143" s="8" t="s">
        <v>20</v>
      </c>
      <c r="C143" s="8" t="s">
        <v>21</v>
      </c>
      <c r="D143" s="8" t="s">
        <v>22</v>
      </c>
      <c r="E143" s="9" t="s">
        <v>151</v>
      </c>
      <c r="F143" s="8" t="s">
        <v>24</v>
      </c>
      <c r="G143" s="8" t="s">
        <v>148</v>
      </c>
      <c r="H143" s="8" t="s">
        <v>143</v>
      </c>
      <c r="I143" s="8" t="s">
        <v>27</v>
      </c>
      <c r="J143" s="8" t="s">
        <v>28</v>
      </c>
      <c r="K143" s="8" t="s">
        <v>29</v>
      </c>
      <c r="L143" s="17"/>
      <c r="M143" s="17"/>
      <c r="N143" s="18"/>
      <c r="O143" s="19"/>
      <c r="P143" s="7"/>
      <c r="Q143" s="7"/>
      <c r="R143" s="7"/>
      <c r="S143" s="17"/>
    </row>
    <row r="144" ht="13.5" customHeight="1">
      <c r="A144" s="7" t="s">
        <v>152</v>
      </c>
      <c r="B144" s="8" t="s">
        <v>34</v>
      </c>
      <c r="C144" s="8" t="s">
        <v>153</v>
      </c>
      <c r="D144" s="8" t="s">
        <v>154</v>
      </c>
      <c r="E144" s="9" t="s">
        <v>33</v>
      </c>
      <c r="F144" s="8" t="s">
        <v>155</v>
      </c>
      <c r="G144" s="8" t="s">
        <v>148</v>
      </c>
      <c r="H144" s="8" t="s">
        <v>143</v>
      </c>
      <c r="I144" s="8" t="s">
        <v>27</v>
      </c>
      <c r="J144" s="8" t="s">
        <v>28</v>
      </c>
      <c r="K144" s="8" t="s">
        <v>33</v>
      </c>
      <c r="L144" s="17"/>
      <c r="M144" s="17"/>
      <c r="N144" s="18"/>
      <c r="O144" s="19"/>
      <c r="P144" s="7"/>
      <c r="Q144" s="7"/>
      <c r="R144" s="7"/>
      <c r="S144" s="17"/>
    </row>
    <row r="145" ht="13.5" customHeight="1">
      <c r="A145" s="7" t="s">
        <v>33</v>
      </c>
      <c r="B145" s="8" t="s">
        <v>41</v>
      </c>
      <c r="C145" s="8" t="s">
        <v>156</v>
      </c>
      <c r="D145" s="8" t="s">
        <v>157</v>
      </c>
      <c r="E145" s="9" t="s">
        <v>158</v>
      </c>
      <c r="F145" s="8" t="s">
        <v>33</v>
      </c>
      <c r="G145" s="8" t="s">
        <v>148</v>
      </c>
      <c r="H145" s="8" t="s">
        <v>143</v>
      </c>
      <c r="I145" s="8" t="s">
        <v>27</v>
      </c>
      <c r="J145" s="8" t="s">
        <v>28</v>
      </c>
      <c r="K145" s="8" t="s">
        <v>33</v>
      </c>
      <c r="L145" s="17"/>
      <c r="M145" s="17"/>
      <c r="N145" s="18"/>
      <c r="O145" s="19"/>
      <c r="P145" s="7"/>
      <c r="Q145" s="7"/>
      <c r="R145" s="7"/>
      <c r="S145" s="17"/>
    </row>
    <row r="146" ht="13.5" customHeight="1">
      <c r="A146" s="7" t="s">
        <v>159</v>
      </c>
      <c r="B146" s="8" t="s">
        <v>47</v>
      </c>
      <c r="C146" s="8" t="s">
        <v>48</v>
      </c>
      <c r="D146" s="8" t="s">
        <v>160</v>
      </c>
      <c r="E146" s="9" t="s">
        <v>161</v>
      </c>
      <c r="F146" s="8" t="s">
        <v>147</v>
      </c>
      <c r="G146" s="8" t="s">
        <v>162</v>
      </c>
      <c r="H146" s="8" t="s">
        <v>143</v>
      </c>
      <c r="I146" s="8" t="s">
        <v>27</v>
      </c>
      <c r="J146" s="8" t="s">
        <v>28</v>
      </c>
      <c r="K146" s="8" t="s">
        <v>33</v>
      </c>
      <c r="L146" s="17"/>
      <c r="M146" s="17"/>
      <c r="N146" s="18"/>
      <c r="O146" s="19"/>
      <c r="P146" s="7"/>
      <c r="Q146" s="7"/>
      <c r="R146" s="7"/>
      <c r="S146" s="17"/>
    </row>
    <row r="147" ht="13.5" customHeight="1">
      <c r="A147" s="7" t="s">
        <v>33</v>
      </c>
      <c r="B147" s="8" t="s">
        <v>118</v>
      </c>
      <c r="C147" s="8" t="s">
        <v>119</v>
      </c>
      <c r="D147" s="8" t="s">
        <v>149</v>
      </c>
      <c r="E147" s="9" t="s">
        <v>33</v>
      </c>
      <c r="F147" s="8" t="s">
        <v>163</v>
      </c>
      <c r="G147" s="8" t="s">
        <v>162</v>
      </c>
      <c r="H147" s="8" t="s">
        <v>143</v>
      </c>
      <c r="I147" s="8" t="s">
        <v>27</v>
      </c>
      <c r="J147" s="8" t="s">
        <v>28</v>
      </c>
      <c r="K147" s="8" t="s">
        <v>33</v>
      </c>
      <c r="L147" s="17"/>
      <c r="M147" s="17"/>
      <c r="N147" s="18"/>
      <c r="O147" s="19"/>
      <c r="P147" s="7"/>
      <c r="Q147" s="7"/>
      <c r="R147" s="7"/>
      <c r="S147" s="17"/>
    </row>
    <row r="148" ht="13.5" customHeight="1">
      <c r="A148" s="7" t="s">
        <v>164</v>
      </c>
      <c r="B148" s="8" t="s">
        <v>20</v>
      </c>
      <c r="C148" s="8" t="s">
        <v>21</v>
      </c>
      <c r="D148" s="8" t="s">
        <v>22</v>
      </c>
      <c r="E148" s="9" t="s">
        <v>165</v>
      </c>
      <c r="F148" s="8" t="s">
        <v>24</v>
      </c>
      <c r="G148" s="8" t="s">
        <v>162</v>
      </c>
      <c r="H148" s="8" t="s">
        <v>143</v>
      </c>
      <c r="I148" s="8" t="s">
        <v>27</v>
      </c>
      <c r="J148" s="8" t="s">
        <v>28</v>
      </c>
      <c r="K148" s="8" t="s">
        <v>29</v>
      </c>
      <c r="L148" s="17"/>
      <c r="M148" s="17"/>
      <c r="N148" s="18"/>
      <c r="O148" s="19"/>
      <c r="P148" s="7"/>
      <c r="Q148" s="7"/>
      <c r="R148" s="7"/>
      <c r="S148" s="17"/>
    </row>
    <row r="149" ht="13.5" customHeight="1">
      <c r="A149" s="7" t="s">
        <v>33</v>
      </c>
      <c r="B149" s="8" t="s">
        <v>34</v>
      </c>
      <c r="C149" s="8" t="s">
        <v>153</v>
      </c>
      <c r="D149" s="8" t="s">
        <v>154</v>
      </c>
      <c r="E149" s="9" t="s">
        <v>166</v>
      </c>
      <c r="F149" s="8" t="s">
        <v>33</v>
      </c>
      <c r="G149" s="8" t="s">
        <v>162</v>
      </c>
      <c r="H149" s="8" t="s">
        <v>143</v>
      </c>
      <c r="I149" s="8" t="s">
        <v>27</v>
      </c>
      <c r="J149" s="8" t="s">
        <v>28</v>
      </c>
      <c r="K149" s="8" t="s">
        <v>33</v>
      </c>
      <c r="L149" s="17"/>
      <c r="M149" s="17"/>
      <c r="N149" s="18"/>
      <c r="O149" s="19"/>
      <c r="P149" s="7"/>
      <c r="Q149" s="7"/>
      <c r="R149" s="7"/>
      <c r="S149" s="17"/>
    </row>
    <row r="150" ht="13.5" customHeight="1">
      <c r="A150" s="7" t="s">
        <v>33</v>
      </c>
      <c r="B150" s="8" t="s">
        <v>41</v>
      </c>
      <c r="C150" s="8" t="s">
        <v>156</v>
      </c>
      <c r="D150" s="8" t="s">
        <v>33</v>
      </c>
      <c r="E150" s="9" t="s">
        <v>33</v>
      </c>
      <c r="F150" s="8" t="s">
        <v>33</v>
      </c>
      <c r="G150" s="8" t="s">
        <v>162</v>
      </c>
      <c r="H150" s="8" t="s">
        <v>143</v>
      </c>
      <c r="I150" s="8" t="s">
        <v>27</v>
      </c>
      <c r="J150" s="8" t="s">
        <v>28</v>
      </c>
      <c r="K150" s="8" t="s">
        <v>33</v>
      </c>
      <c r="L150" s="17"/>
      <c r="M150" s="17"/>
      <c r="N150" s="18"/>
      <c r="O150" s="19"/>
      <c r="P150" s="7"/>
      <c r="Q150" s="7"/>
      <c r="R150" s="7"/>
      <c r="S150" s="17"/>
    </row>
    <row r="151" ht="13.5" customHeight="1">
      <c r="A151" s="7" t="s">
        <v>33</v>
      </c>
      <c r="B151" s="8" t="s">
        <v>167</v>
      </c>
      <c r="C151" s="8" t="s">
        <v>168</v>
      </c>
      <c r="D151" s="8" t="s">
        <v>169</v>
      </c>
      <c r="E151" s="9" t="s">
        <v>170</v>
      </c>
      <c r="F151" s="8" t="s">
        <v>171</v>
      </c>
      <c r="G151" s="8" t="s">
        <v>148</v>
      </c>
      <c r="H151" s="8" t="s">
        <v>143</v>
      </c>
      <c r="I151" s="8" t="s">
        <v>27</v>
      </c>
      <c r="J151" s="8" t="s">
        <v>28</v>
      </c>
      <c r="K151" s="8" t="s">
        <v>33</v>
      </c>
      <c r="L151" s="17"/>
      <c r="M151" s="17"/>
      <c r="N151" s="18"/>
      <c r="O151" s="19"/>
      <c r="P151" s="7"/>
      <c r="Q151" s="7"/>
      <c r="R151" s="7"/>
      <c r="S151" s="17"/>
    </row>
    <row r="152" ht="13.5" customHeight="1">
      <c r="A152" s="7" t="s">
        <v>33</v>
      </c>
      <c r="B152" s="8" t="s">
        <v>172</v>
      </c>
      <c r="C152" s="8" t="s">
        <v>173</v>
      </c>
      <c r="D152" s="8" t="s">
        <v>174</v>
      </c>
      <c r="E152" s="9" t="s">
        <v>175</v>
      </c>
      <c r="F152" s="8" t="s">
        <v>176</v>
      </c>
      <c r="G152" s="8" t="s">
        <v>148</v>
      </c>
      <c r="H152" s="8" t="s">
        <v>143</v>
      </c>
      <c r="I152" s="8" t="s">
        <v>27</v>
      </c>
      <c r="J152" s="8" t="s">
        <v>28</v>
      </c>
      <c r="K152" s="8" t="s">
        <v>33</v>
      </c>
      <c r="L152" s="17"/>
      <c r="M152" s="17"/>
      <c r="N152" s="18"/>
      <c r="O152" s="19"/>
      <c r="P152" s="7"/>
      <c r="Q152" s="7"/>
      <c r="R152" s="7"/>
      <c r="S152" s="17"/>
    </row>
    <row r="153" ht="13.5" customHeight="1">
      <c r="A153" s="7" t="s">
        <v>33</v>
      </c>
      <c r="B153" s="8" t="s">
        <v>177</v>
      </c>
      <c r="C153" s="8" t="s">
        <v>86</v>
      </c>
      <c r="D153" s="8" t="s">
        <v>94</v>
      </c>
      <c r="E153" s="9" t="s">
        <v>178</v>
      </c>
      <c r="F153" s="8" t="s">
        <v>179</v>
      </c>
      <c r="G153" s="8" t="s">
        <v>84</v>
      </c>
      <c r="H153" s="8" t="s">
        <v>143</v>
      </c>
      <c r="I153" s="8" t="s">
        <v>27</v>
      </c>
      <c r="J153" s="8" t="s">
        <v>28</v>
      </c>
      <c r="K153" s="8" t="s">
        <v>33</v>
      </c>
      <c r="L153" s="17"/>
      <c r="M153" s="17"/>
      <c r="N153" s="18"/>
      <c r="O153" s="19"/>
      <c r="P153" s="7"/>
      <c r="Q153" s="7"/>
      <c r="R153" s="7"/>
      <c r="S153" s="17"/>
    </row>
    <row r="154" ht="13.5" customHeight="1">
      <c r="A154" s="7" t="s">
        <v>33</v>
      </c>
      <c r="B154" s="8" t="s">
        <v>180</v>
      </c>
      <c r="C154" s="8" t="s">
        <v>33</v>
      </c>
      <c r="D154" s="8" t="s">
        <v>33</v>
      </c>
      <c r="E154" s="9" t="s">
        <v>33</v>
      </c>
      <c r="F154" s="8" t="s">
        <v>33</v>
      </c>
      <c r="G154" s="8" t="s">
        <v>84</v>
      </c>
      <c r="H154" s="8" t="s">
        <v>143</v>
      </c>
      <c r="I154" s="8" t="s">
        <v>27</v>
      </c>
      <c r="J154" s="8" t="s">
        <v>28</v>
      </c>
      <c r="K154" s="8" t="s">
        <v>33</v>
      </c>
      <c r="L154" s="17"/>
      <c r="M154" s="17"/>
      <c r="N154" s="18"/>
      <c r="O154" s="19"/>
      <c r="P154" s="7"/>
      <c r="Q154" s="7"/>
      <c r="R154" s="7"/>
      <c r="S154" s="17"/>
    </row>
    <row r="155" ht="13.5" customHeight="1">
      <c r="A155" s="7" t="s">
        <v>33</v>
      </c>
      <c r="B155" s="8" t="s">
        <v>181</v>
      </c>
      <c r="C155" s="8" t="s">
        <v>33</v>
      </c>
      <c r="D155" s="8" t="s">
        <v>182</v>
      </c>
      <c r="E155" s="9" t="s">
        <v>33</v>
      </c>
      <c r="F155" s="8" t="s">
        <v>33</v>
      </c>
      <c r="G155" s="8" t="s">
        <v>84</v>
      </c>
      <c r="H155" s="8" t="s">
        <v>143</v>
      </c>
      <c r="I155" s="8" t="s">
        <v>27</v>
      </c>
      <c r="J155" s="8" t="s">
        <v>28</v>
      </c>
      <c r="K155" s="8" t="s">
        <v>33</v>
      </c>
      <c r="L155" s="17"/>
      <c r="M155" s="17"/>
      <c r="N155" s="18"/>
      <c r="O155" s="19"/>
      <c r="P155" s="7"/>
      <c r="Q155" s="7"/>
      <c r="R155" s="7"/>
      <c r="S155" s="17"/>
    </row>
    <row r="156" ht="13.5" customHeight="1">
      <c r="A156" s="7" t="s">
        <v>183</v>
      </c>
      <c r="B156" s="8" t="s">
        <v>67</v>
      </c>
      <c r="C156" s="8" t="s">
        <v>125</v>
      </c>
      <c r="D156" s="8" t="s">
        <v>184</v>
      </c>
      <c r="E156" s="9" t="s">
        <v>185</v>
      </c>
      <c r="F156" s="8" t="s">
        <v>33</v>
      </c>
      <c r="G156" s="8" t="s">
        <v>186</v>
      </c>
      <c r="H156" s="8" t="s">
        <v>143</v>
      </c>
      <c r="I156" s="8" t="s">
        <v>91</v>
      </c>
      <c r="J156" s="8" t="s">
        <v>130</v>
      </c>
      <c r="K156" s="8" t="s">
        <v>33</v>
      </c>
      <c r="L156" s="17"/>
      <c r="M156" s="17"/>
      <c r="N156" s="18"/>
      <c r="O156" s="19"/>
      <c r="P156" s="7"/>
      <c r="Q156" s="7"/>
      <c r="R156" s="7"/>
      <c r="S156" s="17"/>
    </row>
    <row r="157" ht="13.5" customHeight="1">
      <c r="A157" s="7" t="s">
        <v>33</v>
      </c>
      <c r="B157" s="8" t="s">
        <v>187</v>
      </c>
      <c r="C157" s="8" t="s">
        <v>125</v>
      </c>
      <c r="D157" s="8" t="s">
        <v>133</v>
      </c>
      <c r="E157" s="9" t="s">
        <v>188</v>
      </c>
      <c r="F157" s="8" t="s">
        <v>33</v>
      </c>
      <c r="G157" s="8" t="s">
        <v>186</v>
      </c>
      <c r="H157" s="8" t="s">
        <v>143</v>
      </c>
      <c r="I157" s="8" t="s">
        <v>91</v>
      </c>
      <c r="J157" s="8" t="s">
        <v>130</v>
      </c>
      <c r="K157" s="8" t="s">
        <v>33</v>
      </c>
      <c r="L157" s="17"/>
      <c r="M157" s="17"/>
      <c r="N157" s="18"/>
      <c r="O157" s="19"/>
      <c r="P157" s="7"/>
      <c r="Q157" s="7"/>
      <c r="R157" s="7"/>
      <c r="S157" s="17"/>
    </row>
    <row r="158" ht="13.5" customHeight="1">
      <c r="A158" s="7" t="s">
        <v>189</v>
      </c>
      <c r="B158" s="8" t="s">
        <v>190</v>
      </c>
      <c r="C158" s="8" t="s">
        <v>136</v>
      </c>
      <c r="D158" s="8" t="s">
        <v>33</v>
      </c>
      <c r="E158" s="9" t="s">
        <v>33</v>
      </c>
      <c r="F158" s="8" t="s">
        <v>33</v>
      </c>
      <c r="G158" s="8" t="s">
        <v>186</v>
      </c>
      <c r="H158" s="8" t="s">
        <v>143</v>
      </c>
      <c r="I158" s="8" t="s">
        <v>91</v>
      </c>
      <c r="J158" s="8" t="s">
        <v>130</v>
      </c>
      <c r="K158" s="8" t="s">
        <v>33</v>
      </c>
      <c r="L158" s="17"/>
      <c r="M158" s="17"/>
      <c r="N158" s="18"/>
      <c r="O158" s="19"/>
      <c r="P158" s="7"/>
      <c r="Q158" s="7"/>
      <c r="R158" s="7"/>
      <c r="S158" s="17"/>
    </row>
    <row r="159" ht="13.5" customHeight="1">
      <c r="A159" s="7" t="s">
        <v>33</v>
      </c>
      <c r="B159" s="8" t="s">
        <v>191</v>
      </c>
      <c r="C159" s="8" t="s">
        <v>33</v>
      </c>
      <c r="D159" s="8" t="s">
        <v>33</v>
      </c>
      <c r="E159" s="9" t="s">
        <v>33</v>
      </c>
      <c r="F159" s="8" t="s">
        <v>33</v>
      </c>
      <c r="G159" s="8" t="s">
        <v>186</v>
      </c>
      <c r="H159" s="8" t="s">
        <v>143</v>
      </c>
      <c r="I159" s="8" t="s">
        <v>91</v>
      </c>
      <c r="J159" s="8" t="s">
        <v>130</v>
      </c>
      <c r="K159" s="8" t="s">
        <v>33</v>
      </c>
      <c r="L159" s="17"/>
      <c r="M159" s="17"/>
      <c r="N159" s="18"/>
      <c r="O159" s="19"/>
      <c r="P159" s="7"/>
      <c r="Q159" s="7"/>
      <c r="R159" s="7"/>
      <c r="S159" s="17"/>
    </row>
    <row r="160" ht="13.5" customHeight="1">
      <c r="A160" s="7" t="s">
        <v>33</v>
      </c>
      <c r="B160" s="8" t="s">
        <v>192</v>
      </c>
      <c r="C160" s="8" t="s">
        <v>86</v>
      </c>
      <c r="D160" s="8" t="s">
        <v>193</v>
      </c>
      <c r="E160" s="9" t="s">
        <v>194</v>
      </c>
      <c r="F160" s="8" t="s">
        <v>179</v>
      </c>
      <c r="G160" s="8" t="s">
        <v>84</v>
      </c>
      <c r="H160" s="8" t="s">
        <v>143</v>
      </c>
      <c r="I160" s="8" t="s">
        <v>27</v>
      </c>
      <c r="J160" s="8" t="s">
        <v>28</v>
      </c>
      <c r="K160" s="8" t="s">
        <v>33</v>
      </c>
      <c r="L160" s="17"/>
      <c r="M160" s="17"/>
      <c r="N160" s="18"/>
      <c r="O160" s="19"/>
      <c r="P160" s="7"/>
      <c r="Q160" s="7"/>
      <c r="R160" s="7"/>
      <c r="S160" s="17"/>
    </row>
    <row r="161" ht="13.5" customHeight="1">
      <c r="A161" s="7" t="s">
        <v>33</v>
      </c>
      <c r="B161" s="8" t="s">
        <v>85</v>
      </c>
      <c r="C161" s="8" t="s">
        <v>86</v>
      </c>
      <c r="D161" s="8" t="s">
        <v>195</v>
      </c>
      <c r="E161" s="9" t="s">
        <v>33</v>
      </c>
      <c r="F161" s="8" t="s">
        <v>33</v>
      </c>
      <c r="G161" s="8" t="s">
        <v>84</v>
      </c>
      <c r="H161" s="8" t="s">
        <v>143</v>
      </c>
      <c r="I161" s="8" t="s">
        <v>27</v>
      </c>
      <c r="J161" s="8" t="s">
        <v>28</v>
      </c>
      <c r="K161" s="8" t="s">
        <v>33</v>
      </c>
      <c r="L161" s="17"/>
      <c r="M161" s="17"/>
      <c r="N161" s="18"/>
      <c r="O161" s="19"/>
      <c r="P161" s="7"/>
      <c r="Q161" s="7"/>
      <c r="R161" s="7"/>
      <c r="S161" s="17"/>
    </row>
    <row r="162" ht="13.5" customHeight="1">
      <c r="A162" s="7" t="s">
        <v>33</v>
      </c>
      <c r="B162" s="8" t="s">
        <v>85</v>
      </c>
      <c r="C162" s="8" t="s">
        <v>86</v>
      </c>
      <c r="D162" s="8" t="s">
        <v>195</v>
      </c>
      <c r="E162" s="9" t="s">
        <v>33</v>
      </c>
      <c r="F162" s="8" t="s">
        <v>33</v>
      </c>
      <c r="G162" s="8" t="s">
        <v>84</v>
      </c>
      <c r="H162" s="8" t="s">
        <v>143</v>
      </c>
      <c r="I162" s="8" t="s">
        <v>27</v>
      </c>
      <c r="J162" s="8" t="s">
        <v>28</v>
      </c>
      <c r="K162" s="8" t="s">
        <v>33</v>
      </c>
      <c r="L162" s="17"/>
      <c r="M162" s="17"/>
      <c r="N162" s="18"/>
      <c r="O162" s="19"/>
      <c r="P162" s="7"/>
      <c r="Q162" s="7"/>
      <c r="R162" s="7"/>
      <c r="S162" s="17"/>
    </row>
    <row r="163" ht="13.5" customHeight="1">
      <c r="A163" s="7" t="s">
        <v>33</v>
      </c>
      <c r="B163" s="8" t="s">
        <v>85</v>
      </c>
      <c r="C163" s="8" t="s">
        <v>86</v>
      </c>
      <c r="D163" s="8" t="s">
        <v>195</v>
      </c>
      <c r="E163" s="9" t="s">
        <v>33</v>
      </c>
      <c r="F163" s="8" t="s">
        <v>33</v>
      </c>
      <c r="G163" s="8" t="s">
        <v>84</v>
      </c>
      <c r="H163" s="8" t="s">
        <v>143</v>
      </c>
      <c r="I163" s="8" t="s">
        <v>27</v>
      </c>
      <c r="J163" s="8" t="s">
        <v>28</v>
      </c>
      <c r="K163" s="8" t="s">
        <v>33</v>
      </c>
      <c r="L163" s="17"/>
      <c r="M163" s="17"/>
      <c r="N163" s="18"/>
      <c r="O163" s="19"/>
      <c r="P163" s="7"/>
      <c r="Q163" s="7"/>
      <c r="R163" s="7"/>
      <c r="S163" s="17"/>
    </row>
    <row r="164" ht="13.5" customHeight="1">
      <c r="A164" s="7" t="s">
        <v>33</v>
      </c>
      <c r="B164" s="8" t="s">
        <v>85</v>
      </c>
      <c r="C164" s="8" t="s">
        <v>86</v>
      </c>
      <c r="D164" s="8" t="s">
        <v>195</v>
      </c>
      <c r="E164" s="9" t="s">
        <v>33</v>
      </c>
      <c r="F164" s="8" t="s">
        <v>33</v>
      </c>
      <c r="G164" s="8" t="s">
        <v>84</v>
      </c>
      <c r="H164" s="8" t="s">
        <v>143</v>
      </c>
      <c r="I164" s="8" t="s">
        <v>27</v>
      </c>
      <c r="J164" s="8" t="s">
        <v>28</v>
      </c>
      <c r="K164" s="8" t="s">
        <v>33</v>
      </c>
      <c r="L164" s="17"/>
      <c r="M164" s="17"/>
      <c r="N164" s="18"/>
      <c r="O164" s="19"/>
      <c r="P164" s="7"/>
      <c r="Q164" s="7"/>
      <c r="R164" s="7"/>
      <c r="S164" s="17"/>
    </row>
    <row r="165" ht="13.5" customHeight="1">
      <c r="A165" s="7" t="s">
        <v>33</v>
      </c>
      <c r="B165" s="8" t="s">
        <v>196</v>
      </c>
      <c r="C165" s="8" t="s">
        <v>197</v>
      </c>
      <c r="D165" s="8" t="s">
        <v>198</v>
      </c>
      <c r="E165" s="9" t="s">
        <v>199</v>
      </c>
      <c r="F165" s="8" t="s">
        <v>200</v>
      </c>
      <c r="G165" s="8" t="s">
        <v>84</v>
      </c>
      <c r="H165" s="8" t="s">
        <v>143</v>
      </c>
      <c r="I165" s="8" t="s">
        <v>27</v>
      </c>
      <c r="J165" s="8" t="s">
        <v>28</v>
      </c>
      <c r="K165" s="8" t="s">
        <v>33</v>
      </c>
      <c r="L165" s="17"/>
      <c r="M165" s="17"/>
      <c r="N165" s="18"/>
      <c r="O165" s="19"/>
      <c r="P165" s="7"/>
      <c r="Q165" s="7"/>
      <c r="R165" s="7"/>
      <c r="S165" s="17"/>
    </row>
    <row r="166" ht="13.5" customHeight="1">
      <c r="A166" s="7" t="s">
        <v>33</v>
      </c>
      <c r="B166" s="8" t="s">
        <v>201</v>
      </c>
      <c r="C166" s="8" t="s">
        <v>197</v>
      </c>
      <c r="D166" s="8" t="s">
        <v>202</v>
      </c>
      <c r="E166" s="9" t="s">
        <v>203</v>
      </c>
      <c r="F166" s="8" t="s">
        <v>33</v>
      </c>
      <c r="G166" s="8" t="s">
        <v>84</v>
      </c>
      <c r="H166" s="8" t="s">
        <v>143</v>
      </c>
      <c r="I166" s="8" t="s">
        <v>27</v>
      </c>
      <c r="J166" s="8" t="s">
        <v>28</v>
      </c>
      <c r="K166" s="8" t="s">
        <v>33</v>
      </c>
      <c r="L166" s="17"/>
      <c r="M166" s="17"/>
      <c r="N166" s="18"/>
      <c r="O166" s="19"/>
      <c r="P166" s="7"/>
      <c r="Q166" s="7"/>
      <c r="R166" s="7"/>
      <c r="S166" s="17"/>
    </row>
    <row r="167" ht="13.5" customHeight="1">
      <c r="A167" s="7" t="s">
        <v>204</v>
      </c>
      <c r="B167" s="8" t="s">
        <v>205</v>
      </c>
      <c r="C167" s="8" t="s">
        <v>80</v>
      </c>
      <c r="D167" s="8" t="s">
        <v>109</v>
      </c>
      <c r="E167" s="9" t="s">
        <v>206</v>
      </c>
      <c r="F167" s="8" t="s">
        <v>83</v>
      </c>
      <c r="G167" s="8" t="s">
        <v>84</v>
      </c>
      <c r="H167" s="8" t="s">
        <v>207</v>
      </c>
      <c r="I167" s="8" t="s">
        <v>27</v>
      </c>
      <c r="J167" s="8" t="s">
        <v>28</v>
      </c>
      <c r="K167" s="8" t="s">
        <v>29</v>
      </c>
      <c r="L167" s="17"/>
      <c r="M167" s="17"/>
      <c r="N167" s="18"/>
      <c r="O167" s="19"/>
      <c r="P167" s="7"/>
      <c r="Q167" s="7"/>
      <c r="R167" s="7"/>
      <c r="S167" s="17"/>
    </row>
    <row r="168" ht="13.5" customHeight="1">
      <c r="A168" s="7" t="s">
        <v>33</v>
      </c>
      <c r="B168" s="8" t="s">
        <v>118</v>
      </c>
      <c r="C168" s="8" t="s">
        <v>208</v>
      </c>
      <c r="D168" s="8" t="s">
        <v>209</v>
      </c>
      <c r="E168" s="9" t="s">
        <v>33</v>
      </c>
      <c r="F168" s="8" t="s">
        <v>210</v>
      </c>
      <c r="G168" s="8" t="s">
        <v>211</v>
      </c>
      <c r="H168" s="8" t="s">
        <v>207</v>
      </c>
      <c r="I168" s="8" t="s">
        <v>27</v>
      </c>
      <c r="J168" s="8" t="s">
        <v>28</v>
      </c>
      <c r="K168" s="8" t="s">
        <v>212</v>
      </c>
      <c r="L168" s="17"/>
      <c r="M168" s="17"/>
      <c r="N168" s="18"/>
      <c r="O168" s="19"/>
      <c r="P168" s="7"/>
      <c r="Q168" s="42">
        <v>45488.0</v>
      </c>
      <c r="R168" s="8" t="s">
        <v>1933</v>
      </c>
      <c r="S168" s="17"/>
    </row>
    <row r="169" ht="13.5" customHeight="1">
      <c r="A169" s="7" t="s">
        <v>213</v>
      </c>
      <c r="B169" s="8" t="s">
        <v>2158</v>
      </c>
      <c r="C169" s="8" t="s">
        <v>214</v>
      </c>
      <c r="D169" s="8" t="s">
        <v>33</v>
      </c>
      <c r="E169" s="9" t="s">
        <v>215</v>
      </c>
      <c r="F169" s="8" t="s">
        <v>147</v>
      </c>
      <c r="G169" s="8" t="s">
        <v>211</v>
      </c>
      <c r="H169" s="8" t="s">
        <v>207</v>
      </c>
      <c r="I169" s="8" t="s">
        <v>27</v>
      </c>
      <c r="J169" s="8" t="s">
        <v>28</v>
      </c>
      <c r="K169" s="8" t="s">
        <v>212</v>
      </c>
      <c r="L169" s="17"/>
      <c r="M169" s="17"/>
      <c r="N169" s="18"/>
      <c r="O169" s="19"/>
      <c r="P169" s="7"/>
      <c r="Q169" s="42">
        <v>45488.0</v>
      </c>
      <c r="R169" s="8" t="s">
        <v>1933</v>
      </c>
      <c r="S169" s="17"/>
    </row>
    <row r="170" ht="13.5" customHeight="1">
      <c r="A170" s="7" t="s">
        <v>33</v>
      </c>
      <c r="B170" s="8" t="s">
        <v>20</v>
      </c>
      <c r="C170" s="8" t="s">
        <v>21</v>
      </c>
      <c r="D170" s="8" t="s">
        <v>22</v>
      </c>
      <c r="E170" s="9" t="s">
        <v>216</v>
      </c>
      <c r="F170" s="8" t="s">
        <v>24</v>
      </c>
      <c r="G170" s="8" t="s">
        <v>211</v>
      </c>
      <c r="H170" s="8" t="s">
        <v>207</v>
      </c>
      <c r="I170" s="8" t="s">
        <v>27</v>
      </c>
      <c r="J170" s="8" t="s">
        <v>28</v>
      </c>
      <c r="K170" s="8" t="s">
        <v>29</v>
      </c>
      <c r="L170" s="17"/>
      <c r="M170" s="17"/>
      <c r="N170" s="18"/>
      <c r="O170" s="19"/>
      <c r="P170" s="7"/>
      <c r="Q170" s="7"/>
      <c r="R170" s="7"/>
      <c r="S170" s="17"/>
    </row>
    <row r="171" ht="13.5" customHeight="1">
      <c r="A171" s="7" t="s">
        <v>217</v>
      </c>
      <c r="B171" s="8" t="s">
        <v>218</v>
      </c>
      <c r="C171" s="8" t="s">
        <v>86</v>
      </c>
      <c r="D171" s="8" t="s">
        <v>219</v>
      </c>
      <c r="E171" s="9" t="s">
        <v>220</v>
      </c>
      <c r="F171" s="8" t="s">
        <v>221</v>
      </c>
      <c r="G171" s="8" t="s">
        <v>84</v>
      </c>
      <c r="H171" s="8" t="s">
        <v>207</v>
      </c>
      <c r="I171" s="8" t="s">
        <v>27</v>
      </c>
      <c r="J171" s="8" t="s">
        <v>28</v>
      </c>
      <c r="K171" s="8" t="s">
        <v>33</v>
      </c>
      <c r="L171" s="17"/>
      <c r="M171" s="17"/>
      <c r="N171" s="18"/>
      <c r="O171" s="19"/>
      <c r="P171" s="7"/>
      <c r="Q171" s="7"/>
      <c r="R171" s="7"/>
      <c r="S171" s="17"/>
    </row>
    <row r="172" ht="13.5" customHeight="1">
      <c r="A172" s="7" t="s">
        <v>33</v>
      </c>
      <c r="B172" s="8" t="s">
        <v>85</v>
      </c>
      <c r="C172" s="8" t="s">
        <v>33</v>
      </c>
      <c r="D172" s="8" t="s">
        <v>33</v>
      </c>
      <c r="E172" s="9" t="s">
        <v>33</v>
      </c>
      <c r="F172" s="8" t="s">
        <v>33</v>
      </c>
      <c r="G172" s="8" t="s">
        <v>84</v>
      </c>
      <c r="H172" s="8" t="s">
        <v>207</v>
      </c>
      <c r="I172" s="8" t="s">
        <v>27</v>
      </c>
      <c r="J172" s="8" t="s">
        <v>28</v>
      </c>
      <c r="K172" s="8" t="s">
        <v>33</v>
      </c>
      <c r="L172" s="17"/>
      <c r="M172" s="17"/>
      <c r="N172" s="18"/>
      <c r="O172" s="19"/>
      <c r="P172" s="7"/>
      <c r="Q172" s="7"/>
      <c r="R172" s="7"/>
      <c r="S172" s="17"/>
    </row>
    <row r="173" ht="13.5" customHeight="1">
      <c r="A173" s="7" t="s">
        <v>33</v>
      </c>
      <c r="B173" s="8" t="s">
        <v>85</v>
      </c>
      <c r="C173" s="8" t="s">
        <v>86</v>
      </c>
      <c r="D173" s="8" t="s">
        <v>33</v>
      </c>
      <c r="E173" s="9" t="s">
        <v>33</v>
      </c>
      <c r="F173" s="8" t="s">
        <v>33</v>
      </c>
      <c r="G173" s="8" t="s">
        <v>84</v>
      </c>
      <c r="H173" s="8" t="s">
        <v>207</v>
      </c>
      <c r="I173" s="8" t="s">
        <v>27</v>
      </c>
      <c r="J173" s="8" t="s">
        <v>28</v>
      </c>
      <c r="K173" s="8" t="s">
        <v>33</v>
      </c>
      <c r="L173" s="17"/>
      <c r="M173" s="17"/>
      <c r="N173" s="18"/>
      <c r="O173" s="19"/>
      <c r="P173" s="7"/>
      <c r="Q173" s="7"/>
      <c r="R173" s="7"/>
      <c r="S173" s="17"/>
    </row>
    <row r="174" ht="13.5" customHeight="1">
      <c r="A174" s="7" t="s">
        <v>33</v>
      </c>
      <c r="B174" s="8" t="s">
        <v>85</v>
      </c>
      <c r="C174" s="8" t="s">
        <v>33</v>
      </c>
      <c r="D174" s="8" t="s">
        <v>33</v>
      </c>
      <c r="E174" s="9" t="s">
        <v>33</v>
      </c>
      <c r="F174" s="8" t="s">
        <v>33</v>
      </c>
      <c r="G174" s="8" t="s">
        <v>84</v>
      </c>
      <c r="H174" s="8" t="s">
        <v>207</v>
      </c>
      <c r="I174" s="8" t="s">
        <v>27</v>
      </c>
      <c r="J174" s="8" t="s">
        <v>28</v>
      </c>
      <c r="K174" s="8" t="s">
        <v>33</v>
      </c>
      <c r="L174" s="17"/>
      <c r="M174" s="17"/>
      <c r="N174" s="18"/>
      <c r="O174" s="19"/>
      <c r="P174" s="7"/>
      <c r="Q174" s="7"/>
      <c r="R174" s="7"/>
      <c r="S174" s="17"/>
    </row>
    <row r="175" ht="13.5" customHeight="1">
      <c r="A175" s="7" t="s">
        <v>33</v>
      </c>
      <c r="B175" s="8" t="s">
        <v>85</v>
      </c>
      <c r="C175" s="8" t="s">
        <v>33</v>
      </c>
      <c r="D175" s="8" t="s">
        <v>33</v>
      </c>
      <c r="E175" s="9" t="s">
        <v>33</v>
      </c>
      <c r="F175" s="8" t="s">
        <v>33</v>
      </c>
      <c r="G175" s="8" t="s">
        <v>84</v>
      </c>
      <c r="H175" s="8" t="s">
        <v>207</v>
      </c>
      <c r="I175" s="8" t="s">
        <v>27</v>
      </c>
      <c r="J175" s="8" t="s">
        <v>28</v>
      </c>
      <c r="K175" s="8" t="s">
        <v>33</v>
      </c>
      <c r="L175" s="17"/>
      <c r="M175" s="17"/>
      <c r="N175" s="18"/>
      <c r="O175" s="19"/>
      <c r="P175" s="7"/>
      <c r="Q175" s="7"/>
      <c r="R175" s="7"/>
      <c r="S175" s="17"/>
    </row>
    <row r="176" ht="13.5" customHeight="1">
      <c r="A176" s="7" t="s">
        <v>33</v>
      </c>
      <c r="B176" s="8" t="s">
        <v>85</v>
      </c>
      <c r="C176" s="8" t="s">
        <v>33</v>
      </c>
      <c r="D176" s="8" t="s">
        <v>33</v>
      </c>
      <c r="E176" s="9" t="s">
        <v>33</v>
      </c>
      <c r="F176" s="8" t="s">
        <v>33</v>
      </c>
      <c r="G176" s="8" t="s">
        <v>84</v>
      </c>
      <c r="H176" s="8" t="s">
        <v>207</v>
      </c>
      <c r="I176" s="8" t="s">
        <v>27</v>
      </c>
      <c r="J176" s="8" t="s">
        <v>28</v>
      </c>
      <c r="K176" s="8" t="s">
        <v>33</v>
      </c>
      <c r="L176" s="17"/>
      <c r="M176" s="17"/>
      <c r="N176" s="18"/>
      <c r="O176" s="19"/>
      <c r="P176" s="7"/>
      <c r="Q176" s="7"/>
      <c r="R176" s="7"/>
      <c r="S176" s="17"/>
    </row>
    <row r="177" ht="13.5" customHeight="1">
      <c r="A177" s="7" t="s">
        <v>222</v>
      </c>
      <c r="B177" s="8" t="s">
        <v>67</v>
      </c>
      <c r="C177" s="8" t="s">
        <v>223</v>
      </c>
      <c r="D177" s="8" t="s">
        <v>224</v>
      </c>
      <c r="E177" s="9" t="s">
        <v>225</v>
      </c>
      <c r="F177" s="8" t="s">
        <v>33</v>
      </c>
      <c r="G177" s="8" t="s">
        <v>226</v>
      </c>
      <c r="H177" s="8" t="s">
        <v>207</v>
      </c>
      <c r="I177" s="8" t="s">
        <v>91</v>
      </c>
      <c r="J177" s="8" t="s">
        <v>130</v>
      </c>
      <c r="K177" s="8" t="s">
        <v>33</v>
      </c>
      <c r="L177" s="17"/>
      <c r="M177" s="17"/>
      <c r="N177" s="18"/>
      <c r="O177" s="19"/>
      <c r="P177" s="7"/>
      <c r="Q177" s="7"/>
      <c r="R177" s="7"/>
      <c r="S177" s="17"/>
    </row>
    <row r="178" ht="13.5" customHeight="1">
      <c r="A178" s="7" t="s">
        <v>227</v>
      </c>
      <c r="B178" s="8" t="s">
        <v>228</v>
      </c>
      <c r="C178" s="8" t="s">
        <v>223</v>
      </c>
      <c r="D178" s="8" t="s">
        <v>229</v>
      </c>
      <c r="E178" s="9" t="s">
        <v>230</v>
      </c>
      <c r="F178" s="8" t="s">
        <v>33</v>
      </c>
      <c r="G178" s="8" t="s">
        <v>226</v>
      </c>
      <c r="H178" s="8" t="s">
        <v>207</v>
      </c>
      <c r="I178" s="8" t="s">
        <v>91</v>
      </c>
      <c r="J178" s="8" t="s">
        <v>130</v>
      </c>
      <c r="K178" s="8" t="s">
        <v>33</v>
      </c>
      <c r="L178" s="17"/>
      <c r="M178" s="17"/>
      <c r="N178" s="18"/>
      <c r="O178" s="19"/>
      <c r="P178" s="7"/>
      <c r="Q178" s="7"/>
      <c r="R178" s="7"/>
      <c r="S178" s="17"/>
    </row>
    <row r="179" ht="13.5" customHeight="1">
      <c r="A179" s="7" t="s">
        <v>231</v>
      </c>
      <c r="B179" s="8" t="s">
        <v>34</v>
      </c>
      <c r="C179" s="8" t="s">
        <v>223</v>
      </c>
      <c r="D179" s="8" t="s">
        <v>232</v>
      </c>
      <c r="E179" s="9" t="s">
        <v>33</v>
      </c>
      <c r="F179" s="8" t="s">
        <v>33</v>
      </c>
      <c r="G179" s="8" t="s">
        <v>226</v>
      </c>
      <c r="H179" s="8" t="s">
        <v>207</v>
      </c>
      <c r="I179" s="8" t="s">
        <v>91</v>
      </c>
      <c r="J179" s="8" t="s">
        <v>130</v>
      </c>
      <c r="K179" s="8" t="s">
        <v>33</v>
      </c>
      <c r="L179" s="17"/>
      <c r="M179" s="17"/>
      <c r="N179" s="18"/>
      <c r="O179" s="19"/>
      <c r="P179" s="7"/>
      <c r="Q179" s="7"/>
      <c r="R179" s="7"/>
      <c r="S179" s="17"/>
    </row>
    <row r="180" ht="13.5" customHeight="1">
      <c r="A180" s="7" t="s">
        <v>33</v>
      </c>
      <c r="B180" s="8" t="s">
        <v>118</v>
      </c>
      <c r="C180" s="8" t="s">
        <v>119</v>
      </c>
      <c r="D180" s="8" t="s">
        <v>233</v>
      </c>
      <c r="E180" s="9" t="s">
        <v>33</v>
      </c>
      <c r="F180" s="8" t="s">
        <v>234</v>
      </c>
      <c r="G180" s="8" t="s">
        <v>235</v>
      </c>
      <c r="H180" s="8" t="s">
        <v>207</v>
      </c>
      <c r="I180" s="8" t="s">
        <v>27</v>
      </c>
      <c r="J180" s="8" t="s">
        <v>28</v>
      </c>
      <c r="K180" s="8" t="s">
        <v>212</v>
      </c>
      <c r="L180" s="17"/>
      <c r="M180" s="17"/>
      <c r="N180" s="18"/>
      <c r="O180" s="19"/>
      <c r="P180" s="7"/>
      <c r="Q180" s="42">
        <v>45488.0</v>
      </c>
      <c r="R180" s="8" t="s">
        <v>1933</v>
      </c>
      <c r="S180" s="17"/>
    </row>
    <row r="181" ht="13.5" customHeight="1">
      <c r="A181" s="7" t="s">
        <v>236</v>
      </c>
      <c r="B181" s="8" t="s">
        <v>47</v>
      </c>
      <c r="C181" s="8" t="s">
        <v>237</v>
      </c>
      <c r="D181" s="8" t="s">
        <v>238</v>
      </c>
      <c r="E181" s="9" t="s">
        <v>239</v>
      </c>
      <c r="F181" s="8" t="s">
        <v>33</v>
      </c>
      <c r="G181" s="8" t="s">
        <v>235</v>
      </c>
      <c r="H181" s="8" t="s">
        <v>207</v>
      </c>
      <c r="I181" s="8" t="s">
        <v>27</v>
      </c>
      <c r="J181" s="8" t="s">
        <v>28</v>
      </c>
      <c r="K181" s="8" t="s">
        <v>212</v>
      </c>
      <c r="L181" s="17"/>
      <c r="M181" s="17"/>
      <c r="N181" s="18"/>
      <c r="O181" s="19"/>
      <c r="P181" s="7"/>
      <c r="Q181" s="42">
        <v>45488.0</v>
      </c>
      <c r="R181" s="8" t="s">
        <v>1933</v>
      </c>
      <c r="S181" s="17"/>
    </row>
    <row r="182" ht="13.5" customHeight="1">
      <c r="A182" s="7" t="s">
        <v>240</v>
      </c>
      <c r="B182" s="8" t="s">
        <v>41</v>
      </c>
      <c r="C182" s="8" t="s">
        <v>241</v>
      </c>
      <c r="D182" s="8" t="s">
        <v>242</v>
      </c>
      <c r="E182" s="9" t="s">
        <v>243</v>
      </c>
      <c r="F182" s="8" t="s">
        <v>33</v>
      </c>
      <c r="G182" s="8" t="s">
        <v>235</v>
      </c>
      <c r="H182" s="8" t="s">
        <v>207</v>
      </c>
      <c r="I182" s="8" t="s">
        <v>27</v>
      </c>
      <c r="J182" s="8" t="s">
        <v>28</v>
      </c>
      <c r="K182" s="8" t="s">
        <v>212</v>
      </c>
      <c r="L182" s="17"/>
      <c r="M182" s="17"/>
      <c r="N182" s="18"/>
      <c r="O182" s="19"/>
      <c r="P182" s="7"/>
      <c r="Q182" s="7"/>
      <c r="R182" s="7"/>
      <c r="S182" s="17"/>
    </row>
    <row r="183" ht="13.5" customHeight="1">
      <c r="A183" s="7" t="s">
        <v>244</v>
      </c>
      <c r="B183" s="8" t="s">
        <v>34</v>
      </c>
      <c r="C183" s="8" t="s">
        <v>139</v>
      </c>
      <c r="D183" s="8" t="s">
        <v>245</v>
      </c>
      <c r="E183" s="9" t="s">
        <v>246</v>
      </c>
      <c r="F183" s="8" t="s">
        <v>33</v>
      </c>
      <c r="G183" s="8" t="s">
        <v>235</v>
      </c>
      <c r="H183" s="8" t="s">
        <v>207</v>
      </c>
      <c r="I183" s="8" t="s">
        <v>27</v>
      </c>
      <c r="J183" s="8" t="s">
        <v>28</v>
      </c>
      <c r="K183" s="8" t="s">
        <v>212</v>
      </c>
      <c r="L183" s="17"/>
      <c r="M183" s="17"/>
      <c r="N183" s="18"/>
      <c r="O183" s="19"/>
      <c r="P183" s="7"/>
      <c r="Q183" s="7"/>
      <c r="R183" s="7"/>
      <c r="S183" s="17"/>
    </row>
    <row r="184" ht="13.5" customHeight="1">
      <c r="A184" s="7" t="s">
        <v>247</v>
      </c>
      <c r="B184" s="8" t="s">
        <v>20</v>
      </c>
      <c r="C184" s="8" t="s">
        <v>21</v>
      </c>
      <c r="D184" s="8" t="s">
        <v>22</v>
      </c>
      <c r="E184" s="9" t="s">
        <v>248</v>
      </c>
      <c r="F184" s="8" t="s">
        <v>24</v>
      </c>
      <c r="G184" s="8" t="s">
        <v>235</v>
      </c>
      <c r="H184" s="8" t="s">
        <v>207</v>
      </c>
      <c r="I184" s="8" t="s">
        <v>27</v>
      </c>
      <c r="J184" s="8" t="s">
        <v>28</v>
      </c>
      <c r="K184" s="8" t="s">
        <v>29</v>
      </c>
      <c r="L184" s="17"/>
      <c r="M184" s="17"/>
      <c r="N184" s="18"/>
      <c r="O184" s="19"/>
      <c r="P184" s="7"/>
      <c r="Q184" s="7"/>
      <c r="R184" s="7"/>
      <c r="S184" s="17"/>
    </row>
    <row r="185" ht="13.5" customHeight="1">
      <c r="A185" s="7" t="s">
        <v>249</v>
      </c>
      <c r="B185" s="8" t="s">
        <v>79</v>
      </c>
      <c r="C185" s="8" t="s">
        <v>223</v>
      </c>
      <c r="D185" s="8" t="s">
        <v>250</v>
      </c>
      <c r="E185" s="9" t="s">
        <v>251</v>
      </c>
      <c r="F185" s="8" t="s">
        <v>83</v>
      </c>
      <c r="G185" s="8" t="s">
        <v>84</v>
      </c>
      <c r="H185" s="8" t="s">
        <v>207</v>
      </c>
      <c r="I185" s="8" t="s">
        <v>27</v>
      </c>
      <c r="J185" s="8" t="s">
        <v>28</v>
      </c>
      <c r="K185" s="8" t="s">
        <v>29</v>
      </c>
      <c r="L185" s="17"/>
      <c r="M185" s="17"/>
      <c r="N185" s="18"/>
      <c r="O185" s="19"/>
      <c r="P185" s="7"/>
      <c r="Q185" s="7"/>
      <c r="R185" s="7"/>
      <c r="S185" s="17"/>
    </row>
    <row r="186" ht="13.5" customHeight="1">
      <c r="A186" s="7" t="s">
        <v>33</v>
      </c>
      <c r="B186" s="8" t="s">
        <v>85</v>
      </c>
      <c r="C186" s="8" t="s">
        <v>86</v>
      </c>
      <c r="D186" s="8" t="s">
        <v>252</v>
      </c>
      <c r="E186" s="9" t="s">
        <v>33</v>
      </c>
      <c r="F186" s="8" t="s">
        <v>33</v>
      </c>
      <c r="G186" s="8" t="s">
        <v>84</v>
      </c>
      <c r="H186" s="8" t="s">
        <v>207</v>
      </c>
      <c r="I186" s="8" t="s">
        <v>27</v>
      </c>
      <c r="J186" s="8" t="s">
        <v>28</v>
      </c>
      <c r="K186" s="8" t="s">
        <v>212</v>
      </c>
      <c r="L186" s="17"/>
      <c r="M186" s="17"/>
      <c r="N186" s="18"/>
      <c r="O186" s="19"/>
      <c r="P186" s="7"/>
      <c r="Q186" s="7"/>
      <c r="R186" s="7"/>
      <c r="S186" s="17"/>
    </row>
    <row r="187" ht="13.5" customHeight="1">
      <c r="A187" s="7" t="s">
        <v>33</v>
      </c>
      <c r="B187" s="8" t="s">
        <v>85</v>
      </c>
      <c r="C187" s="8" t="s">
        <v>86</v>
      </c>
      <c r="D187" s="8" t="s">
        <v>252</v>
      </c>
      <c r="E187" s="9" t="s">
        <v>33</v>
      </c>
      <c r="F187" s="8" t="s">
        <v>33</v>
      </c>
      <c r="G187" s="8" t="s">
        <v>84</v>
      </c>
      <c r="H187" s="8" t="s">
        <v>207</v>
      </c>
      <c r="I187" s="8" t="s">
        <v>27</v>
      </c>
      <c r="J187" s="8" t="s">
        <v>28</v>
      </c>
      <c r="K187" s="8" t="s">
        <v>212</v>
      </c>
      <c r="L187" s="17"/>
      <c r="M187" s="17"/>
      <c r="N187" s="18"/>
      <c r="O187" s="19"/>
      <c r="P187" s="7"/>
      <c r="Q187" s="7"/>
      <c r="R187" s="7"/>
      <c r="S187" s="17"/>
    </row>
    <row r="188" ht="13.5" customHeight="1">
      <c r="A188" s="7" t="s">
        <v>33</v>
      </c>
      <c r="B188" s="8" t="s">
        <v>85</v>
      </c>
      <c r="C188" s="8" t="s">
        <v>86</v>
      </c>
      <c r="D188" s="8" t="s">
        <v>252</v>
      </c>
      <c r="E188" s="9" t="s">
        <v>33</v>
      </c>
      <c r="F188" s="8" t="s">
        <v>33</v>
      </c>
      <c r="G188" s="8" t="s">
        <v>84</v>
      </c>
      <c r="H188" s="8" t="s">
        <v>207</v>
      </c>
      <c r="I188" s="8" t="s">
        <v>27</v>
      </c>
      <c r="J188" s="8" t="s">
        <v>28</v>
      </c>
      <c r="K188" s="8" t="s">
        <v>212</v>
      </c>
      <c r="L188" s="17"/>
      <c r="M188" s="17"/>
      <c r="N188" s="18"/>
      <c r="O188" s="19"/>
      <c r="P188" s="7"/>
      <c r="Q188" s="7"/>
      <c r="R188" s="7"/>
      <c r="S188" s="17"/>
    </row>
    <row r="189" ht="13.5" customHeight="1">
      <c r="A189" s="8" t="s">
        <v>33</v>
      </c>
      <c r="B189" s="8" t="s">
        <v>2159</v>
      </c>
      <c r="C189" s="8" t="s">
        <v>2160</v>
      </c>
      <c r="D189" s="8" t="s">
        <v>2161</v>
      </c>
      <c r="E189" s="9" t="s">
        <v>2162</v>
      </c>
      <c r="F189" s="8" t="s">
        <v>2159</v>
      </c>
      <c r="G189" s="8" t="s">
        <v>84</v>
      </c>
      <c r="H189" s="8" t="s">
        <v>259</v>
      </c>
      <c r="I189" s="8" t="s">
        <v>260</v>
      </c>
      <c r="J189" s="8" t="s">
        <v>667</v>
      </c>
      <c r="K189" s="8" t="s">
        <v>29</v>
      </c>
      <c r="L189" s="17"/>
      <c r="M189" s="17"/>
      <c r="N189" s="18"/>
      <c r="O189" s="19"/>
      <c r="P189" s="7"/>
      <c r="Q189" s="7"/>
      <c r="R189" s="7"/>
      <c r="S189" s="17"/>
    </row>
    <row r="190" ht="13.5" customHeight="1">
      <c r="A190" s="8" t="s">
        <v>1919</v>
      </c>
      <c r="B190" s="8" t="s">
        <v>34</v>
      </c>
      <c r="C190" s="8" t="s">
        <v>125</v>
      </c>
      <c r="D190" s="8" t="s">
        <v>492</v>
      </c>
      <c r="E190" s="9" t="s">
        <v>2163</v>
      </c>
      <c r="F190" s="8" t="s">
        <v>38</v>
      </c>
      <c r="G190" s="8" t="s">
        <v>343</v>
      </c>
      <c r="H190" s="8" t="s">
        <v>259</v>
      </c>
      <c r="I190" s="8" t="s">
        <v>91</v>
      </c>
      <c r="J190" s="8" t="s">
        <v>275</v>
      </c>
      <c r="K190" s="8" t="s">
        <v>29</v>
      </c>
      <c r="L190" s="17"/>
      <c r="M190" s="17"/>
      <c r="N190" s="18"/>
      <c r="O190" s="19"/>
      <c r="P190" s="8"/>
      <c r="Q190" s="7"/>
      <c r="R190" s="7"/>
      <c r="S190" s="17"/>
    </row>
    <row r="191" ht="13.5" customHeight="1">
      <c r="A191" s="8" t="s">
        <v>477</v>
      </c>
      <c r="B191" s="8" t="s">
        <v>34</v>
      </c>
      <c r="C191" s="8" t="s">
        <v>125</v>
      </c>
      <c r="D191" s="8" t="s">
        <v>2164</v>
      </c>
      <c r="E191" s="9" t="s">
        <v>2165</v>
      </c>
      <c r="F191" s="8" t="s">
        <v>38</v>
      </c>
      <c r="G191" s="8" t="s">
        <v>274</v>
      </c>
      <c r="H191" s="8" t="s">
        <v>259</v>
      </c>
      <c r="I191" s="8" t="s">
        <v>91</v>
      </c>
      <c r="J191" s="8" t="s">
        <v>275</v>
      </c>
      <c r="K191" s="8" t="s">
        <v>29</v>
      </c>
      <c r="L191" s="17"/>
      <c r="M191" s="17"/>
      <c r="N191" s="18"/>
      <c r="O191" s="19"/>
      <c r="P191" s="8"/>
      <c r="Q191" s="7"/>
      <c r="R191" s="7"/>
      <c r="S191" s="17"/>
    </row>
    <row r="192" ht="13.5" customHeight="1">
      <c r="A192" s="8" t="s">
        <v>2166</v>
      </c>
      <c r="B192" s="8" t="s">
        <v>34</v>
      </c>
      <c r="C192" s="8" t="s">
        <v>153</v>
      </c>
      <c r="D192" s="8" t="s">
        <v>1763</v>
      </c>
      <c r="E192" s="9" t="s">
        <v>1764</v>
      </c>
      <c r="F192" s="8" t="s">
        <v>38</v>
      </c>
      <c r="G192" s="8" t="s">
        <v>311</v>
      </c>
      <c r="H192" s="8" t="s">
        <v>259</v>
      </c>
      <c r="I192" s="8" t="s">
        <v>91</v>
      </c>
      <c r="J192" s="8" t="s">
        <v>275</v>
      </c>
      <c r="K192" s="8" t="s">
        <v>29</v>
      </c>
      <c r="L192" s="17"/>
      <c r="M192" s="17"/>
      <c r="N192" s="18"/>
      <c r="O192" s="19"/>
      <c r="P192" s="8"/>
      <c r="Q192" s="7"/>
      <c r="R192" s="7"/>
      <c r="S192" s="17"/>
    </row>
    <row r="193" ht="13.5" customHeight="1">
      <c r="A193" s="8" t="s">
        <v>2167</v>
      </c>
      <c r="B193" s="8" t="s">
        <v>34</v>
      </c>
      <c r="C193" s="8" t="s">
        <v>35</v>
      </c>
      <c r="D193" s="8" t="s">
        <v>36</v>
      </c>
      <c r="E193" s="9" t="s">
        <v>317</v>
      </c>
      <c r="F193" s="8" t="s">
        <v>38</v>
      </c>
      <c r="G193" s="8" t="s">
        <v>508</v>
      </c>
      <c r="H193" s="8" t="s">
        <v>259</v>
      </c>
      <c r="I193" s="8" t="s">
        <v>91</v>
      </c>
      <c r="J193" s="8" t="s">
        <v>275</v>
      </c>
      <c r="K193" s="8" t="s">
        <v>29</v>
      </c>
      <c r="L193" s="17"/>
      <c r="M193" s="17"/>
      <c r="N193" s="18"/>
      <c r="O193" s="19"/>
      <c r="P193" s="8"/>
      <c r="Q193" s="7"/>
      <c r="R193" s="7"/>
      <c r="S193" s="17"/>
    </row>
    <row r="194" ht="13.5" customHeight="1">
      <c r="A194" s="8"/>
      <c r="B194" s="8" t="s">
        <v>537</v>
      </c>
      <c r="C194" s="8" t="s">
        <v>537</v>
      </c>
      <c r="D194" s="8" t="s">
        <v>537</v>
      </c>
      <c r="E194" s="9" t="s">
        <v>537</v>
      </c>
      <c r="F194" s="8" t="s">
        <v>537</v>
      </c>
      <c r="G194" s="8" t="s">
        <v>537</v>
      </c>
      <c r="H194" s="8"/>
      <c r="I194" s="8"/>
      <c r="J194" s="8"/>
      <c r="K194" s="8" t="s">
        <v>537</v>
      </c>
      <c r="L194" s="17"/>
      <c r="M194" s="17"/>
      <c r="N194" s="18"/>
      <c r="O194" s="19"/>
      <c r="P194" s="8"/>
      <c r="Q194" s="7"/>
      <c r="R194" s="7"/>
      <c r="S194" s="17"/>
    </row>
    <row r="195" ht="13.5" customHeight="1">
      <c r="A195" s="8"/>
      <c r="B195" s="8" t="s">
        <v>537</v>
      </c>
      <c r="C195" s="8" t="s">
        <v>537</v>
      </c>
      <c r="D195" s="8" t="s">
        <v>537</v>
      </c>
      <c r="E195" s="9" t="s">
        <v>537</v>
      </c>
      <c r="F195" s="8" t="s">
        <v>537</v>
      </c>
      <c r="G195" s="8" t="s">
        <v>537</v>
      </c>
      <c r="H195" s="8"/>
      <c r="I195" s="8"/>
      <c r="J195" s="8"/>
      <c r="K195" s="8" t="s">
        <v>537</v>
      </c>
      <c r="L195" s="17"/>
      <c r="M195" s="17"/>
      <c r="N195" s="18"/>
      <c r="O195" s="19"/>
      <c r="P195" s="8"/>
      <c r="Q195" s="7"/>
      <c r="R195" s="7"/>
      <c r="S195" s="17"/>
    </row>
    <row r="196" ht="13.5" customHeight="1">
      <c r="A196" s="8"/>
      <c r="B196" s="8" t="s">
        <v>537</v>
      </c>
      <c r="C196" s="8" t="s">
        <v>537</v>
      </c>
      <c r="D196" s="8" t="s">
        <v>537</v>
      </c>
      <c r="E196" s="9" t="s">
        <v>537</v>
      </c>
      <c r="F196" s="8" t="s">
        <v>537</v>
      </c>
      <c r="G196" s="8" t="s">
        <v>537</v>
      </c>
      <c r="H196" s="8"/>
      <c r="I196" s="8"/>
      <c r="J196" s="8"/>
      <c r="K196" s="8" t="s">
        <v>537</v>
      </c>
      <c r="L196" s="17"/>
      <c r="M196" s="17"/>
      <c r="N196" s="18"/>
      <c r="O196" s="19"/>
      <c r="P196" s="8"/>
      <c r="Q196" s="7"/>
      <c r="R196" s="7"/>
      <c r="S196" s="17"/>
    </row>
    <row r="197" ht="13.5" customHeight="1">
      <c r="A197" s="8"/>
      <c r="B197" s="8" t="s">
        <v>537</v>
      </c>
      <c r="C197" s="8" t="s">
        <v>537</v>
      </c>
      <c r="D197" s="8" t="s">
        <v>537</v>
      </c>
      <c r="E197" s="9" t="s">
        <v>537</v>
      </c>
      <c r="F197" s="8" t="s">
        <v>537</v>
      </c>
      <c r="G197" s="8" t="s">
        <v>537</v>
      </c>
      <c r="H197" s="8"/>
      <c r="I197" s="8"/>
      <c r="J197" s="8"/>
      <c r="K197" s="8" t="s">
        <v>537</v>
      </c>
      <c r="L197" s="17"/>
      <c r="M197" s="17"/>
      <c r="N197" s="18"/>
      <c r="O197" s="19"/>
      <c r="P197" s="8"/>
      <c r="Q197" s="7"/>
      <c r="R197" s="7"/>
      <c r="S197" s="17"/>
    </row>
    <row r="198" ht="13.5" customHeight="1">
      <c r="A198" s="8"/>
      <c r="B198" s="8" t="s">
        <v>537</v>
      </c>
      <c r="C198" s="8" t="s">
        <v>537</v>
      </c>
      <c r="D198" s="8" t="s">
        <v>537</v>
      </c>
      <c r="E198" s="9" t="s">
        <v>537</v>
      </c>
      <c r="F198" s="8" t="s">
        <v>537</v>
      </c>
      <c r="G198" s="8" t="s">
        <v>537</v>
      </c>
      <c r="H198" s="8"/>
      <c r="I198" s="8"/>
      <c r="J198" s="8"/>
      <c r="K198" s="8" t="s">
        <v>537</v>
      </c>
      <c r="L198" s="17"/>
      <c r="M198" s="17"/>
      <c r="N198" s="18"/>
      <c r="O198" s="19"/>
      <c r="P198" s="8"/>
      <c r="Q198" s="7"/>
      <c r="R198" s="7"/>
      <c r="S198" s="17"/>
    </row>
    <row r="199" ht="13.5" customHeight="1">
      <c r="A199" s="8"/>
      <c r="B199" s="8" t="s">
        <v>537</v>
      </c>
      <c r="C199" s="8" t="s">
        <v>537</v>
      </c>
      <c r="D199" s="8" t="s">
        <v>537</v>
      </c>
      <c r="E199" s="9" t="s">
        <v>537</v>
      </c>
      <c r="F199" s="8" t="s">
        <v>537</v>
      </c>
      <c r="G199" s="8" t="s">
        <v>537</v>
      </c>
      <c r="H199" s="8"/>
      <c r="I199" s="8"/>
      <c r="J199" s="8"/>
      <c r="K199" s="8" t="s">
        <v>537</v>
      </c>
      <c r="L199" s="17"/>
      <c r="M199" s="17"/>
      <c r="N199" s="18"/>
      <c r="O199" s="19"/>
      <c r="P199" s="8"/>
      <c r="Q199" s="7"/>
      <c r="R199" s="7"/>
      <c r="S199" s="17"/>
    </row>
    <row r="200" ht="13.5" customHeight="1">
      <c r="A200" s="8"/>
      <c r="B200" s="8" t="s">
        <v>537</v>
      </c>
      <c r="C200" s="8" t="s">
        <v>537</v>
      </c>
      <c r="D200" s="8" t="s">
        <v>537</v>
      </c>
      <c r="E200" s="9" t="s">
        <v>537</v>
      </c>
      <c r="F200" s="8" t="s">
        <v>537</v>
      </c>
      <c r="G200" s="8" t="s">
        <v>537</v>
      </c>
      <c r="H200" s="8"/>
      <c r="I200" s="13"/>
      <c r="J200" s="13"/>
      <c r="K200" s="8" t="s">
        <v>537</v>
      </c>
      <c r="L200" s="17"/>
      <c r="M200" s="17"/>
      <c r="N200" s="18"/>
      <c r="O200" s="19"/>
      <c r="P200" s="8"/>
      <c r="Q200" s="7"/>
      <c r="R200" s="7"/>
      <c r="S200" s="17"/>
    </row>
    <row r="201" ht="13.5" customHeight="1">
      <c r="A201" s="8"/>
      <c r="B201" s="8" t="s">
        <v>537</v>
      </c>
      <c r="C201" s="8" t="s">
        <v>537</v>
      </c>
      <c r="D201" s="8" t="s">
        <v>537</v>
      </c>
      <c r="E201" s="9" t="s">
        <v>537</v>
      </c>
      <c r="F201" s="8" t="s">
        <v>537</v>
      </c>
      <c r="G201" s="8" t="s">
        <v>537</v>
      </c>
      <c r="H201" s="13"/>
      <c r="I201" s="13"/>
      <c r="J201" s="13"/>
      <c r="K201" s="8" t="s">
        <v>537</v>
      </c>
      <c r="L201" s="17"/>
      <c r="M201" s="17"/>
      <c r="N201" s="18"/>
      <c r="O201" s="19"/>
      <c r="P201" s="8"/>
      <c r="Q201" s="7"/>
      <c r="R201" s="7"/>
      <c r="S201" s="17"/>
    </row>
    <row r="202" ht="13.5" customHeight="1">
      <c r="A202" s="8"/>
      <c r="B202" s="8" t="s">
        <v>537</v>
      </c>
      <c r="C202" s="8" t="s">
        <v>537</v>
      </c>
      <c r="D202" s="8" t="s">
        <v>537</v>
      </c>
      <c r="E202" s="9" t="s">
        <v>537</v>
      </c>
      <c r="F202" s="8" t="s">
        <v>537</v>
      </c>
      <c r="G202" s="8" t="s">
        <v>537</v>
      </c>
      <c r="H202" s="8"/>
      <c r="I202" s="13"/>
      <c r="J202" s="13"/>
      <c r="K202" s="8" t="s">
        <v>537</v>
      </c>
      <c r="L202" s="17"/>
      <c r="M202" s="17"/>
      <c r="N202" s="18"/>
      <c r="O202" s="19"/>
      <c r="P202" s="8"/>
      <c r="Q202" s="7"/>
      <c r="R202" s="7"/>
      <c r="S202" s="17"/>
    </row>
    <row r="203" ht="13.5" customHeight="1">
      <c r="A203" s="8"/>
      <c r="B203" s="8" t="s">
        <v>537</v>
      </c>
      <c r="C203" s="8" t="s">
        <v>537</v>
      </c>
      <c r="D203" s="8" t="s">
        <v>537</v>
      </c>
      <c r="E203" s="9" t="s">
        <v>537</v>
      </c>
      <c r="F203" s="8" t="s">
        <v>537</v>
      </c>
      <c r="G203" s="8" t="s">
        <v>537</v>
      </c>
      <c r="H203" s="13"/>
      <c r="I203" s="13"/>
      <c r="J203" s="13"/>
      <c r="K203" s="8" t="s">
        <v>537</v>
      </c>
      <c r="L203" s="17"/>
      <c r="M203" s="17"/>
      <c r="N203" s="18"/>
      <c r="O203" s="19"/>
      <c r="P203" s="8"/>
      <c r="Q203" s="7"/>
      <c r="R203" s="7"/>
      <c r="S203" s="17"/>
    </row>
    <row r="204" ht="13.5" customHeight="1">
      <c r="A204" s="8" t="s">
        <v>33</v>
      </c>
      <c r="B204" s="8" t="s">
        <v>253</v>
      </c>
      <c r="C204" s="8" t="s">
        <v>254</v>
      </c>
      <c r="D204" s="8" t="s">
        <v>255</v>
      </c>
      <c r="E204" s="9" t="s">
        <v>256</v>
      </c>
      <c r="F204" s="8" t="s">
        <v>257</v>
      </c>
      <c r="G204" s="8" t="s">
        <v>258</v>
      </c>
      <c r="H204" s="8" t="s">
        <v>259</v>
      </c>
      <c r="I204" s="8" t="s">
        <v>260</v>
      </c>
      <c r="J204" s="8" t="s">
        <v>261</v>
      </c>
      <c r="K204" s="8" t="s">
        <v>29</v>
      </c>
      <c r="L204" s="17"/>
      <c r="M204" s="17"/>
      <c r="N204" s="18"/>
      <c r="O204" s="19"/>
      <c r="P204" s="7"/>
      <c r="Q204" s="7"/>
      <c r="R204" s="7"/>
      <c r="S204" s="17"/>
    </row>
    <row r="205" ht="13.5" customHeight="1">
      <c r="A205" s="8" t="s">
        <v>262</v>
      </c>
      <c r="B205" s="8" t="s">
        <v>253</v>
      </c>
      <c r="C205" s="8" t="s">
        <v>254</v>
      </c>
      <c r="D205" s="8" t="s">
        <v>255</v>
      </c>
      <c r="E205" s="9" t="s">
        <v>263</v>
      </c>
      <c r="F205" s="8" t="s">
        <v>257</v>
      </c>
      <c r="G205" s="8" t="s">
        <v>2147</v>
      </c>
      <c r="H205" s="8" t="s">
        <v>259</v>
      </c>
      <c r="I205" s="8" t="s">
        <v>260</v>
      </c>
      <c r="J205" s="8" t="s">
        <v>261</v>
      </c>
      <c r="K205" s="8" t="s">
        <v>29</v>
      </c>
      <c r="L205" s="17"/>
      <c r="M205" s="17"/>
      <c r="N205" s="18"/>
      <c r="O205" s="19"/>
      <c r="P205" s="7"/>
      <c r="Q205" s="7"/>
      <c r="R205" s="7"/>
      <c r="S205" s="17"/>
    </row>
    <row r="206" ht="13.5" customHeight="1">
      <c r="A206" s="8" t="s">
        <v>33</v>
      </c>
      <c r="B206" s="8" t="s">
        <v>34</v>
      </c>
      <c r="C206" s="8" t="s">
        <v>153</v>
      </c>
      <c r="D206" s="8" t="s">
        <v>154</v>
      </c>
      <c r="E206" s="9" t="s">
        <v>266</v>
      </c>
      <c r="F206" s="8" t="s">
        <v>267</v>
      </c>
      <c r="G206" s="8" t="s">
        <v>258</v>
      </c>
      <c r="H206" s="8" t="s">
        <v>259</v>
      </c>
      <c r="I206" s="8" t="s">
        <v>260</v>
      </c>
      <c r="J206" s="8" t="s">
        <v>261</v>
      </c>
      <c r="K206" s="8" t="s">
        <v>29</v>
      </c>
      <c r="L206" s="17"/>
      <c r="M206" s="17"/>
      <c r="N206" s="18"/>
      <c r="O206" s="19"/>
      <c r="P206" s="7"/>
      <c r="Q206" s="7"/>
      <c r="R206" s="7"/>
      <c r="S206" s="17"/>
    </row>
    <row r="207" ht="13.5" customHeight="1">
      <c r="A207" s="8" t="s">
        <v>33</v>
      </c>
      <c r="B207" s="8" t="s">
        <v>34</v>
      </c>
      <c r="C207" s="8" t="s">
        <v>153</v>
      </c>
      <c r="D207" s="8" t="s">
        <v>154</v>
      </c>
      <c r="E207" s="9" t="s">
        <v>268</v>
      </c>
      <c r="F207" s="8" t="s">
        <v>267</v>
      </c>
      <c r="G207" s="8" t="s">
        <v>2147</v>
      </c>
      <c r="H207" s="8" t="s">
        <v>259</v>
      </c>
      <c r="I207" s="8" t="s">
        <v>260</v>
      </c>
      <c r="J207" s="8" t="s">
        <v>261</v>
      </c>
      <c r="K207" s="8" t="s">
        <v>55</v>
      </c>
      <c r="L207" s="17"/>
      <c r="M207" s="17"/>
      <c r="N207" s="18"/>
      <c r="O207" s="19"/>
      <c r="P207" s="8" t="s">
        <v>2168</v>
      </c>
      <c r="Q207" s="7"/>
      <c r="R207" s="7"/>
      <c r="S207" s="17"/>
    </row>
    <row r="208" ht="13.5" customHeight="1">
      <c r="A208" s="8" t="s">
        <v>269</v>
      </c>
      <c r="B208" s="8" t="s">
        <v>67</v>
      </c>
      <c r="C208" s="8" t="s">
        <v>270</v>
      </c>
      <c r="D208" s="8" t="s">
        <v>271</v>
      </c>
      <c r="E208" s="9" t="s">
        <v>272</v>
      </c>
      <c r="F208" s="8" t="s">
        <v>273</v>
      </c>
      <c r="G208" s="8" t="s">
        <v>274</v>
      </c>
      <c r="H208" s="8" t="s">
        <v>259</v>
      </c>
      <c r="I208" s="8" t="s">
        <v>91</v>
      </c>
      <c r="J208" s="8" t="s">
        <v>275</v>
      </c>
      <c r="K208" s="8" t="s">
        <v>29</v>
      </c>
      <c r="L208" s="17"/>
      <c r="M208" s="17"/>
      <c r="N208" s="18"/>
      <c r="O208" s="19"/>
      <c r="P208" s="7"/>
      <c r="Q208" s="7"/>
      <c r="R208" s="7"/>
      <c r="S208" s="17"/>
    </row>
    <row r="209" ht="13.5" customHeight="1">
      <c r="A209" s="8" t="s">
        <v>276</v>
      </c>
      <c r="B209" s="8" t="s">
        <v>132</v>
      </c>
      <c r="C209" s="8" t="s">
        <v>270</v>
      </c>
      <c r="D209" s="8" t="s">
        <v>277</v>
      </c>
      <c r="E209" s="9" t="s">
        <v>278</v>
      </c>
      <c r="F209" s="8" t="s">
        <v>134</v>
      </c>
      <c r="G209" s="8" t="s">
        <v>274</v>
      </c>
      <c r="H209" s="8" t="s">
        <v>259</v>
      </c>
      <c r="I209" s="8" t="s">
        <v>91</v>
      </c>
      <c r="J209" s="8" t="s">
        <v>275</v>
      </c>
      <c r="K209" s="8" t="s">
        <v>29</v>
      </c>
      <c r="L209" s="17"/>
      <c r="M209" s="17"/>
      <c r="N209" s="18"/>
      <c r="O209" s="19"/>
      <c r="P209" s="7"/>
      <c r="Q209" s="7"/>
      <c r="R209" s="7"/>
      <c r="S209" s="17"/>
    </row>
    <row r="210" ht="13.5" customHeight="1">
      <c r="A210" s="8" t="s">
        <v>279</v>
      </c>
      <c r="B210" s="8" t="s">
        <v>253</v>
      </c>
      <c r="C210" s="8" t="s">
        <v>254</v>
      </c>
      <c r="D210" s="8" t="s">
        <v>255</v>
      </c>
      <c r="E210" s="9" t="s">
        <v>280</v>
      </c>
      <c r="F210" s="8" t="s">
        <v>281</v>
      </c>
      <c r="G210" s="8" t="s">
        <v>274</v>
      </c>
      <c r="H210" s="8" t="s">
        <v>259</v>
      </c>
      <c r="I210" s="8" t="s">
        <v>91</v>
      </c>
      <c r="J210" s="8" t="s">
        <v>275</v>
      </c>
      <c r="K210" s="8" t="s">
        <v>29</v>
      </c>
      <c r="L210" s="17"/>
      <c r="M210" s="17"/>
      <c r="N210" s="18"/>
      <c r="O210" s="19"/>
      <c r="P210" s="7"/>
      <c r="Q210" s="7"/>
      <c r="R210" s="7"/>
      <c r="S210" s="17"/>
    </row>
    <row r="211" ht="13.5" customHeight="1">
      <c r="A211" s="8" t="s">
        <v>282</v>
      </c>
      <c r="B211" s="8" t="s">
        <v>34</v>
      </c>
      <c r="C211" s="8" t="s">
        <v>223</v>
      </c>
      <c r="D211" s="8" t="s">
        <v>283</v>
      </c>
      <c r="E211" s="9" t="s">
        <v>284</v>
      </c>
      <c r="F211" s="8" t="s">
        <v>285</v>
      </c>
      <c r="G211" s="8" t="s">
        <v>274</v>
      </c>
      <c r="H211" s="8" t="s">
        <v>259</v>
      </c>
      <c r="I211" s="8" t="s">
        <v>91</v>
      </c>
      <c r="J211" s="8" t="s">
        <v>275</v>
      </c>
      <c r="K211" s="8" t="s">
        <v>55</v>
      </c>
      <c r="L211" s="17"/>
      <c r="M211" s="17"/>
      <c r="N211" s="18"/>
      <c r="O211" s="19"/>
      <c r="P211" s="8" t="s">
        <v>2169</v>
      </c>
      <c r="Q211" s="7"/>
      <c r="R211" s="7"/>
      <c r="S211" s="17"/>
    </row>
    <row r="212" ht="13.5" customHeight="1">
      <c r="A212" s="8" t="s">
        <v>33</v>
      </c>
      <c r="B212" s="8" t="s">
        <v>286</v>
      </c>
      <c r="C212" s="8" t="s">
        <v>287</v>
      </c>
      <c r="D212" s="8" t="s">
        <v>288</v>
      </c>
      <c r="E212" s="9" t="s">
        <v>288</v>
      </c>
      <c r="F212" s="8" t="s">
        <v>289</v>
      </c>
      <c r="G212" s="8" t="s">
        <v>274</v>
      </c>
      <c r="H212" s="8" t="s">
        <v>259</v>
      </c>
      <c r="I212" s="8" t="s">
        <v>91</v>
      </c>
      <c r="J212" s="8" t="s">
        <v>275</v>
      </c>
      <c r="K212" s="8" t="s">
        <v>55</v>
      </c>
      <c r="L212" s="17"/>
      <c r="M212" s="17"/>
      <c r="N212" s="18"/>
      <c r="O212" s="19"/>
      <c r="P212" s="7"/>
      <c r="Q212" s="7"/>
      <c r="R212" s="7"/>
      <c r="S212" s="17"/>
    </row>
    <row r="213" ht="13.5" customHeight="1">
      <c r="A213" s="8" t="s">
        <v>33</v>
      </c>
      <c r="B213" s="8" t="s">
        <v>290</v>
      </c>
      <c r="C213" s="8" t="s">
        <v>291</v>
      </c>
      <c r="D213" s="8" t="s">
        <v>292</v>
      </c>
      <c r="E213" s="9" t="s">
        <v>33</v>
      </c>
      <c r="F213" s="8" t="s">
        <v>293</v>
      </c>
      <c r="G213" s="8" t="s">
        <v>84</v>
      </c>
      <c r="H213" s="8" t="s">
        <v>259</v>
      </c>
      <c r="I213" s="8" t="s">
        <v>260</v>
      </c>
      <c r="J213" s="8" t="s">
        <v>294</v>
      </c>
      <c r="K213" s="8" t="s">
        <v>55</v>
      </c>
      <c r="L213" s="17"/>
      <c r="M213" s="17"/>
      <c r="N213" s="18"/>
      <c r="O213" s="19"/>
      <c r="P213" s="8" t="s">
        <v>2169</v>
      </c>
      <c r="Q213" s="7"/>
      <c r="R213" s="7"/>
      <c r="S213" s="17"/>
    </row>
    <row r="214" ht="13.5" customHeight="1">
      <c r="A214" s="8" t="s">
        <v>295</v>
      </c>
      <c r="B214" s="8" t="s">
        <v>167</v>
      </c>
      <c r="C214" s="8" t="s">
        <v>296</v>
      </c>
      <c r="D214" s="8" t="s">
        <v>297</v>
      </c>
      <c r="E214" s="9" t="s">
        <v>298</v>
      </c>
      <c r="F214" s="8" t="s">
        <v>299</v>
      </c>
      <c r="G214" s="8" t="s">
        <v>274</v>
      </c>
      <c r="H214" s="8" t="s">
        <v>259</v>
      </c>
      <c r="I214" s="8" t="s">
        <v>91</v>
      </c>
      <c r="J214" s="8" t="s">
        <v>275</v>
      </c>
      <c r="K214" s="8" t="s">
        <v>29</v>
      </c>
      <c r="L214" s="17"/>
      <c r="M214" s="17"/>
      <c r="N214" s="18"/>
      <c r="O214" s="19"/>
      <c r="P214" s="7"/>
      <c r="Q214" s="7"/>
      <c r="R214" s="7"/>
      <c r="S214" s="17"/>
    </row>
    <row r="215" ht="13.5" customHeight="1">
      <c r="A215" s="8" t="s">
        <v>300</v>
      </c>
      <c r="B215" s="8" t="s">
        <v>301</v>
      </c>
      <c r="C215" s="8" t="s">
        <v>296</v>
      </c>
      <c r="D215" s="8" t="s">
        <v>302</v>
      </c>
      <c r="E215" s="9" t="s">
        <v>303</v>
      </c>
      <c r="F215" s="8" t="s">
        <v>304</v>
      </c>
      <c r="G215" s="8" t="s">
        <v>274</v>
      </c>
      <c r="H215" s="8" t="s">
        <v>259</v>
      </c>
      <c r="I215" s="8" t="s">
        <v>91</v>
      </c>
      <c r="J215" s="8" t="s">
        <v>275</v>
      </c>
      <c r="K215" s="8" t="s">
        <v>29</v>
      </c>
      <c r="L215" s="17"/>
      <c r="M215" s="17"/>
      <c r="N215" s="18"/>
      <c r="O215" s="19"/>
      <c r="P215" s="7"/>
      <c r="Q215" s="7"/>
      <c r="R215" s="7"/>
      <c r="S215" s="17"/>
    </row>
    <row r="216" ht="13.5" customHeight="1">
      <c r="A216" s="8" t="s">
        <v>33</v>
      </c>
      <c r="B216" s="8" t="s">
        <v>305</v>
      </c>
      <c r="C216" s="8" t="s">
        <v>288</v>
      </c>
      <c r="D216" s="8" t="s">
        <v>288</v>
      </c>
      <c r="E216" s="9" t="s">
        <v>288</v>
      </c>
      <c r="F216" s="8" t="s">
        <v>306</v>
      </c>
      <c r="G216" s="8" t="s">
        <v>274</v>
      </c>
      <c r="H216" s="8" t="s">
        <v>259</v>
      </c>
      <c r="I216" s="8" t="s">
        <v>91</v>
      </c>
      <c r="J216" s="8" t="s">
        <v>275</v>
      </c>
      <c r="K216" s="8" t="s">
        <v>29</v>
      </c>
      <c r="L216" s="17"/>
      <c r="M216" s="17"/>
      <c r="N216" s="18"/>
      <c r="O216" s="19"/>
      <c r="P216" s="7"/>
      <c r="Q216" s="7"/>
      <c r="R216" s="7"/>
      <c r="S216" s="17"/>
    </row>
    <row r="217" ht="13.5" customHeight="1">
      <c r="A217" s="8" t="s">
        <v>307</v>
      </c>
      <c r="B217" s="8" t="s">
        <v>67</v>
      </c>
      <c r="C217" s="8" t="s">
        <v>270</v>
      </c>
      <c r="D217" s="8" t="s">
        <v>308</v>
      </c>
      <c r="E217" s="9" t="s">
        <v>309</v>
      </c>
      <c r="F217" s="8" t="s">
        <v>310</v>
      </c>
      <c r="G217" s="8" t="s">
        <v>311</v>
      </c>
      <c r="H217" s="8" t="s">
        <v>259</v>
      </c>
      <c r="I217" s="8" t="s">
        <v>91</v>
      </c>
      <c r="J217" s="8" t="s">
        <v>275</v>
      </c>
      <c r="K217" s="8" t="s">
        <v>117</v>
      </c>
      <c r="L217" s="17"/>
      <c r="M217" s="17"/>
      <c r="N217" s="18"/>
      <c r="O217" s="19"/>
      <c r="P217" s="8" t="s">
        <v>2170</v>
      </c>
      <c r="Q217" s="7"/>
      <c r="R217" s="7"/>
      <c r="S217" s="17"/>
    </row>
    <row r="218" ht="13.5" customHeight="1">
      <c r="A218" s="8" t="s">
        <v>312</v>
      </c>
      <c r="B218" s="8" t="s">
        <v>132</v>
      </c>
      <c r="C218" s="8" t="s">
        <v>270</v>
      </c>
      <c r="D218" s="8" t="s">
        <v>277</v>
      </c>
      <c r="E218" s="9" t="s">
        <v>313</v>
      </c>
      <c r="F218" s="8" t="s">
        <v>134</v>
      </c>
      <c r="G218" s="8" t="s">
        <v>311</v>
      </c>
      <c r="H218" s="8" t="s">
        <v>259</v>
      </c>
      <c r="I218" s="8" t="s">
        <v>91</v>
      </c>
      <c r="J218" s="8" t="s">
        <v>275</v>
      </c>
      <c r="K218" s="8" t="s">
        <v>29</v>
      </c>
      <c r="L218" s="17"/>
      <c r="M218" s="17"/>
      <c r="N218" s="18"/>
      <c r="O218" s="19"/>
      <c r="P218" s="7"/>
      <c r="Q218" s="7"/>
      <c r="R218" s="7"/>
      <c r="S218" s="17"/>
    </row>
    <row r="219" ht="13.5" customHeight="1">
      <c r="A219" s="8" t="s">
        <v>314</v>
      </c>
      <c r="B219" s="8" t="s">
        <v>253</v>
      </c>
      <c r="C219" s="8" t="s">
        <v>254</v>
      </c>
      <c r="D219" s="8" t="s">
        <v>255</v>
      </c>
      <c r="E219" s="9" t="s">
        <v>315</v>
      </c>
      <c r="F219" s="8" t="s">
        <v>281</v>
      </c>
      <c r="G219" s="8" t="s">
        <v>311</v>
      </c>
      <c r="H219" s="8" t="s">
        <v>259</v>
      </c>
      <c r="I219" s="8" t="s">
        <v>91</v>
      </c>
      <c r="J219" s="8" t="s">
        <v>275</v>
      </c>
      <c r="K219" s="8" t="s">
        <v>29</v>
      </c>
      <c r="L219" s="17"/>
      <c r="M219" s="17"/>
      <c r="N219" s="18"/>
      <c r="O219" s="19"/>
      <c r="P219" s="7"/>
      <c r="Q219" s="7"/>
      <c r="R219" s="7"/>
      <c r="S219" s="17"/>
    </row>
    <row r="220" ht="13.5" customHeight="1">
      <c r="A220" s="8" t="s">
        <v>33</v>
      </c>
      <c r="B220" s="8" t="s">
        <v>34</v>
      </c>
      <c r="C220" s="8" t="s">
        <v>35</v>
      </c>
      <c r="D220" s="8" t="s">
        <v>316</v>
      </c>
      <c r="E220" s="9" t="s">
        <v>317</v>
      </c>
      <c r="F220" s="8" t="s">
        <v>267</v>
      </c>
      <c r="G220" s="8" t="s">
        <v>311</v>
      </c>
      <c r="H220" s="8" t="s">
        <v>259</v>
      </c>
      <c r="I220" s="8" t="s">
        <v>91</v>
      </c>
      <c r="J220" s="8" t="s">
        <v>275</v>
      </c>
      <c r="K220" s="8" t="s">
        <v>55</v>
      </c>
      <c r="L220" s="17"/>
      <c r="M220" s="17"/>
      <c r="N220" s="18"/>
      <c r="O220" s="19"/>
      <c r="P220" s="7"/>
      <c r="Q220" s="7"/>
      <c r="R220" s="7"/>
      <c r="S220" s="17"/>
    </row>
    <row r="221" ht="13.5" customHeight="1">
      <c r="A221" s="8" t="s">
        <v>33</v>
      </c>
      <c r="B221" s="8" t="s">
        <v>286</v>
      </c>
      <c r="C221" s="8" t="s">
        <v>287</v>
      </c>
      <c r="D221" s="8" t="s">
        <v>288</v>
      </c>
      <c r="E221" s="9" t="s">
        <v>288</v>
      </c>
      <c r="F221" s="8" t="s">
        <v>289</v>
      </c>
      <c r="G221" s="8" t="s">
        <v>311</v>
      </c>
      <c r="H221" s="8" t="s">
        <v>259</v>
      </c>
      <c r="I221" s="8" t="s">
        <v>91</v>
      </c>
      <c r="J221" s="8" t="s">
        <v>275</v>
      </c>
      <c r="K221" s="8" t="s">
        <v>29</v>
      </c>
      <c r="L221" s="17"/>
      <c r="M221" s="17"/>
      <c r="N221" s="18"/>
      <c r="O221" s="19"/>
      <c r="P221" s="7"/>
      <c r="Q221" s="7"/>
      <c r="R221" s="7"/>
      <c r="S221" s="17"/>
    </row>
    <row r="222" ht="13.5" customHeight="1">
      <c r="A222" s="8" t="s">
        <v>33</v>
      </c>
      <c r="B222" s="8" t="s">
        <v>290</v>
      </c>
      <c r="C222" s="8" t="s">
        <v>291</v>
      </c>
      <c r="D222" s="8" t="s">
        <v>292</v>
      </c>
      <c r="E222" s="9" t="s">
        <v>318</v>
      </c>
      <c r="F222" s="8" t="s">
        <v>293</v>
      </c>
      <c r="G222" s="8" t="s">
        <v>311</v>
      </c>
      <c r="H222" s="8" t="s">
        <v>259</v>
      </c>
      <c r="I222" s="8" t="s">
        <v>91</v>
      </c>
      <c r="J222" s="8" t="s">
        <v>275</v>
      </c>
      <c r="K222" s="8" t="s">
        <v>55</v>
      </c>
      <c r="L222" s="17"/>
      <c r="M222" s="17"/>
      <c r="N222" s="18"/>
      <c r="O222" s="19"/>
      <c r="P222" s="7"/>
      <c r="Q222" s="7"/>
      <c r="R222" s="7"/>
      <c r="S222" s="17"/>
    </row>
    <row r="223" ht="13.5" customHeight="1">
      <c r="A223" s="8" t="s">
        <v>33</v>
      </c>
      <c r="B223" s="8" t="s">
        <v>98</v>
      </c>
      <c r="C223" s="8" t="s">
        <v>99</v>
      </c>
      <c r="D223" s="8" t="s">
        <v>100</v>
      </c>
      <c r="E223" s="9" t="s">
        <v>319</v>
      </c>
      <c r="F223" s="8" t="s">
        <v>320</v>
      </c>
      <c r="G223" s="8" t="s">
        <v>311</v>
      </c>
      <c r="H223" s="8" t="s">
        <v>259</v>
      </c>
      <c r="I223" s="8" t="s">
        <v>91</v>
      </c>
      <c r="J223" s="8" t="s">
        <v>275</v>
      </c>
      <c r="K223" s="8" t="s">
        <v>29</v>
      </c>
      <c r="L223" s="17"/>
      <c r="M223" s="17"/>
      <c r="N223" s="18"/>
      <c r="O223" s="19"/>
      <c r="P223" s="7"/>
      <c r="Q223" s="7"/>
      <c r="R223" s="7"/>
      <c r="S223" s="17"/>
    </row>
    <row r="224" ht="13.5" customHeight="1">
      <c r="A224" s="8" t="s">
        <v>33</v>
      </c>
      <c r="B224" s="8" t="s">
        <v>167</v>
      </c>
      <c r="C224" s="8" t="s">
        <v>296</v>
      </c>
      <c r="D224" s="8" t="s">
        <v>297</v>
      </c>
      <c r="E224" s="9" t="s">
        <v>321</v>
      </c>
      <c r="F224" s="8" t="s">
        <v>322</v>
      </c>
      <c r="G224" s="8" t="s">
        <v>311</v>
      </c>
      <c r="H224" s="8" t="s">
        <v>259</v>
      </c>
      <c r="I224" s="8" t="s">
        <v>91</v>
      </c>
      <c r="J224" s="8" t="s">
        <v>275</v>
      </c>
      <c r="K224" s="8" t="s">
        <v>29</v>
      </c>
      <c r="L224" s="17"/>
      <c r="M224" s="17"/>
      <c r="N224" s="18"/>
      <c r="O224" s="19"/>
      <c r="P224" s="7"/>
      <c r="Q224" s="7"/>
      <c r="R224" s="7"/>
      <c r="S224" s="17"/>
    </row>
    <row r="225" ht="13.5" customHeight="1">
      <c r="A225" s="8" t="s">
        <v>33</v>
      </c>
      <c r="B225" s="8" t="s">
        <v>301</v>
      </c>
      <c r="C225" s="8" t="s">
        <v>296</v>
      </c>
      <c r="D225" s="8" t="s">
        <v>323</v>
      </c>
      <c r="E225" s="9" t="s">
        <v>324</v>
      </c>
      <c r="F225" s="8" t="s">
        <v>304</v>
      </c>
      <c r="G225" s="8" t="s">
        <v>311</v>
      </c>
      <c r="H225" s="8" t="s">
        <v>259</v>
      </c>
      <c r="I225" s="8" t="s">
        <v>91</v>
      </c>
      <c r="J225" s="8" t="s">
        <v>275</v>
      </c>
      <c r="K225" s="8" t="s">
        <v>29</v>
      </c>
      <c r="L225" s="17"/>
      <c r="M225" s="17"/>
      <c r="N225" s="18"/>
      <c r="O225" s="19"/>
      <c r="P225" s="7"/>
      <c r="Q225" s="7"/>
      <c r="R225" s="7"/>
      <c r="S225" s="17"/>
    </row>
    <row r="226" ht="13.5" customHeight="1">
      <c r="A226" s="8" t="s">
        <v>33</v>
      </c>
      <c r="B226" s="8" t="s">
        <v>305</v>
      </c>
      <c r="C226" s="8" t="s">
        <v>288</v>
      </c>
      <c r="D226" s="8" t="s">
        <v>288</v>
      </c>
      <c r="E226" s="9" t="s">
        <v>288</v>
      </c>
      <c r="F226" s="8" t="s">
        <v>306</v>
      </c>
      <c r="G226" s="8" t="s">
        <v>311</v>
      </c>
      <c r="H226" s="8" t="s">
        <v>259</v>
      </c>
      <c r="I226" s="8" t="s">
        <v>91</v>
      </c>
      <c r="J226" s="8" t="s">
        <v>275</v>
      </c>
      <c r="K226" s="8" t="s">
        <v>29</v>
      </c>
      <c r="L226" s="17"/>
      <c r="M226" s="17"/>
      <c r="N226" s="18"/>
      <c r="O226" s="19"/>
      <c r="P226" s="7"/>
      <c r="Q226" s="7"/>
      <c r="R226" s="7"/>
      <c r="S226" s="17"/>
    </row>
    <row r="227" ht="13.5" customHeight="1">
      <c r="A227" s="8" t="s">
        <v>33</v>
      </c>
      <c r="B227" s="8" t="s">
        <v>325</v>
      </c>
      <c r="C227" s="8" t="s">
        <v>288</v>
      </c>
      <c r="D227" s="8" t="s">
        <v>288</v>
      </c>
      <c r="E227" s="9" t="s">
        <v>288</v>
      </c>
      <c r="F227" s="8" t="s">
        <v>326</v>
      </c>
      <c r="G227" s="8" t="s">
        <v>311</v>
      </c>
      <c r="H227" s="8" t="s">
        <v>259</v>
      </c>
      <c r="I227" s="8" t="s">
        <v>91</v>
      </c>
      <c r="J227" s="8" t="s">
        <v>275</v>
      </c>
      <c r="K227" s="8" t="s">
        <v>29</v>
      </c>
      <c r="L227" s="17"/>
      <c r="M227" s="17"/>
      <c r="N227" s="18"/>
      <c r="O227" s="19"/>
      <c r="P227" s="7"/>
      <c r="Q227" s="7"/>
      <c r="R227" s="7"/>
      <c r="S227" s="17"/>
    </row>
    <row r="228" ht="13.5" customHeight="1">
      <c r="A228" s="8" t="s">
        <v>327</v>
      </c>
      <c r="B228" s="8" t="s">
        <v>67</v>
      </c>
      <c r="C228" s="8" t="s">
        <v>270</v>
      </c>
      <c r="D228" s="8" t="s">
        <v>308</v>
      </c>
      <c r="E228" s="9" t="s">
        <v>328</v>
      </c>
      <c r="F228" s="8" t="s">
        <v>310</v>
      </c>
      <c r="G228" s="8" t="s">
        <v>329</v>
      </c>
      <c r="H228" s="8" t="s">
        <v>259</v>
      </c>
      <c r="I228" s="8" t="s">
        <v>91</v>
      </c>
      <c r="J228" s="8" t="s">
        <v>275</v>
      </c>
      <c r="K228" s="8" t="s">
        <v>29</v>
      </c>
      <c r="L228" s="17"/>
      <c r="M228" s="17"/>
      <c r="N228" s="18"/>
      <c r="O228" s="19"/>
      <c r="P228" s="7"/>
      <c r="Q228" s="7"/>
      <c r="R228" s="7"/>
      <c r="S228" s="17"/>
    </row>
    <row r="229" ht="13.5" customHeight="1">
      <c r="A229" s="8" t="s">
        <v>330</v>
      </c>
      <c r="B229" s="8" t="s">
        <v>132</v>
      </c>
      <c r="C229" s="8" t="s">
        <v>331</v>
      </c>
      <c r="D229" s="8" t="s">
        <v>332</v>
      </c>
      <c r="E229" s="9" t="s">
        <v>333</v>
      </c>
      <c r="F229" s="8" t="s">
        <v>134</v>
      </c>
      <c r="G229" s="8" t="s">
        <v>329</v>
      </c>
      <c r="H229" s="8" t="s">
        <v>259</v>
      </c>
      <c r="I229" s="8" t="s">
        <v>91</v>
      </c>
      <c r="J229" s="8" t="s">
        <v>275</v>
      </c>
      <c r="K229" s="8" t="s">
        <v>29</v>
      </c>
      <c r="L229" s="17"/>
      <c r="M229" s="17"/>
      <c r="N229" s="18"/>
      <c r="O229" s="19"/>
      <c r="P229" s="7"/>
      <c r="Q229" s="7"/>
      <c r="R229" s="7"/>
      <c r="S229" s="17"/>
    </row>
    <row r="230" ht="13.5" customHeight="1">
      <c r="A230" s="8" t="s">
        <v>334</v>
      </c>
      <c r="B230" s="8" t="s">
        <v>253</v>
      </c>
      <c r="C230" s="8" t="s">
        <v>254</v>
      </c>
      <c r="D230" s="8" t="s">
        <v>255</v>
      </c>
      <c r="E230" s="9" t="s">
        <v>335</v>
      </c>
      <c r="F230" s="8" t="s">
        <v>281</v>
      </c>
      <c r="G230" s="8" t="s">
        <v>329</v>
      </c>
      <c r="H230" s="8" t="s">
        <v>259</v>
      </c>
      <c r="I230" s="8" t="s">
        <v>91</v>
      </c>
      <c r="J230" s="8" t="s">
        <v>275</v>
      </c>
      <c r="K230" s="8" t="s">
        <v>29</v>
      </c>
      <c r="L230" s="17"/>
      <c r="M230" s="17"/>
      <c r="N230" s="18"/>
      <c r="O230" s="19"/>
      <c r="P230" s="7"/>
      <c r="Q230" s="7"/>
      <c r="R230" s="7"/>
      <c r="S230" s="17"/>
    </row>
    <row r="231" ht="13.5" customHeight="1">
      <c r="A231" s="8" t="s">
        <v>336</v>
      </c>
      <c r="B231" s="8" t="s">
        <v>34</v>
      </c>
      <c r="C231" s="8" t="s">
        <v>153</v>
      </c>
      <c r="D231" s="8" t="s">
        <v>154</v>
      </c>
      <c r="E231" s="9" t="s">
        <v>337</v>
      </c>
      <c r="F231" s="8" t="s">
        <v>267</v>
      </c>
      <c r="G231" s="8" t="s">
        <v>329</v>
      </c>
      <c r="H231" s="8" t="s">
        <v>259</v>
      </c>
      <c r="I231" s="8" t="s">
        <v>91</v>
      </c>
      <c r="J231" s="8" t="s">
        <v>275</v>
      </c>
      <c r="K231" s="8" t="s">
        <v>55</v>
      </c>
      <c r="L231" s="17"/>
      <c r="M231" s="17"/>
      <c r="N231" s="18"/>
      <c r="O231" s="19"/>
      <c r="P231" s="7"/>
      <c r="Q231" s="7"/>
      <c r="R231" s="7"/>
      <c r="S231" s="17"/>
    </row>
    <row r="232" ht="13.5" customHeight="1">
      <c r="A232" s="8" t="s">
        <v>338</v>
      </c>
      <c r="B232" s="8" t="s">
        <v>290</v>
      </c>
      <c r="C232" s="8" t="s">
        <v>291</v>
      </c>
      <c r="D232" s="8" t="s">
        <v>292</v>
      </c>
      <c r="E232" s="9" t="s">
        <v>33</v>
      </c>
      <c r="F232" s="8" t="s">
        <v>293</v>
      </c>
      <c r="G232" s="8" t="s">
        <v>84</v>
      </c>
      <c r="H232" s="8" t="s">
        <v>259</v>
      </c>
      <c r="I232" s="8" t="s">
        <v>260</v>
      </c>
      <c r="J232" s="8" t="s">
        <v>294</v>
      </c>
      <c r="K232" s="8" t="s">
        <v>55</v>
      </c>
      <c r="L232" s="17"/>
      <c r="M232" s="17"/>
      <c r="N232" s="18"/>
      <c r="O232" s="19"/>
      <c r="P232" s="7"/>
      <c r="Q232" s="7"/>
      <c r="R232" s="7"/>
      <c r="S232" s="17"/>
    </row>
    <row r="233" ht="13.5" customHeight="1">
      <c r="A233" s="8" t="s">
        <v>33</v>
      </c>
      <c r="B233" s="8" t="s">
        <v>286</v>
      </c>
      <c r="C233" s="8" t="s">
        <v>287</v>
      </c>
      <c r="D233" s="8" t="s">
        <v>288</v>
      </c>
      <c r="E233" s="9" t="s">
        <v>288</v>
      </c>
      <c r="F233" s="8" t="s">
        <v>289</v>
      </c>
      <c r="G233" s="8" t="s">
        <v>329</v>
      </c>
      <c r="H233" s="8" t="s">
        <v>259</v>
      </c>
      <c r="I233" s="8" t="s">
        <v>91</v>
      </c>
      <c r="J233" s="8" t="s">
        <v>275</v>
      </c>
      <c r="K233" s="8" t="s">
        <v>29</v>
      </c>
      <c r="L233" s="17"/>
      <c r="M233" s="17"/>
      <c r="N233" s="18"/>
      <c r="O233" s="19"/>
      <c r="P233" s="7"/>
      <c r="Q233" s="7"/>
      <c r="R233" s="7"/>
      <c r="S233" s="17"/>
    </row>
    <row r="234" ht="13.5" customHeight="1">
      <c r="A234" s="8" t="s">
        <v>33</v>
      </c>
      <c r="B234" s="8" t="s">
        <v>167</v>
      </c>
      <c r="C234" s="8" t="s">
        <v>296</v>
      </c>
      <c r="D234" s="8" t="s">
        <v>297</v>
      </c>
      <c r="E234" s="9" t="s">
        <v>339</v>
      </c>
      <c r="F234" s="8" t="s">
        <v>299</v>
      </c>
      <c r="G234" s="8" t="s">
        <v>329</v>
      </c>
      <c r="H234" s="8" t="s">
        <v>259</v>
      </c>
      <c r="I234" s="8" t="s">
        <v>91</v>
      </c>
      <c r="J234" s="8" t="s">
        <v>275</v>
      </c>
      <c r="K234" s="8" t="s">
        <v>29</v>
      </c>
      <c r="L234" s="17"/>
      <c r="M234" s="17"/>
      <c r="N234" s="18"/>
      <c r="O234" s="19"/>
      <c r="P234" s="7"/>
      <c r="Q234" s="7"/>
      <c r="R234" s="7"/>
      <c r="S234" s="17"/>
    </row>
    <row r="235" ht="13.5" customHeight="1">
      <c r="A235" s="8" t="s">
        <v>33</v>
      </c>
      <c r="B235" s="8" t="s">
        <v>301</v>
      </c>
      <c r="C235" s="8" t="s">
        <v>296</v>
      </c>
      <c r="D235" s="8" t="s">
        <v>323</v>
      </c>
      <c r="E235" s="9" t="s">
        <v>340</v>
      </c>
      <c r="F235" s="8" t="s">
        <v>304</v>
      </c>
      <c r="G235" s="8" t="s">
        <v>329</v>
      </c>
      <c r="H235" s="8" t="s">
        <v>259</v>
      </c>
      <c r="I235" s="8" t="s">
        <v>91</v>
      </c>
      <c r="J235" s="8" t="s">
        <v>275</v>
      </c>
      <c r="K235" s="8" t="s">
        <v>29</v>
      </c>
      <c r="L235" s="17"/>
      <c r="M235" s="17"/>
      <c r="N235" s="18"/>
      <c r="O235" s="19"/>
      <c r="P235" s="7"/>
      <c r="Q235" s="7"/>
      <c r="R235" s="7"/>
      <c r="S235" s="17"/>
    </row>
    <row r="236" ht="13.5" customHeight="1">
      <c r="A236" s="8" t="s">
        <v>33</v>
      </c>
      <c r="B236" s="8" t="s">
        <v>305</v>
      </c>
      <c r="C236" s="8" t="s">
        <v>288</v>
      </c>
      <c r="D236" s="8" t="s">
        <v>288</v>
      </c>
      <c r="E236" s="9" t="s">
        <v>288</v>
      </c>
      <c r="F236" s="8" t="s">
        <v>306</v>
      </c>
      <c r="G236" s="8" t="s">
        <v>329</v>
      </c>
      <c r="H236" s="8" t="s">
        <v>259</v>
      </c>
      <c r="I236" s="8" t="s">
        <v>91</v>
      </c>
      <c r="J236" s="8" t="s">
        <v>275</v>
      </c>
      <c r="K236" s="8" t="s">
        <v>29</v>
      </c>
      <c r="L236" s="17"/>
      <c r="M236" s="17"/>
      <c r="N236" s="18"/>
      <c r="O236" s="19"/>
      <c r="P236" s="7"/>
      <c r="Q236" s="7"/>
      <c r="R236" s="7"/>
      <c r="S236" s="17"/>
    </row>
    <row r="237" ht="13.5" customHeight="1">
      <c r="A237" s="8" t="s">
        <v>33</v>
      </c>
      <c r="B237" s="8" t="s">
        <v>325</v>
      </c>
      <c r="C237" s="8" t="s">
        <v>288</v>
      </c>
      <c r="D237" s="8" t="s">
        <v>288</v>
      </c>
      <c r="E237" s="9" t="s">
        <v>288</v>
      </c>
      <c r="F237" s="8" t="s">
        <v>326</v>
      </c>
      <c r="G237" s="8" t="s">
        <v>329</v>
      </c>
      <c r="H237" s="8" t="s">
        <v>259</v>
      </c>
      <c r="I237" s="8" t="s">
        <v>91</v>
      </c>
      <c r="J237" s="8" t="s">
        <v>275</v>
      </c>
      <c r="K237" s="8" t="s">
        <v>29</v>
      </c>
      <c r="L237" s="17"/>
      <c r="M237" s="17"/>
      <c r="N237" s="18"/>
      <c r="O237" s="19"/>
      <c r="P237" s="7"/>
      <c r="Q237" s="7"/>
      <c r="R237" s="7"/>
      <c r="S237" s="17"/>
    </row>
    <row r="238" ht="13.5" customHeight="1">
      <c r="A238" s="8" t="s">
        <v>341</v>
      </c>
      <c r="B238" s="8" t="s">
        <v>56</v>
      </c>
      <c r="C238" s="8" t="s">
        <v>288</v>
      </c>
      <c r="D238" s="8" t="s">
        <v>288</v>
      </c>
      <c r="E238" s="9" t="s">
        <v>288</v>
      </c>
      <c r="F238" s="8" t="s">
        <v>342</v>
      </c>
      <c r="G238" s="8" t="s">
        <v>343</v>
      </c>
      <c r="H238" s="8" t="s">
        <v>259</v>
      </c>
      <c r="I238" s="8" t="s">
        <v>91</v>
      </c>
      <c r="J238" s="8" t="s">
        <v>275</v>
      </c>
      <c r="K238" s="8" t="s">
        <v>29</v>
      </c>
      <c r="L238" s="17"/>
      <c r="M238" s="17"/>
      <c r="N238" s="18"/>
      <c r="O238" s="19"/>
      <c r="P238" s="7"/>
      <c r="Q238" s="7"/>
      <c r="R238" s="7"/>
      <c r="S238" s="17"/>
    </row>
    <row r="239" ht="13.5" customHeight="1">
      <c r="A239" s="8" t="s">
        <v>344</v>
      </c>
      <c r="B239" s="8" t="s">
        <v>98</v>
      </c>
      <c r="C239" s="8" t="s">
        <v>145</v>
      </c>
      <c r="D239" s="8" t="s">
        <v>345</v>
      </c>
      <c r="E239" s="9" t="s">
        <v>346</v>
      </c>
      <c r="F239" s="8" t="s">
        <v>51</v>
      </c>
      <c r="G239" s="8" t="s">
        <v>343</v>
      </c>
      <c r="H239" s="8" t="s">
        <v>259</v>
      </c>
      <c r="I239" s="8" t="s">
        <v>91</v>
      </c>
      <c r="J239" s="8" t="s">
        <v>275</v>
      </c>
      <c r="K239" s="8" t="s">
        <v>29</v>
      </c>
      <c r="L239" s="17"/>
      <c r="M239" s="17"/>
      <c r="N239" s="18"/>
      <c r="O239" s="19"/>
      <c r="P239" s="7"/>
      <c r="Q239" s="7"/>
      <c r="R239" s="7"/>
      <c r="S239" s="17"/>
    </row>
    <row r="240" ht="13.5" customHeight="1">
      <c r="A240" s="8" t="s">
        <v>347</v>
      </c>
      <c r="B240" s="8" t="s">
        <v>41</v>
      </c>
      <c r="C240" s="8" t="s">
        <v>153</v>
      </c>
      <c r="D240" s="8" t="s">
        <v>348</v>
      </c>
      <c r="E240" s="9" t="s">
        <v>349</v>
      </c>
      <c r="F240" s="8" t="s">
        <v>350</v>
      </c>
      <c r="G240" s="8" t="s">
        <v>343</v>
      </c>
      <c r="H240" s="8" t="s">
        <v>259</v>
      </c>
      <c r="I240" s="8" t="s">
        <v>91</v>
      </c>
      <c r="J240" s="8" t="s">
        <v>275</v>
      </c>
      <c r="K240" s="8" t="s">
        <v>29</v>
      </c>
      <c r="L240" s="17"/>
      <c r="M240" s="17"/>
      <c r="N240" s="18"/>
      <c r="O240" s="19"/>
      <c r="P240" s="7"/>
      <c r="Q240" s="7"/>
      <c r="R240" s="7"/>
      <c r="S240" s="17"/>
    </row>
    <row r="241" ht="13.5" customHeight="1">
      <c r="A241" s="8" t="s">
        <v>33</v>
      </c>
      <c r="B241" s="8" t="s">
        <v>34</v>
      </c>
      <c r="C241" s="8" t="s">
        <v>156</v>
      </c>
      <c r="D241" s="8" t="s">
        <v>351</v>
      </c>
      <c r="E241" s="9" t="s">
        <v>352</v>
      </c>
      <c r="F241" s="8" t="s">
        <v>267</v>
      </c>
      <c r="G241" s="8" t="s">
        <v>343</v>
      </c>
      <c r="H241" s="8" t="s">
        <v>259</v>
      </c>
      <c r="I241" s="8" t="s">
        <v>91</v>
      </c>
      <c r="J241" s="8" t="s">
        <v>275</v>
      </c>
      <c r="K241" s="8" t="s">
        <v>29</v>
      </c>
      <c r="L241" s="17"/>
      <c r="M241" s="17"/>
      <c r="N241" s="18"/>
      <c r="O241" s="19"/>
      <c r="P241" s="7"/>
      <c r="Q241" s="7"/>
      <c r="R241" s="7"/>
      <c r="S241" s="17"/>
    </row>
    <row r="242" ht="13.5" customHeight="1">
      <c r="A242" s="8" t="s">
        <v>33</v>
      </c>
      <c r="B242" s="8" t="s">
        <v>286</v>
      </c>
      <c r="C242" s="8" t="s">
        <v>287</v>
      </c>
      <c r="D242" s="8" t="s">
        <v>288</v>
      </c>
      <c r="E242" s="9" t="s">
        <v>288</v>
      </c>
      <c r="F242" s="8" t="s">
        <v>289</v>
      </c>
      <c r="G242" s="8" t="s">
        <v>343</v>
      </c>
      <c r="H242" s="8" t="s">
        <v>259</v>
      </c>
      <c r="I242" s="8" t="s">
        <v>91</v>
      </c>
      <c r="J242" s="8" t="s">
        <v>275</v>
      </c>
      <c r="K242" s="8" t="s">
        <v>29</v>
      </c>
      <c r="L242" s="17"/>
      <c r="M242" s="17"/>
      <c r="N242" s="18"/>
      <c r="O242" s="19"/>
      <c r="P242" s="7"/>
      <c r="Q242" s="7"/>
      <c r="R242" s="7"/>
      <c r="S242" s="17"/>
    </row>
    <row r="243" ht="13.5" customHeight="1">
      <c r="A243" s="8" t="s">
        <v>33</v>
      </c>
      <c r="B243" s="8" t="s">
        <v>290</v>
      </c>
      <c r="C243" s="8" t="s">
        <v>353</v>
      </c>
      <c r="D243" s="8" t="s">
        <v>33</v>
      </c>
      <c r="E243" s="9" t="s">
        <v>33</v>
      </c>
      <c r="F243" s="8" t="s">
        <v>33</v>
      </c>
      <c r="G243" s="8" t="s">
        <v>84</v>
      </c>
      <c r="H243" s="8" t="s">
        <v>259</v>
      </c>
      <c r="I243" s="8" t="s">
        <v>260</v>
      </c>
      <c r="J243" s="8" t="s">
        <v>294</v>
      </c>
      <c r="K243" s="8" t="s">
        <v>29</v>
      </c>
      <c r="L243" s="17"/>
      <c r="M243" s="17"/>
      <c r="N243" s="18"/>
      <c r="O243" s="19"/>
      <c r="P243" s="7"/>
      <c r="Q243" s="7"/>
      <c r="R243" s="7"/>
      <c r="S243" s="17"/>
    </row>
    <row r="244" ht="13.5" customHeight="1">
      <c r="A244" s="8" t="s">
        <v>33</v>
      </c>
      <c r="B244" s="8" t="s">
        <v>167</v>
      </c>
      <c r="C244" s="8" t="s">
        <v>296</v>
      </c>
      <c r="D244" s="8" t="s">
        <v>297</v>
      </c>
      <c r="E244" s="9" t="s">
        <v>354</v>
      </c>
      <c r="F244" s="8" t="s">
        <v>355</v>
      </c>
      <c r="G244" s="8" t="s">
        <v>343</v>
      </c>
      <c r="H244" s="8" t="s">
        <v>259</v>
      </c>
      <c r="I244" s="8" t="s">
        <v>91</v>
      </c>
      <c r="J244" s="8" t="s">
        <v>275</v>
      </c>
      <c r="K244" s="8" t="s">
        <v>29</v>
      </c>
      <c r="L244" s="17"/>
      <c r="M244" s="17"/>
      <c r="N244" s="18"/>
      <c r="O244" s="19"/>
      <c r="P244" s="7"/>
      <c r="Q244" s="7"/>
      <c r="R244" s="7"/>
      <c r="S244" s="17"/>
    </row>
    <row r="245" ht="13.5" customHeight="1">
      <c r="A245" s="8" t="s">
        <v>33</v>
      </c>
      <c r="B245" s="8" t="s">
        <v>132</v>
      </c>
      <c r="C245" s="8" t="s">
        <v>296</v>
      </c>
      <c r="D245" s="8" t="s">
        <v>356</v>
      </c>
      <c r="E245" s="9" t="s">
        <v>357</v>
      </c>
      <c r="F245" s="8" t="s">
        <v>304</v>
      </c>
      <c r="G245" s="8" t="s">
        <v>343</v>
      </c>
      <c r="H245" s="8" t="s">
        <v>259</v>
      </c>
      <c r="I245" s="8" t="s">
        <v>91</v>
      </c>
      <c r="J245" s="8" t="s">
        <v>275</v>
      </c>
      <c r="K245" s="8" t="s">
        <v>29</v>
      </c>
      <c r="L245" s="17"/>
      <c r="M245" s="17"/>
      <c r="N245" s="18"/>
      <c r="O245" s="19"/>
      <c r="P245" s="7"/>
      <c r="Q245" s="7"/>
      <c r="R245" s="7"/>
      <c r="S245" s="17"/>
    </row>
    <row r="246" ht="13.5" customHeight="1">
      <c r="A246" s="8" t="s">
        <v>33</v>
      </c>
      <c r="B246" s="8" t="s">
        <v>305</v>
      </c>
      <c r="C246" s="8" t="s">
        <v>288</v>
      </c>
      <c r="D246" s="8" t="s">
        <v>288</v>
      </c>
      <c r="E246" s="9" t="s">
        <v>288</v>
      </c>
      <c r="F246" s="8" t="s">
        <v>306</v>
      </c>
      <c r="G246" s="8" t="s">
        <v>343</v>
      </c>
      <c r="H246" s="8" t="s">
        <v>259</v>
      </c>
      <c r="I246" s="8" t="s">
        <v>91</v>
      </c>
      <c r="J246" s="8" t="s">
        <v>275</v>
      </c>
      <c r="K246" s="8" t="s">
        <v>29</v>
      </c>
      <c r="L246" s="17"/>
      <c r="M246" s="17"/>
      <c r="N246" s="18"/>
      <c r="O246" s="19"/>
      <c r="P246" s="7"/>
      <c r="Q246" s="7"/>
      <c r="R246" s="7"/>
      <c r="S246" s="17"/>
    </row>
    <row r="247" ht="13.5" customHeight="1">
      <c r="A247" s="8" t="s">
        <v>33</v>
      </c>
      <c r="B247" s="8" t="s">
        <v>325</v>
      </c>
      <c r="C247" s="8" t="s">
        <v>288</v>
      </c>
      <c r="D247" s="8" t="s">
        <v>288</v>
      </c>
      <c r="E247" s="9" t="s">
        <v>288</v>
      </c>
      <c r="F247" s="8" t="s">
        <v>326</v>
      </c>
      <c r="G247" s="8" t="s">
        <v>343</v>
      </c>
      <c r="H247" s="8" t="s">
        <v>259</v>
      </c>
      <c r="I247" s="8" t="s">
        <v>91</v>
      </c>
      <c r="J247" s="8" t="s">
        <v>275</v>
      </c>
      <c r="K247" s="8" t="s">
        <v>29</v>
      </c>
      <c r="L247" s="17"/>
      <c r="M247" s="17"/>
      <c r="N247" s="18"/>
      <c r="O247" s="19"/>
      <c r="P247" s="7"/>
      <c r="Q247" s="7"/>
      <c r="R247" s="7"/>
      <c r="S247" s="17"/>
    </row>
    <row r="248" ht="13.5" customHeight="1">
      <c r="A248" s="8" t="s">
        <v>269</v>
      </c>
      <c r="B248" s="8" t="s">
        <v>67</v>
      </c>
      <c r="C248" s="8" t="s">
        <v>270</v>
      </c>
      <c r="D248" s="8" t="s">
        <v>358</v>
      </c>
      <c r="E248" s="9" t="s">
        <v>359</v>
      </c>
      <c r="F248" s="8" t="s">
        <v>360</v>
      </c>
      <c r="G248" s="8" t="s">
        <v>361</v>
      </c>
      <c r="H248" s="8" t="s">
        <v>259</v>
      </c>
      <c r="I248" s="8" t="s">
        <v>91</v>
      </c>
      <c r="J248" s="8" t="s">
        <v>275</v>
      </c>
      <c r="K248" s="8" t="s">
        <v>29</v>
      </c>
      <c r="L248" s="17"/>
      <c r="M248" s="17"/>
      <c r="N248" s="18"/>
      <c r="O248" s="19"/>
      <c r="P248" s="7"/>
      <c r="Q248" s="7"/>
      <c r="R248" s="7"/>
      <c r="S248" s="17"/>
    </row>
    <row r="249" ht="13.5" customHeight="1">
      <c r="A249" s="8" t="s">
        <v>276</v>
      </c>
      <c r="B249" s="8" t="s">
        <v>132</v>
      </c>
      <c r="C249" s="8" t="s">
        <v>362</v>
      </c>
      <c r="D249" s="8" t="s">
        <v>277</v>
      </c>
      <c r="E249" s="9" t="s">
        <v>363</v>
      </c>
      <c r="F249" s="8" t="s">
        <v>134</v>
      </c>
      <c r="G249" s="8" t="s">
        <v>361</v>
      </c>
      <c r="H249" s="8" t="s">
        <v>259</v>
      </c>
      <c r="I249" s="8" t="s">
        <v>91</v>
      </c>
      <c r="J249" s="8" t="s">
        <v>275</v>
      </c>
      <c r="K249" s="8" t="s">
        <v>29</v>
      </c>
      <c r="L249" s="17"/>
      <c r="M249" s="17"/>
      <c r="N249" s="18"/>
      <c r="O249" s="19"/>
      <c r="P249" s="7"/>
      <c r="Q249" s="7"/>
      <c r="R249" s="7"/>
      <c r="S249" s="17"/>
    </row>
    <row r="250" ht="13.5" customHeight="1">
      <c r="A250" s="8" t="s">
        <v>33</v>
      </c>
      <c r="B250" s="8" t="s">
        <v>253</v>
      </c>
      <c r="C250" s="8" t="s">
        <v>254</v>
      </c>
      <c r="D250" s="8" t="s">
        <v>255</v>
      </c>
      <c r="E250" s="9" t="s">
        <v>364</v>
      </c>
      <c r="F250" s="8" t="s">
        <v>281</v>
      </c>
      <c r="G250" s="8" t="s">
        <v>361</v>
      </c>
      <c r="H250" s="8" t="s">
        <v>259</v>
      </c>
      <c r="I250" s="8" t="s">
        <v>91</v>
      </c>
      <c r="J250" s="8" t="s">
        <v>275</v>
      </c>
      <c r="K250" s="8" t="s">
        <v>29</v>
      </c>
      <c r="L250" s="17"/>
      <c r="M250" s="17"/>
      <c r="N250" s="18"/>
      <c r="O250" s="19"/>
      <c r="P250" s="7"/>
      <c r="Q250" s="7"/>
      <c r="R250" s="7"/>
      <c r="S250" s="17"/>
    </row>
    <row r="251" ht="13.5" customHeight="1">
      <c r="A251" s="8" t="s">
        <v>365</v>
      </c>
      <c r="B251" s="8" t="s">
        <v>34</v>
      </c>
      <c r="C251" s="8" t="s">
        <v>153</v>
      </c>
      <c r="D251" s="8" t="s">
        <v>154</v>
      </c>
      <c r="E251" s="9" t="s">
        <v>366</v>
      </c>
      <c r="F251" s="8" t="s">
        <v>267</v>
      </c>
      <c r="G251" s="8" t="s">
        <v>361</v>
      </c>
      <c r="H251" s="8" t="s">
        <v>259</v>
      </c>
      <c r="I251" s="8" t="s">
        <v>91</v>
      </c>
      <c r="J251" s="8" t="s">
        <v>275</v>
      </c>
      <c r="K251" s="8" t="s">
        <v>55</v>
      </c>
      <c r="L251" s="17"/>
      <c r="M251" s="17"/>
      <c r="N251" s="18"/>
      <c r="O251" s="19"/>
      <c r="P251" s="7"/>
      <c r="Q251" s="7"/>
      <c r="R251" s="7"/>
      <c r="S251" s="17"/>
    </row>
    <row r="252" ht="13.5" customHeight="1">
      <c r="A252" s="8" t="s">
        <v>33</v>
      </c>
      <c r="B252" s="8" t="s">
        <v>286</v>
      </c>
      <c r="C252" s="8" t="s">
        <v>287</v>
      </c>
      <c r="D252" s="8" t="s">
        <v>288</v>
      </c>
      <c r="E252" s="9" t="s">
        <v>288</v>
      </c>
      <c r="F252" s="8" t="s">
        <v>289</v>
      </c>
      <c r="G252" s="8" t="s">
        <v>361</v>
      </c>
      <c r="H252" s="8" t="s">
        <v>259</v>
      </c>
      <c r="I252" s="8" t="s">
        <v>91</v>
      </c>
      <c r="J252" s="8" t="s">
        <v>275</v>
      </c>
      <c r="K252" s="8" t="s">
        <v>29</v>
      </c>
      <c r="L252" s="17"/>
      <c r="M252" s="17"/>
      <c r="N252" s="18"/>
      <c r="O252" s="19"/>
      <c r="P252" s="7"/>
      <c r="Q252" s="7"/>
      <c r="R252" s="7"/>
      <c r="S252" s="17"/>
    </row>
    <row r="253" ht="13.5" customHeight="1">
      <c r="A253" s="8" t="s">
        <v>367</v>
      </c>
      <c r="B253" s="8" t="s">
        <v>290</v>
      </c>
      <c r="C253" s="8" t="s">
        <v>291</v>
      </c>
      <c r="D253" s="8" t="s">
        <v>292</v>
      </c>
      <c r="E253" s="9" t="s">
        <v>33</v>
      </c>
      <c r="F253" s="8" t="s">
        <v>293</v>
      </c>
      <c r="G253" s="8" t="s">
        <v>84</v>
      </c>
      <c r="H253" s="8" t="s">
        <v>259</v>
      </c>
      <c r="I253" s="8" t="s">
        <v>260</v>
      </c>
      <c r="J253" s="8" t="s">
        <v>294</v>
      </c>
      <c r="K253" s="8" t="s">
        <v>55</v>
      </c>
      <c r="L253" s="17"/>
      <c r="M253" s="17"/>
      <c r="N253" s="18"/>
      <c r="O253" s="19"/>
      <c r="P253" s="7"/>
      <c r="Q253" s="7"/>
      <c r="R253" s="7"/>
      <c r="S253" s="17"/>
    </row>
    <row r="254" ht="13.5" customHeight="1">
      <c r="A254" s="8" t="s">
        <v>33</v>
      </c>
      <c r="B254" s="8" t="s">
        <v>167</v>
      </c>
      <c r="C254" s="8" t="s">
        <v>296</v>
      </c>
      <c r="D254" s="8" t="s">
        <v>297</v>
      </c>
      <c r="E254" s="9" t="s">
        <v>368</v>
      </c>
      <c r="F254" s="8" t="s">
        <v>299</v>
      </c>
      <c r="G254" s="8" t="s">
        <v>361</v>
      </c>
      <c r="H254" s="8" t="s">
        <v>259</v>
      </c>
      <c r="I254" s="8" t="s">
        <v>91</v>
      </c>
      <c r="J254" s="8" t="s">
        <v>275</v>
      </c>
      <c r="K254" s="8" t="s">
        <v>29</v>
      </c>
      <c r="L254" s="17"/>
      <c r="M254" s="17"/>
      <c r="N254" s="18"/>
      <c r="O254" s="19"/>
      <c r="P254" s="7"/>
      <c r="Q254" s="7"/>
      <c r="R254" s="7"/>
      <c r="S254" s="17"/>
    </row>
    <row r="255" ht="13.5" customHeight="1">
      <c r="A255" s="8" t="s">
        <v>367</v>
      </c>
      <c r="B255" s="8" t="s">
        <v>301</v>
      </c>
      <c r="C255" s="8" t="s">
        <v>296</v>
      </c>
      <c r="D255" s="8" t="s">
        <v>302</v>
      </c>
      <c r="E255" s="9" t="s">
        <v>369</v>
      </c>
      <c r="F255" s="8" t="s">
        <v>304</v>
      </c>
      <c r="G255" s="8" t="s">
        <v>361</v>
      </c>
      <c r="H255" s="8" t="s">
        <v>259</v>
      </c>
      <c r="I255" s="8" t="s">
        <v>91</v>
      </c>
      <c r="J255" s="8" t="s">
        <v>275</v>
      </c>
      <c r="K255" s="8" t="s">
        <v>29</v>
      </c>
      <c r="L255" s="17"/>
      <c r="M255" s="17"/>
      <c r="N255" s="18"/>
      <c r="O255" s="19"/>
      <c r="P255" s="7"/>
      <c r="Q255" s="7"/>
      <c r="R255" s="7"/>
      <c r="S255" s="17"/>
    </row>
    <row r="256" ht="13.5" customHeight="1">
      <c r="A256" s="8" t="s">
        <v>33</v>
      </c>
      <c r="B256" s="8" t="s">
        <v>305</v>
      </c>
      <c r="C256" s="8" t="s">
        <v>288</v>
      </c>
      <c r="D256" s="8" t="s">
        <v>288</v>
      </c>
      <c r="E256" s="9" t="s">
        <v>288</v>
      </c>
      <c r="F256" s="8" t="s">
        <v>306</v>
      </c>
      <c r="G256" s="8" t="s">
        <v>361</v>
      </c>
      <c r="H256" s="8" t="s">
        <v>259</v>
      </c>
      <c r="I256" s="8" t="s">
        <v>91</v>
      </c>
      <c r="J256" s="8" t="s">
        <v>275</v>
      </c>
      <c r="K256" s="8" t="s">
        <v>29</v>
      </c>
      <c r="L256" s="17"/>
      <c r="M256" s="17"/>
      <c r="N256" s="18"/>
      <c r="O256" s="19"/>
      <c r="P256" s="7"/>
      <c r="Q256" s="7"/>
      <c r="R256" s="7"/>
      <c r="S256" s="17"/>
    </row>
    <row r="257" ht="13.5" customHeight="1">
      <c r="A257" s="8" t="s">
        <v>33</v>
      </c>
      <c r="B257" s="8" t="s">
        <v>325</v>
      </c>
      <c r="C257" s="8" t="s">
        <v>288</v>
      </c>
      <c r="D257" s="8" t="s">
        <v>288</v>
      </c>
      <c r="E257" s="9" t="s">
        <v>288</v>
      </c>
      <c r="F257" s="8" t="s">
        <v>326</v>
      </c>
      <c r="G257" s="8" t="s">
        <v>361</v>
      </c>
      <c r="H257" s="8" t="s">
        <v>259</v>
      </c>
      <c r="I257" s="8" t="s">
        <v>91</v>
      </c>
      <c r="J257" s="8" t="s">
        <v>275</v>
      </c>
      <c r="K257" s="8" t="s">
        <v>29</v>
      </c>
      <c r="L257" s="17"/>
      <c r="M257" s="17"/>
      <c r="N257" s="18"/>
      <c r="O257" s="19"/>
      <c r="P257" s="7"/>
      <c r="Q257" s="7"/>
      <c r="R257" s="7"/>
      <c r="S257" s="17"/>
    </row>
    <row r="258" ht="13.5" customHeight="1">
      <c r="A258" s="8" t="s">
        <v>370</v>
      </c>
      <c r="B258" s="8" t="s">
        <v>67</v>
      </c>
      <c r="C258" s="8" t="s">
        <v>125</v>
      </c>
      <c r="D258" s="8" t="s">
        <v>371</v>
      </c>
      <c r="E258" s="9" t="s">
        <v>372</v>
      </c>
      <c r="F258" s="8" t="s">
        <v>373</v>
      </c>
      <c r="G258" s="8" t="s">
        <v>374</v>
      </c>
      <c r="H258" s="8" t="s">
        <v>259</v>
      </c>
      <c r="I258" s="8" t="s">
        <v>91</v>
      </c>
      <c r="J258" s="8" t="s">
        <v>275</v>
      </c>
      <c r="K258" s="8" t="s">
        <v>117</v>
      </c>
      <c r="L258" s="17"/>
      <c r="M258" s="17"/>
      <c r="N258" s="18"/>
      <c r="O258" s="19"/>
      <c r="P258" s="8" t="s">
        <v>2171</v>
      </c>
      <c r="Q258" s="7"/>
      <c r="R258" s="7"/>
      <c r="S258" s="17"/>
    </row>
    <row r="259" ht="13.5" customHeight="1">
      <c r="A259" s="8" t="s">
        <v>375</v>
      </c>
      <c r="B259" s="8" t="s">
        <v>132</v>
      </c>
      <c r="C259" s="8" t="s">
        <v>125</v>
      </c>
      <c r="D259" s="8" t="s">
        <v>33</v>
      </c>
      <c r="E259" s="9" t="s">
        <v>33</v>
      </c>
      <c r="F259" s="8" t="s">
        <v>134</v>
      </c>
      <c r="G259" s="8" t="s">
        <v>374</v>
      </c>
      <c r="H259" s="8" t="s">
        <v>259</v>
      </c>
      <c r="I259" s="8" t="s">
        <v>91</v>
      </c>
      <c r="J259" s="8" t="s">
        <v>275</v>
      </c>
      <c r="K259" s="8" t="s">
        <v>29</v>
      </c>
      <c r="L259" s="17"/>
      <c r="M259" s="17"/>
      <c r="N259" s="18"/>
      <c r="O259" s="19"/>
      <c r="P259" s="7"/>
      <c r="Q259" s="7"/>
      <c r="R259" s="7"/>
      <c r="S259" s="17"/>
    </row>
    <row r="260" ht="13.5" customHeight="1">
      <c r="A260" s="8" t="s">
        <v>33</v>
      </c>
      <c r="B260" s="8" t="s">
        <v>253</v>
      </c>
      <c r="C260" s="8" t="s">
        <v>254</v>
      </c>
      <c r="D260" s="8" t="s">
        <v>255</v>
      </c>
      <c r="E260" s="9" t="s">
        <v>376</v>
      </c>
      <c r="F260" s="8" t="s">
        <v>281</v>
      </c>
      <c r="G260" s="8" t="s">
        <v>374</v>
      </c>
      <c r="H260" s="8" t="s">
        <v>259</v>
      </c>
      <c r="I260" s="8" t="s">
        <v>91</v>
      </c>
      <c r="J260" s="8" t="s">
        <v>275</v>
      </c>
      <c r="K260" s="8" t="s">
        <v>29</v>
      </c>
      <c r="L260" s="17"/>
      <c r="M260" s="17"/>
      <c r="N260" s="18"/>
      <c r="O260" s="19"/>
      <c r="P260" s="7"/>
      <c r="Q260" s="7"/>
      <c r="R260" s="7"/>
      <c r="S260" s="17"/>
    </row>
    <row r="261" ht="13.5" customHeight="1">
      <c r="A261" s="8" t="s">
        <v>377</v>
      </c>
      <c r="B261" s="8" t="s">
        <v>41</v>
      </c>
      <c r="C261" s="8" t="s">
        <v>378</v>
      </c>
      <c r="D261" s="8" t="s">
        <v>379</v>
      </c>
      <c r="E261" s="9" t="s">
        <v>33</v>
      </c>
      <c r="F261" s="8" t="s">
        <v>350</v>
      </c>
      <c r="G261" s="8" t="s">
        <v>374</v>
      </c>
      <c r="H261" s="8" t="s">
        <v>259</v>
      </c>
      <c r="I261" s="8" t="s">
        <v>91</v>
      </c>
      <c r="J261" s="8" t="s">
        <v>275</v>
      </c>
      <c r="K261" s="8" t="s">
        <v>29</v>
      </c>
      <c r="L261" s="17"/>
      <c r="M261" s="17"/>
      <c r="N261" s="18"/>
      <c r="O261" s="19"/>
      <c r="P261" s="7"/>
      <c r="Q261" s="7"/>
      <c r="R261" s="7"/>
      <c r="S261" s="17"/>
    </row>
    <row r="262" ht="13.5" customHeight="1">
      <c r="A262" s="8" t="s">
        <v>33</v>
      </c>
      <c r="B262" s="8" t="s">
        <v>34</v>
      </c>
      <c r="C262" s="8" t="s">
        <v>156</v>
      </c>
      <c r="D262" s="8" t="s">
        <v>157</v>
      </c>
      <c r="E262" s="9" t="s">
        <v>158</v>
      </c>
      <c r="F262" s="8" t="s">
        <v>267</v>
      </c>
      <c r="G262" s="8" t="s">
        <v>374</v>
      </c>
      <c r="H262" s="8" t="s">
        <v>259</v>
      </c>
      <c r="I262" s="8" t="s">
        <v>91</v>
      </c>
      <c r="J262" s="8" t="s">
        <v>275</v>
      </c>
      <c r="K262" s="8" t="s">
        <v>55</v>
      </c>
      <c r="L262" s="17"/>
      <c r="M262" s="17"/>
      <c r="N262" s="18"/>
      <c r="O262" s="19"/>
      <c r="P262" s="7"/>
      <c r="Q262" s="7"/>
      <c r="R262" s="7"/>
      <c r="S262" s="17"/>
    </row>
    <row r="263" ht="13.5" customHeight="1">
      <c r="A263" s="8" t="s">
        <v>33</v>
      </c>
      <c r="B263" s="8" t="s">
        <v>286</v>
      </c>
      <c r="C263" s="8" t="s">
        <v>287</v>
      </c>
      <c r="D263" s="8" t="s">
        <v>288</v>
      </c>
      <c r="E263" s="9" t="s">
        <v>288</v>
      </c>
      <c r="F263" s="8" t="s">
        <v>289</v>
      </c>
      <c r="G263" s="8" t="s">
        <v>374</v>
      </c>
      <c r="H263" s="8" t="s">
        <v>259</v>
      </c>
      <c r="I263" s="8" t="s">
        <v>91</v>
      </c>
      <c r="J263" s="8" t="s">
        <v>275</v>
      </c>
      <c r="K263" s="8" t="s">
        <v>29</v>
      </c>
      <c r="L263" s="17"/>
      <c r="M263" s="17"/>
      <c r="N263" s="18"/>
      <c r="O263" s="19"/>
      <c r="P263" s="7"/>
      <c r="Q263" s="7"/>
      <c r="R263" s="7"/>
      <c r="S263" s="17"/>
    </row>
    <row r="264" ht="13.5" customHeight="1">
      <c r="A264" s="8" t="s">
        <v>380</v>
      </c>
      <c r="B264" s="8" t="s">
        <v>290</v>
      </c>
      <c r="C264" s="8" t="s">
        <v>291</v>
      </c>
      <c r="D264" s="8" t="s">
        <v>292</v>
      </c>
      <c r="E264" s="9" t="s">
        <v>381</v>
      </c>
      <c r="F264" s="8" t="s">
        <v>293</v>
      </c>
      <c r="G264" s="8" t="s">
        <v>84</v>
      </c>
      <c r="H264" s="8" t="s">
        <v>259</v>
      </c>
      <c r="I264" s="8" t="s">
        <v>260</v>
      </c>
      <c r="J264" s="8" t="s">
        <v>294</v>
      </c>
      <c r="K264" s="8" t="s">
        <v>55</v>
      </c>
      <c r="L264" s="17"/>
      <c r="M264" s="17"/>
      <c r="N264" s="18"/>
      <c r="O264" s="19"/>
      <c r="P264" s="7"/>
      <c r="Q264" s="7"/>
      <c r="R264" s="7"/>
      <c r="S264" s="17"/>
    </row>
    <row r="265" ht="13.5" customHeight="1">
      <c r="A265" s="8" t="s">
        <v>33</v>
      </c>
      <c r="B265" s="8" t="s">
        <v>67</v>
      </c>
      <c r="C265" s="8" t="s">
        <v>270</v>
      </c>
      <c r="D265" s="8" t="s">
        <v>358</v>
      </c>
      <c r="E265" s="9" t="s">
        <v>382</v>
      </c>
      <c r="F265" s="8" t="s">
        <v>383</v>
      </c>
      <c r="G265" s="8" t="s">
        <v>84</v>
      </c>
      <c r="H265" s="8" t="s">
        <v>259</v>
      </c>
      <c r="I265" s="8" t="s">
        <v>260</v>
      </c>
      <c r="J265" s="8" t="s">
        <v>294</v>
      </c>
      <c r="K265" s="8" t="s">
        <v>29</v>
      </c>
      <c r="L265" s="17"/>
      <c r="M265" s="17"/>
      <c r="N265" s="18"/>
      <c r="O265" s="19"/>
      <c r="P265" s="7"/>
      <c r="Q265" s="7"/>
      <c r="R265" s="7"/>
      <c r="S265" s="17"/>
    </row>
    <row r="266" ht="13.5" customHeight="1">
      <c r="A266" s="8" t="s">
        <v>33</v>
      </c>
      <c r="B266" s="8" t="s">
        <v>132</v>
      </c>
      <c r="C266" s="8" t="s">
        <v>331</v>
      </c>
      <c r="D266" s="8" t="s">
        <v>332</v>
      </c>
      <c r="E266" s="9" t="s">
        <v>384</v>
      </c>
      <c r="F266" s="8" t="s">
        <v>134</v>
      </c>
      <c r="G266" s="8" t="s">
        <v>84</v>
      </c>
      <c r="H266" s="8" t="s">
        <v>259</v>
      </c>
      <c r="I266" s="8" t="s">
        <v>260</v>
      </c>
      <c r="J266" s="8" t="s">
        <v>294</v>
      </c>
      <c r="K266" s="8" t="s">
        <v>29</v>
      </c>
      <c r="L266" s="17"/>
      <c r="M266" s="17"/>
      <c r="N266" s="18"/>
      <c r="O266" s="19"/>
      <c r="P266" s="7"/>
      <c r="Q266" s="7"/>
      <c r="R266" s="7"/>
      <c r="S266" s="17"/>
    </row>
    <row r="267" ht="13.5" customHeight="1">
      <c r="A267" s="8" t="s">
        <v>385</v>
      </c>
      <c r="B267" s="8" t="s">
        <v>253</v>
      </c>
      <c r="C267" s="8" t="s">
        <v>254</v>
      </c>
      <c r="D267" s="8" t="s">
        <v>255</v>
      </c>
      <c r="E267" s="9" t="s">
        <v>386</v>
      </c>
      <c r="F267" s="8" t="s">
        <v>281</v>
      </c>
      <c r="G267" s="8" t="s">
        <v>84</v>
      </c>
      <c r="H267" s="8" t="s">
        <v>259</v>
      </c>
      <c r="I267" s="8" t="s">
        <v>260</v>
      </c>
      <c r="J267" s="8" t="s">
        <v>294</v>
      </c>
      <c r="K267" s="8" t="s">
        <v>29</v>
      </c>
      <c r="L267" s="17"/>
      <c r="M267" s="17"/>
      <c r="N267" s="18"/>
      <c r="O267" s="19"/>
      <c r="P267" s="7"/>
      <c r="Q267" s="7"/>
      <c r="R267" s="7"/>
      <c r="S267" s="17"/>
    </row>
    <row r="268" ht="13.5" customHeight="1">
      <c r="A268" s="8" t="s">
        <v>33</v>
      </c>
      <c r="B268" s="8" t="s">
        <v>34</v>
      </c>
      <c r="C268" s="8" t="s">
        <v>153</v>
      </c>
      <c r="D268" s="8" t="s">
        <v>154</v>
      </c>
      <c r="E268" s="9" t="s">
        <v>387</v>
      </c>
      <c r="F268" s="8" t="s">
        <v>267</v>
      </c>
      <c r="G268" s="8" t="s">
        <v>388</v>
      </c>
      <c r="H268" s="8" t="s">
        <v>259</v>
      </c>
      <c r="I268" s="8" t="s">
        <v>91</v>
      </c>
      <c r="J268" s="8" t="s">
        <v>275</v>
      </c>
      <c r="K268" s="8" t="s">
        <v>29</v>
      </c>
      <c r="L268" s="17"/>
      <c r="M268" s="17"/>
      <c r="N268" s="18"/>
      <c r="O268" s="19"/>
      <c r="P268" s="7"/>
      <c r="Q268" s="7"/>
      <c r="R268" s="7"/>
      <c r="S268" s="17"/>
    </row>
    <row r="269" ht="13.5" customHeight="1">
      <c r="A269" s="8" t="s">
        <v>33</v>
      </c>
      <c r="B269" s="8" t="s">
        <v>286</v>
      </c>
      <c r="C269" s="8" t="s">
        <v>287</v>
      </c>
      <c r="D269" s="8" t="s">
        <v>288</v>
      </c>
      <c r="E269" s="9" t="s">
        <v>288</v>
      </c>
      <c r="F269" s="8" t="s">
        <v>289</v>
      </c>
      <c r="G269" s="8" t="s">
        <v>84</v>
      </c>
      <c r="H269" s="8" t="s">
        <v>259</v>
      </c>
      <c r="I269" s="8" t="s">
        <v>260</v>
      </c>
      <c r="J269" s="8" t="s">
        <v>294</v>
      </c>
      <c r="K269" s="8" t="s">
        <v>29</v>
      </c>
      <c r="L269" s="17"/>
      <c r="M269" s="17"/>
      <c r="N269" s="18"/>
      <c r="O269" s="19"/>
      <c r="P269" s="7"/>
      <c r="Q269" s="7"/>
      <c r="R269" s="7"/>
      <c r="S269" s="17"/>
    </row>
    <row r="270" ht="13.5" customHeight="1">
      <c r="A270" s="8" t="s">
        <v>389</v>
      </c>
      <c r="B270" s="8" t="s">
        <v>290</v>
      </c>
      <c r="C270" s="8" t="s">
        <v>291</v>
      </c>
      <c r="D270" s="8" t="s">
        <v>292</v>
      </c>
      <c r="E270" s="9" t="s">
        <v>390</v>
      </c>
      <c r="F270" s="8" t="s">
        <v>293</v>
      </c>
      <c r="G270" s="8" t="s">
        <v>84</v>
      </c>
      <c r="H270" s="8" t="s">
        <v>259</v>
      </c>
      <c r="I270" s="8" t="s">
        <v>260</v>
      </c>
      <c r="J270" s="8" t="s">
        <v>294</v>
      </c>
      <c r="K270" s="8" t="s">
        <v>29</v>
      </c>
      <c r="L270" s="17"/>
      <c r="M270" s="17"/>
      <c r="N270" s="18"/>
      <c r="O270" s="19"/>
      <c r="P270" s="7"/>
      <c r="Q270" s="7"/>
      <c r="R270" s="7"/>
      <c r="S270" s="17"/>
    </row>
    <row r="271" ht="13.5" customHeight="1">
      <c r="A271" s="8" t="s">
        <v>33</v>
      </c>
      <c r="B271" s="8" t="s">
        <v>167</v>
      </c>
      <c r="C271" s="8" t="s">
        <v>296</v>
      </c>
      <c r="D271" s="8" t="s">
        <v>391</v>
      </c>
      <c r="E271" s="9" t="s">
        <v>392</v>
      </c>
      <c r="F271" s="8" t="s">
        <v>322</v>
      </c>
      <c r="G271" s="8" t="s">
        <v>393</v>
      </c>
      <c r="H271" s="8" t="s">
        <v>259</v>
      </c>
      <c r="I271" s="8" t="s">
        <v>91</v>
      </c>
      <c r="J271" s="8" t="s">
        <v>275</v>
      </c>
      <c r="K271" s="8" t="s">
        <v>29</v>
      </c>
      <c r="L271" s="17"/>
      <c r="M271" s="17"/>
      <c r="N271" s="18"/>
      <c r="O271" s="19"/>
      <c r="P271" s="7"/>
      <c r="Q271" s="7"/>
      <c r="R271" s="7"/>
      <c r="S271" s="17"/>
    </row>
    <row r="272" ht="13.5" customHeight="1">
      <c r="A272" s="8" t="s">
        <v>33</v>
      </c>
      <c r="B272" s="8" t="s">
        <v>301</v>
      </c>
      <c r="C272" s="8" t="s">
        <v>296</v>
      </c>
      <c r="D272" s="8" t="s">
        <v>302</v>
      </c>
      <c r="E272" s="9" t="s">
        <v>394</v>
      </c>
      <c r="F272" s="8" t="s">
        <v>395</v>
      </c>
      <c r="G272" s="8" t="s">
        <v>393</v>
      </c>
      <c r="H272" s="8" t="s">
        <v>259</v>
      </c>
      <c r="I272" s="8" t="s">
        <v>91</v>
      </c>
      <c r="J272" s="8" t="s">
        <v>275</v>
      </c>
      <c r="K272" s="8" t="s">
        <v>29</v>
      </c>
      <c r="L272" s="17"/>
      <c r="M272" s="17"/>
      <c r="N272" s="18"/>
      <c r="O272" s="19"/>
      <c r="P272" s="7"/>
      <c r="Q272" s="7"/>
      <c r="R272" s="7"/>
      <c r="S272" s="17"/>
    </row>
    <row r="273" ht="13.5" customHeight="1">
      <c r="A273" s="8" t="s">
        <v>33</v>
      </c>
      <c r="B273" s="8" t="s">
        <v>305</v>
      </c>
      <c r="C273" s="8" t="s">
        <v>288</v>
      </c>
      <c r="D273" s="8" t="s">
        <v>288</v>
      </c>
      <c r="E273" s="9" t="s">
        <v>288</v>
      </c>
      <c r="F273" s="8" t="s">
        <v>306</v>
      </c>
      <c r="G273" s="8" t="s">
        <v>393</v>
      </c>
      <c r="H273" s="8" t="s">
        <v>259</v>
      </c>
      <c r="I273" s="8" t="s">
        <v>91</v>
      </c>
      <c r="J273" s="8" t="s">
        <v>275</v>
      </c>
      <c r="K273" s="8" t="s">
        <v>29</v>
      </c>
      <c r="L273" s="17"/>
      <c r="M273" s="17"/>
      <c r="N273" s="18"/>
      <c r="O273" s="19"/>
      <c r="P273" s="7"/>
      <c r="Q273" s="7"/>
      <c r="R273" s="7"/>
      <c r="S273" s="17"/>
    </row>
    <row r="274" ht="13.5" customHeight="1">
      <c r="A274" s="8" t="s">
        <v>33</v>
      </c>
      <c r="B274" s="8" t="s">
        <v>325</v>
      </c>
      <c r="C274" s="8" t="s">
        <v>288</v>
      </c>
      <c r="D274" s="8" t="s">
        <v>288</v>
      </c>
      <c r="E274" s="9" t="s">
        <v>288</v>
      </c>
      <c r="F274" s="8" t="s">
        <v>326</v>
      </c>
      <c r="G274" s="8" t="s">
        <v>393</v>
      </c>
      <c r="H274" s="8" t="s">
        <v>259</v>
      </c>
      <c r="I274" s="8" t="s">
        <v>91</v>
      </c>
      <c r="J274" s="8" t="s">
        <v>275</v>
      </c>
      <c r="K274" s="8" t="s">
        <v>29</v>
      </c>
      <c r="L274" s="17"/>
      <c r="M274" s="17"/>
      <c r="N274" s="18"/>
      <c r="O274" s="19"/>
      <c r="P274" s="7"/>
      <c r="Q274" s="7"/>
      <c r="R274" s="7"/>
      <c r="S274" s="17"/>
    </row>
    <row r="275" ht="13.5" customHeight="1">
      <c r="A275" s="8" t="s">
        <v>396</v>
      </c>
      <c r="B275" s="8" t="s">
        <v>67</v>
      </c>
      <c r="C275" s="8" t="s">
        <v>270</v>
      </c>
      <c r="D275" s="8" t="s">
        <v>358</v>
      </c>
      <c r="E275" s="9" t="s">
        <v>397</v>
      </c>
      <c r="F275" s="8" t="s">
        <v>398</v>
      </c>
      <c r="G275" s="8" t="s">
        <v>399</v>
      </c>
      <c r="H275" s="8" t="s">
        <v>259</v>
      </c>
      <c r="I275" s="8" t="s">
        <v>91</v>
      </c>
      <c r="J275" s="8" t="s">
        <v>400</v>
      </c>
      <c r="K275" s="8" t="s">
        <v>29</v>
      </c>
      <c r="L275" s="17"/>
      <c r="M275" s="17"/>
      <c r="N275" s="18"/>
      <c r="O275" s="19"/>
      <c r="P275" s="7"/>
      <c r="Q275" s="7"/>
      <c r="R275" s="7"/>
      <c r="S275" s="17"/>
    </row>
    <row r="276" ht="13.5" customHeight="1">
      <c r="A276" s="8" t="s">
        <v>401</v>
      </c>
      <c r="B276" s="8" t="s">
        <v>132</v>
      </c>
      <c r="C276" s="8" t="s">
        <v>331</v>
      </c>
      <c r="D276" s="8" t="s">
        <v>332</v>
      </c>
      <c r="E276" s="9" t="s">
        <v>402</v>
      </c>
      <c r="F276" s="8" t="s">
        <v>134</v>
      </c>
      <c r="G276" s="8" t="s">
        <v>399</v>
      </c>
      <c r="H276" s="8" t="s">
        <v>259</v>
      </c>
      <c r="I276" s="8" t="s">
        <v>91</v>
      </c>
      <c r="J276" s="8" t="s">
        <v>400</v>
      </c>
      <c r="K276" s="8" t="s">
        <v>29</v>
      </c>
      <c r="L276" s="17"/>
      <c r="M276" s="17"/>
      <c r="N276" s="18"/>
      <c r="O276" s="19"/>
      <c r="P276" s="7"/>
      <c r="Q276" s="7"/>
      <c r="R276" s="7"/>
      <c r="S276" s="17"/>
    </row>
    <row r="277" ht="13.5" customHeight="1">
      <c r="A277" s="8" t="s">
        <v>403</v>
      </c>
      <c r="B277" s="8" t="s">
        <v>253</v>
      </c>
      <c r="C277" s="8" t="s">
        <v>254</v>
      </c>
      <c r="D277" s="8" t="s">
        <v>255</v>
      </c>
      <c r="E277" s="9" t="s">
        <v>404</v>
      </c>
      <c r="F277" s="8" t="s">
        <v>281</v>
      </c>
      <c r="G277" s="8" t="s">
        <v>399</v>
      </c>
      <c r="H277" s="8" t="s">
        <v>259</v>
      </c>
      <c r="I277" s="8" t="s">
        <v>91</v>
      </c>
      <c r="J277" s="8" t="s">
        <v>400</v>
      </c>
      <c r="K277" s="8" t="s">
        <v>29</v>
      </c>
      <c r="L277" s="17"/>
      <c r="M277" s="17"/>
      <c r="N277" s="18"/>
      <c r="O277" s="19"/>
      <c r="P277" s="7"/>
      <c r="Q277" s="7"/>
      <c r="R277" s="7"/>
      <c r="S277" s="17"/>
    </row>
    <row r="278" ht="13.5" customHeight="1">
      <c r="A278" s="8" t="s">
        <v>405</v>
      </c>
      <c r="B278" s="8" t="s">
        <v>34</v>
      </c>
      <c r="C278" s="8" t="s">
        <v>35</v>
      </c>
      <c r="D278" s="8" t="s">
        <v>316</v>
      </c>
      <c r="E278" s="9" t="s">
        <v>317</v>
      </c>
      <c r="F278" s="8" t="s">
        <v>267</v>
      </c>
      <c r="G278" s="8" t="s">
        <v>399</v>
      </c>
      <c r="H278" s="8" t="s">
        <v>259</v>
      </c>
      <c r="I278" s="8" t="s">
        <v>91</v>
      </c>
      <c r="J278" s="8" t="s">
        <v>400</v>
      </c>
      <c r="K278" s="8" t="s">
        <v>29</v>
      </c>
      <c r="L278" s="17"/>
      <c r="M278" s="17"/>
      <c r="N278" s="18"/>
      <c r="O278" s="19"/>
      <c r="P278" s="7"/>
      <c r="Q278" s="7"/>
      <c r="R278" s="7"/>
      <c r="S278" s="17"/>
    </row>
    <row r="279" ht="13.5" customHeight="1">
      <c r="A279" s="8" t="s">
        <v>33</v>
      </c>
      <c r="B279" s="8" t="s">
        <v>286</v>
      </c>
      <c r="C279" s="8" t="s">
        <v>287</v>
      </c>
      <c r="D279" s="8" t="s">
        <v>288</v>
      </c>
      <c r="E279" s="9" t="s">
        <v>288</v>
      </c>
      <c r="F279" s="8" t="s">
        <v>289</v>
      </c>
      <c r="G279" s="8" t="s">
        <v>399</v>
      </c>
      <c r="H279" s="8" t="s">
        <v>259</v>
      </c>
      <c r="I279" s="8" t="s">
        <v>91</v>
      </c>
      <c r="J279" s="8" t="s">
        <v>400</v>
      </c>
      <c r="K279" s="8" t="s">
        <v>29</v>
      </c>
      <c r="L279" s="17"/>
      <c r="M279" s="17"/>
      <c r="N279" s="18"/>
      <c r="O279" s="19"/>
      <c r="P279" s="7"/>
      <c r="Q279" s="7"/>
      <c r="R279" s="7"/>
      <c r="S279" s="17"/>
    </row>
    <row r="280" ht="13.5" customHeight="1">
      <c r="A280" s="8" t="s">
        <v>406</v>
      </c>
      <c r="B280" s="8" t="s">
        <v>290</v>
      </c>
      <c r="C280" s="8" t="s">
        <v>291</v>
      </c>
      <c r="D280" s="8" t="s">
        <v>292</v>
      </c>
      <c r="E280" s="9" t="s">
        <v>407</v>
      </c>
      <c r="F280" s="8" t="s">
        <v>293</v>
      </c>
      <c r="G280" s="8" t="s">
        <v>84</v>
      </c>
      <c r="H280" s="8" t="s">
        <v>259</v>
      </c>
      <c r="I280" s="8" t="s">
        <v>260</v>
      </c>
      <c r="J280" s="8" t="s">
        <v>294</v>
      </c>
      <c r="K280" s="8" t="s">
        <v>55</v>
      </c>
      <c r="L280" s="17"/>
      <c r="M280" s="17"/>
      <c r="N280" s="18"/>
      <c r="O280" s="19"/>
      <c r="P280" s="7"/>
      <c r="Q280" s="7"/>
      <c r="R280" s="7"/>
      <c r="S280" s="17"/>
    </row>
    <row r="281" ht="13.5" customHeight="1">
      <c r="A281" s="8" t="s">
        <v>33</v>
      </c>
      <c r="B281" s="8" t="s">
        <v>167</v>
      </c>
      <c r="C281" s="8" t="s">
        <v>296</v>
      </c>
      <c r="D281" s="8" t="s">
        <v>297</v>
      </c>
      <c r="E281" s="9" t="s">
        <v>408</v>
      </c>
      <c r="F281" s="8" t="s">
        <v>326</v>
      </c>
      <c r="G281" s="8" t="s">
        <v>399</v>
      </c>
      <c r="H281" s="8" t="s">
        <v>259</v>
      </c>
      <c r="I281" s="8" t="s">
        <v>91</v>
      </c>
      <c r="J281" s="8" t="s">
        <v>400</v>
      </c>
      <c r="K281" s="8" t="s">
        <v>29</v>
      </c>
      <c r="L281" s="17"/>
      <c r="M281" s="17"/>
      <c r="N281" s="18"/>
      <c r="O281" s="19"/>
      <c r="P281" s="7"/>
      <c r="Q281" s="7"/>
      <c r="R281" s="7"/>
      <c r="S281" s="17"/>
    </row>
    <row r="282" ht="13.5" customHeight="1">
      <c r="A282" s="8" t="s">
        <v>33</v>
      </c>
      <c r="B282" s="8" t="s">
        <v>132</v>
      </c>
      <c r="C282" s="8" t="s">
        <v>296</v>
      </c>
      <c r="D282" s="8" t="s">
        <v>302</v>
      </c>
      <c r="E282" s="9" t="s">
        <v>409</v>
      </c>
      <c r="F282" s="8" t="s">
        <v>304</v>
      </c>
      <c r="G282" s="8" t="s">
        <v>399</v>
      </c>
      <c r="H282" s="8" t="s">
        <v>259</v>
      </c>
      <c r="I282" s="8" t="s">
        <v>91</v>
      </c>
      <c r="J282" s="8" t="s">
        <v>400</v>
      </c>
      <c r="K282" s="8" t="s">
        <v>29</v>
      </c>
      <c r="L282" s="17"/>
      <c r="M282" s="17"/>
      <c r="N282" s="18"/>
      <c r="O282" s="19"/>
      <c r="P282" s="7"/>
      <c r="Q282" s="7"/>
      <c r="R282" s="7"/>
      <c r="S282" s="17"/>
    </row>
    <row r="283" ht="13.5" customHeight="1">
      <c r="A283" s="8" t="s">
        <v>410</v>
      </c>
      <c r="B283" s="8" t="s">
        <v>67</v>
      </c>
      <c r="C283" s="8" t="s">
        <v>125</v>
      </c>
      <c r="D283" s="8" t="s">
        <v>411</v>
      </c>
      <c r="E283" s="9" t="s">
        <v>412</v>
      </c>
      <c r="F283" s="8" t="s">
        <v>413</v>
      </c>
      <c r="G283" s="8" t="s">
        <v>414</v>
      </c>
      <c r="H283" s="8" t="s">
        <v>259</v>
      </c>
      <c r="I283" s="8" t="s">
        <v>91</v>
      </c>
      <c r="J283" s="8" t="s">
        <v>400</v>
      </c>
      <c r="K283" s="8" t="s">
        <v>29</v>
      </c>
      <c r="L283" s="17"/>
      <c r="M283" s="17"/>
      <c r="N283" s="18"/>
      <c r="O283" s="19"/>
      <c r="P283" s="7"/>
      <c r="Q283" s="7"/>
      <c r="R283" s="7"/>
      <c r="S283" s="17"/>
    </row>
    <row r="284" ht="13.5" customHeight="1">
      <c r="A284" s="8" t="s">
        <v>33</v>
      </c>
      <c r="B284" s="8" t="s">
        <v>132</v>
      </c>
      <c r="C284" s="8" t="s">
        <v>125</v>
      </c>
      <c r="D284" s="8" t="s">
        <v>133</v>
      </c>
      <c r="E284" s="9" t="s">
        <v>415</v>
      </c>
      <c r="F284" s="8" t="s">
        <v>134</v>
      </c>
      <c r="G284" s="8" t="s">
        <v>414</v>
      </c>
      <c r="H284" s="8" t="s">
        <v>259</v>
      </c>
      <c r="I284" s="8" t="s">
        <v>91</v>
      </c>
      <c r="J284" s="8" t="s">
        <v>400</v>
      </c>
      <c r="K284" s="8" t="s">
        <v>29</v>
      </c>
      <c r="L284" s="17"/>
      <c r="M284" s="17"/>
      <c r="N284" s="18"/>
      <c r="O284" s="19"/>
      <c r="P284" s="7"/>
      <c r="Q284" s="7"/>
      <c r="R284" s="7"/>
      <c r="S284" s="17"/>
    </row>
    <row r="285" ht="13.5" customHeight="1">
      <c r="A285" s="8" t="s">
        <v>33</v>
      </c>
      <c r="B285" s="8" t="s">
        <v>253</v>
      </c>
      <c r="C285" s="8" t="s">
        <v>254</v>
      </c>
      <c r="D285" s="8" t="s">
        <v>255</v>
      </c>
      <c r="E285" s="9" t="s">
        <v>416</v>
      </c>
      <c r="F285" s="8" t="s">
        <v>281</v>
      </c>
      <c r="G285" s="8" t="s">
        <v>414</v>
      </c>
      <c r="H285" s="8" t="s">
        <v>259</v>
      </c>
      <c r="I285" s="8" t="s">
        <v>91</v>
      </c>
      <c r="J285" s="8" t="s">
        <v>400</v>
      </c>
      <c r="K285" s="8" t="s">
        <v>29</v>
      </c>
      <c r="L285" s="17"/>
      <c r="M285" s="17"/>
      <c r="N285" s="18"/>
      <c r="O285" s="19"/>
      <c r="P285" s="7"/>
      <c r="Q285" s="7"/>
      <c r="R285" s="7"/>
      <c r="S285" s="17"/>
    </row>
    <row r="286" ht="13.5" customHeight="1">
      <c r="A286" s="8" t="s">
        <v>33</v>
      </c>
      <c r="B286" s="8" t="s">
        <v>34</v>
      </c>
      <c r="C286" s="8" t="s">
        <v>153</v>
      </c>
      <c r="D286" s="8" t="s">
        <v>154</v>
      </c>
      <c r="E286" s="9" t="s">
        <v>417</v>
      </c>
      <c r="F286" s="8" t="s">
        <v>267</v>
      </c>
      <c r="G286" s="8" t="s">
        <v>414</v>
      </c>
      <c r="H286" s="8" t="s">
        <v>259</v>
      </c>
      <c r="I286" s="8" t="s">
        <v>91</v>
      </c>
      <c r="J286" s="8" t="s">
        <v>400</v>
      </c>
      <c r="K286" s="8" t="s">
        <v>29</v>
      </c>
      <c r="L286" s="17"/>
      <c r="M286" s="17"/>
      <c r="N286" s="18"/>
      <c r="O286" s="19"/>
      <c r="P286" s="7"/>
      <c r="Q286" s="7"/>
      <c r="R286" s="7"/>
      <c r="S286" s="17"/>
    </row>
    <row r="287" ht="13.5" customHeight="1">
      <c r="A287" s="8" t="s">
        <v>33</v>
      </c>
      <c r="B287" s="8" t="s">
        <v>286</v>
      </c>
      <c r="C287" s="8" t="s">
        <v>287</v>
      </c>
      <c r="D287" s="8" t="s">
        <v>288</v>
      </c>
      <c r="E287" s="9" t="s">
        <v>288</v>
      </c>
      <c r="F287" s="8" t="s">
        <v>289</v>
      </c>
      <c r="G287" s="8" t="s">
        <v>414</v>
      </c>
      <c r="H287" s="8" t="s">
        <v>259</v>
      </c>
      <c r="I287" s="8" t="s">
        <v>91</v>
      </c>
      <c r="J287" s="8" t="s">
        <v>400</v>
      </c>
      <c r="K287" s="8" t="s">
        <v>29</v>
      </c>
      <c r="L287" s="17"/>
      <c r="M287" s="17"/>
      <c r="N287" s="18"/>
      <c r="O287" s="19"/>
      <c r="P287" s="7"/>
      <c r="Q287" s="7"/>
      <c r="R287" s="7"/>
      <c r="S287" s="17"/>
    </row>
    <row r="288" ht="13.5" customHeight="1">
      <c r="A288" s="8" t="s">
        <v>418</v>
      </c>
      <c r="B288" s="8" t="s">
        <v>290</v>
      </c>
      <c r="C288" s="8" t="s">
        <v>291</v>
      </c>
      <c r="D288" s="8" t="s">
        <v>292</v>
      </c>
      <c r="E288" s="9" t="s">
        <v>419</v>
      </c>
      <c r="F288" s="8" t="s">
        <v>420</v>
      </c>
      <c r="G288" s="8" t="s">
        <v>84</v>
      </c>
      <c r="H288" s="8" t="s">
        <v>259</v>
      </c>
      <c r="I288" s="8" t="s">
        <v>260</v>
      </c>
      <c r="J288" s="8" t="s">
        <v>294</v>
      </c>
      <c r="K288" s="8" t="s">
        <v>55</v>
      </c>
      <c r="L288" s="17"/>
      <c r="M288" s="17"/>
      <c r="N288" s="18"/>
      <c r="O288" s="19"/>
      <c r="P288" s="7"/>
      <c r="Q288" s="7"/>
      <c r="R288" s="7"/>
      <c r="S288" s="17"/>
    </row>
    <row r="289" ht="13.5" customHeight="1">
      <c r="A289" s="8" t="s">
        <v>421</v>
      </c>
      <c r="B289" s="8" t="s">
        <v>74</v>
      </c>
      <c r="C289" s="8" t="s">
        <v>136</v>
      </c>
      <c r="D289" s="8" t="s">
        <v>33</v>
      </c>
      <c r="E289" s="9" t="s">
        <v>33</v>
      </c>
      <c r="F289" s="8" t="s">
        <v>422</v>
      </c>
      <c r="G289" s="8" t="s">
        <v>414</v>
      </c>
      <c r="H289" s="8" t="s">
        <v>259</v>
      </c>
      <c r="I289" s="8" t="s">
        <v>91</v>
      </c>
      <c r="J289" s="8" t="s">
        <v>400</v>
      </c>
      <c r="K289" s="8" t="s">
        <v>29</v>
      </c>
      <c r="L289" s="17"/>
      <c r="M289" s="17"/>
      <c r="N289" s="18"/>
      <c r="O289" s="19"/>
      <c r="P289" s="7"/>
      <c r="Q289" s="7"/>
      <c r="R289" s="7"/>
      <c r="S289" s="17"/>
    </row>
    <row r="290" ht="13.5" customHeight="1">
      <c r="A290" s="8" t="s">
        <v>33</v>
      </c>
      <c r="B290" s="8" t="s">
        <v>167</v>
      </c>
      <c r="C290" s="8" t="s">
        <v>296</v>
      </c>
      <c r="D290" s="8" t="s">
        <v>297</v>
      </c>
      <c r="E290" s="9" t="s">
        <v>423</v>
      </c>
      <c r="F290" s="8" t="s">
        <v>326</v>
      </c>
      <c r="G290" s="8" t="s">
        <v>414</v>
      </c>
      <c r="H290" s="8" t="s">
        <v>259</v>
      </c>
      <c r="I290" s="8" t="s">
        <v>91</v>
      </c>
      <c r="J290" s="8" t="s">
        <v>400</v>
      </c>
      <c r="K290" s="8" t="s">
        <v>29</v>
      </c>
      <c r="L290" s="17"/>
      <c r="M290" s="17"/>
      <c r="N290" s="18"/>
      <c r="O290" s="19"/>
      <c r="P290" s="7"/>
      <c r="Q290" s="7"/>
      <c r="R290" s="7"/>
      <c r="S290" s="17"/>
    </row>
    <row r="291" ht="13.5" customHeight="1">
      <c r="A291" s="8" t="s">
        <v>33</v>
      </c>
      <c r="B291" s="8" t="s">
        <v>132</v>
      </c>
      <c r="C291" s="8" t="s">
        <v>296</v>
      </c>
      <c r="D291" s="8" t="s">
        <v>323</v>
      </c>
      <c r="E291" s="9" t="s">
        <v>424</v>
      </c>
      <c r="F291" s="8" t="s">
        <v>304</v>
      </c>
      <c r="G291" s="8" t="s">
        <v>414</v>
      </c>
      <c r="H291" s="8" t="s">
        <v>259</v>
      </c>
      <c r="I291" s="8" t="s">
        <v>91</v>
      </c>
      <c r="J291" s="8" t="s">
        <v>400</v>
      </c>
      <c r="K291" s="8" t="s">
        <v>29</v>
      </c>
      <c r="L291" s="17"/>
      <c r="M291" s="17"/>
      <c r="N291" s="18"/>
      <c r="O291" s="19"/>
      <c r="P291" s="7"/>
      <c r="Q291" s="7"/>
      <c r="R291" s="7"/>
      <c r="S291" s="17"/>
    </row>
    <row r="292" ht="13.5" customHeight="1">
      <c r="A292" s="8" t="s">
        <v>425</v>
      </c>
      <c r="B292" s="8" t="s">
        <v>67</v>
      </c>
      <c r="C292" s="8" t="s">
        <v>125</v>
      </c>
      <c r="D292" s="8" t="s">
        <v>411</v>
      </c>
      <c r="E292" s="9" t="s">
        <v>426</v>
      </c>
      <c r="F292" s="8" t="s">
        <v>413</v>
      </c>
      <c r="G292" s="8" t="s">
        <v>427</v>
      </c>
      <c r="H292" s="8" t="s">
        <v>259</v>
      </c>
      <c r="I292" s="8" t="s">
        <v>91</v>
      </c>
      <c r="J292" s="8" t="s">
        <v>400</v>
      </c>
      <c r="K292" s="8" t="s">
        <v>29</v>
      </c>
      <c r="L292" s="17"/>
      <c r="M292" s="17"/>
      <c r="N292" s="18"/>
      <c r="O292" s="19"/>
      <c r="P292" s="7"/>
      <c r="Q292" s="7"/>
      <c r="R292" s="7"/>
      <c r="S292" s="17"/>
    </row>
    <row r="293" ht="13.5" customHeight="1">
      <c r="A293" s="8" t="s">
        <v>428</v>
      </c>
      <c r="B293" s="8" t="s">
        <v>132</v>
      </c>
      <c r="C293" s="8" t="s">
        <v>125</v>
      </c>
      <c r="D293" s="8" t="s">
        <v>133</v>
      </c>
      <c r="E293" s="9" t="s">
        <v>429</v>
      </c>
      <c r="F293" s="8" t="s">
        <v>134</v>
      </c>
      <c r="G293" s="8" t="s">
        <v>427</v>
      </c>
      <c r="H293" s="8" t="s">
        <v>259</v>
      </c>
      <c r="I293" s="8" t="s">
        <v>91</v>
      </c>
      <c r="J293" s="8" t="s">
        <v>400</v>
      </c>
      <c r="K293" s="8" t="s">
        <v>29</v>
      </c>
      <c r="L293" s="17"/>
      <c r="M293" s="17"/>
      <c r="N293" s="18"/>
      <c r="O293" s="19"/>
      <c r="P293" s="7"/>
      <c r="Q293" s="7"/>
      <c r="R293" s="7"/>
      <c r="S293" s="17"/>
    </row>
    <row r="294" ht="13.5" customHeight="1">
      <c r="A294" s="8" t="s">
        <v>430</v>
      </c>
      <c r="B294" s="8" t="s">
        <v>253</v>
      </c>
      <c r="C294" s="8" t="s">
        <v>254</v>
      </c>
      <c r="D294" s="8" t="s">
        <v>255</v>
      </c>
      <c r="E294" s="9" t="s">
        <v>431</v>
      </c>
      <c r="F294" s="8" t="s">
        <v>281</v>
      </c>
      <c r="G294" s="8" t="s">
        <v>427</v>
      </c>
      <c r="H294" s="8" t="s">
        <v>259</v>
      </c>
      <c r="I294" s="8" t="s">
        <v>91</v>
      </c>
      <c r="J294" s="8" t="s">
        <v>400</v>
      </c>
      <c r="K294" s="8" t="s">
        <v>29</v>
      </c>
      <c r="L294" s="17"/>
      <c r="M294" s="17"/>
      <c r="N294" s="18"/>
      <c r="O294" s="19"/>
      <c r="P294" s="7"/>
      <c r="Q294" s="7"/>
      <c r="R294" s="7"/>
      <c r="S294" s="17"/>
    </row>
    <row r="295" ht="13.5" customHeight="1">
      <c r="A295" s="8" t="s">
        <v>33</v>
      </c>
      <c r="B295" s="8" t="s">
        <v>34</v>
      </c>
      <c r="C295" s="8" t="s">
        <v>153</v>
      </c>
      <c r="D295" s="8" t="s">
        <v>154</v>
      </c>
      <c r="E295" s="9" t="s">
        <v>432</v>
      </c>
      <c r="F295" s="8" t="s">
        <v>267</v>
      </c>
      <c r="G295" s="8" t="s">
        <v>427</v>
      </c>
      <c r="H295" s="8" t="s">
        <v>259</v>
      </c>
      <c r="I295" s="8" t="s">
        <v>91</v>
      </c>
      <c r="J295" s="8" t="s">
        <v>400</v>
      </c>
      <c r="K295" s="8" t="s">
        <v>29</v>
      </c>
      <c r="L295" s="17"/>
      <c r="M295" s="17"/>
      <c r="N295" s="18"/>
      <c r="O295" s="19"/>
      <c r="P295" s="7"/>
      <c r="Q295" s="7"/>
      <c r="R295" s="7"/>
      <c r="S295" s="17"/>
    </row>
    <row r="296" ht="13.5" customHeight="1">
      <c r="A296" s="8" t="s">
        <v>33</v>
      </c>
      <c r="B296" s="8" t="s">
        <v>286</v>
      </c>
      <c r="C296" s="8" t="s">
        <v>287</v>
      </c>
      <c r="D296" s="8" t="s">
        <v>288</v>
      </c>
      <c r="E296" s="9" t="s">
        <v>288</v>
      </c>
      <c r="F296" s="8" t="s">
        <v>289</v>
      </c>
      <c r="G296" s="8" t="s">
        <v>427</v>
      </c>
      <c r="H296" s="8" t="s">
        <v>259</v>
      </c>
      <c r="I296" s="8" t="s">
        <v>91</v>
      </c>
      <c r="J296" s="8" t="s">
        <v>400</v>
      </c>
      <c r="K296" s="8" t="s">
        <v>29</v>
      </c>
      <c r="L296" s="17"/>
      <c r="M296" s="17"/>
      <c r="N296" s="18"/>
      <c r="O296" s="19"/>
      <c r="P296" s="7"/>
      <c r="Q296" s="7"/>
      <c r="R296" s="7"/>
      <c r="S296" s="17"/>
    </row>
    <row r="297" ht="13.5" customHeight="1">
      <c r="A297" s="8" t="s">
        <v>433</v>
      </c>
      <c r="B297" s="8" t="s">
        <v>290</v>
      </c>
      <c r="C297" s="8" t="s">
        <v>291</v>
      </c>
      <c r="D297" s="8" t="s">
        <v>292</v>
      </c>
      <c r="E297" s="9" t="s">
        <v>33</v>
      </c>
      <c r="F297" s="8" t="s">
        <v>293</v>
      </c>
      <c r="G297" s="8" t="s">
        <v>84</v>
      </c>
      <c r="H297" s="8" t="s">
        <v>259</v>
      </c>
      <c r="I297" s="8" t="s">
        <v>260</v>
      </c>
      <c r="J297" s="8" t="s">
        <v>294</v>
      </c>
      <c r="K297" s="8" t="s">
        <v>55</v>
      </c>
      <c r="L297" s="17"/>
      <c r="M297" s="17"/>
      <c r="N297" s="18"/>
      <c r="O297" s="19"/>
      <c r="P297" s="7"/>
      <c r="Q297" s="7"/>
      <c r="R297" s="7"/>
      <c r="S297" s="17"/>
    </row>
    <row r="298" ht="13.5" customHeight="1">
      <c r="A298" s="8" t="s">
        <v>434</v>
      </c>
      <c r="B298" s="8" t="s">
        <v>74</v>
      </c>
      <c r="C298" s="8" t="s">
        <v>435</v>
      </c>
      <c r="D298" s="8" t="s">
        <v>33</v>
      </c>
      <c r="E298" s="9" t="s">
        <v>33</v>
      </c>
      <c r="F298" s="8" t="s">
        <v>422</v>
      </c>
      <c r="G298" s="8" t="s">
        <v>427</v>
      </c>
      <c r="H298" s="8" t="s">
        <v>259</v>
      </c>
      <c r="I298" s="8" t="s">
        <v>91</v>
      </c>
      <c r="J298" s="8" t="s">
        <v>400</v>
      </c>
      <c r="K298" s="8" t="s">
        <v>29</v>
      </c>
      <c r="L298" s="17"/>
      <c r="M298" s="17"/>
      <c r="N298" s="18"/>
      <c r="O298" s="19"/>
      <c r="P298" s="7"/>
      <c r="Q298" s="7"/>
      <c r="R298" s="7"/>
      <c r="S298" s="17"/>
    </row>
    <row r="299" ht="13.5" customHeight="1">
      <c r="A299" s="8" t="s">
        <v>33</v>
      </c>
      <c r="B299" s="8" t="s">
        <v>167</v>
      </c>
      <c r="C299" s="8" t="s">
        <v>296</v>
      </c>
      <c r="D299" s="8" t="s">
        <v>297</v>
      </c>
      <c r="E299" s="9" t="s">
        <v>436</v>
      </c>
      <c r="F299" s="8" t="s">
        <v>299</v>
      </c>
      <c r="G299" s="8" t="s">
        <v>427</v>
      </c>
      <c r="H299" s="8" t="s">
        <v>259</v>
      </c>
      <c r="I299" s="8" t="s">
        <v>91</v>
      </c>
      <c r="J299" s="8" t="s">
        <v>400</v>
      </c>
      <c r="K299" s="8" t="s">
        <v>29</v>
      </c>
      <c r="L299" s="17"/>
      <c r="M299" s="17"/>
      <c r="N299" s="18"/>
      <c r="O299" s="19"/>
      <c r="P299" s="7"/>
      <c r="Q299" s="7"/>
      <c r="R299" s="7"/>
      <c r="S299" s="17"/>
    </row>
    <row r="300" ht="13.5" customHeight="1">
      <c r="A300" s="8" t="s">
        <v>33</v>
      </c>
      <c r="B300" s="8" t="s">
        <v>132</v>
      </c>
      <c r="C300" s="8" t="s">
        <v>296</v>
      </c>
      <c r="D300" s="8" t="s">
        <v>437</v>
      </c>
      <c r="E300" s="9" t="s">
        <v>438</v>
      </c>
      <c r="F300" s="8" t="s">
        <v>304</v>
      </c>
      <c r="G300" s="8" t="s">
        <v>427</v>
      </c>
      <c r="H300" s="8" t="s">
        <v>259</v>
      </c>
      <c r="I300" s="8" t="s">
        <v>91</v>
      </c>
      <c r="J300" s="8" t="s">
        <v>400</v>
      </c>
      <c r="K300" s="8" t="s">
        <v>29</v>
      </c>
      <c r="L300" s="17"/>
      <c r="M300" s="17"/>
      <c r="N300" s="18"/>
      <c r="O300" s="19"/>
      <c r="P300" s="7"/>
      <c r="Q300" s="7"/>
      <c r="R300" s="7"/>
      <c r="S300" s="17"/>
    </row>
    <row r="301" ht="13.5" customHeight="1">
      <c r="A301" s="8" t="s">
        <v>33</v>
      </c>
      <c r="B301" s="8" t="s">
        <v>305</v>
      </c>
      <c r="C301" s="8" t="s">
        <v>288</v>
      </c>
      <c r="D301" s="8" t="s">
        <v>288</v>
      </c>
      <c r="E301" s="9" t="s">
        <v>288</v>
      </c>
      <c r="F301" s="8" t="s">
        <v>306</v>
      </c>
      <c r="G301" s="8" t="s">
        <v>427</v>
      </c>
      <c r="H301" s="8" t="s">
        <v>259</v>
      </c>
      <c r="I301" s="8" t="s">
        <v>91</v>
      </c>
      <c r="J301" s="8" t="s">
        <v>400</v>
      </c>
      <c r="K301" s="8" t="s">
        <v>29</v>
      </c>
      <c r="L301" s="17"/>
      <c r="M301" s="17"/>
      <c r="N301" s="18"/>
      <c r="O301" s="19"/>
      <c r="P301" s="7"/>
      <c r="Q301" s="7"/>
      <c r="R301" s="7"/>
      <c r="S301" s="17"/>
    </row>
    <row r="302" ht="13.5" customHeight="1">
      <c r="A302" s="8" t="s">
        <v>33</v>
      </c>
      <c r="B302" s="8" t="s">
        <v>325</v>
      </c>
      <c r="C302" s="8" t="s">
        <v>288</v>
      </c>
      <c r="D302" s="8" t="s">
        <v>288</v>
      </c>
      <c r="E302" s="9" t="s">
        <v>288</v>
      </c>
      <c r="F302" s="8" t="s">
        <v>326</v>
      </c>
      <c r="G302" s="8" t="s">
        <v>427</v>
      </c>
      <c r="H302" s="8" t="s">
        <v>259</v>
      </c>
      <c r="I302" s="8" t="s">
        <v>91</v>
      </c>
      <c r="J302" s="8" t="s">
        <v>400</v>
      </c>
      <c r="K302" s="8" t="s">
        <v>29</v>
      </c>
      <c r="L302" s="17"/>
      <c r="M302" s="17"/>
      <c r="N302" s="18"/>
      <c r="O302" s="19"/>
      <c r="P302" s="7"/>
      <c r="Q302" s="7"/>
      <c r="R302" s="7"/>
      <c r="S302" s="17"/>
    </row>
    <row r="303" ht="13.5" customHeight="1">
      <c r="A303" s="8" t="s">
        <v>33</v>
      </c>
      <c r="B303" s="8" t="s">
        <v>67</v>
      </c>
      <c r="C303" s="8" t="s">
        <v>270</v>
      </c>
      <c r="D303" s="8" t="s">
        <v>358</v>
      </c>
      <c r="E303" s="9" t="s">
        <v>439</v>
      </c>
      <c r="F303" s="8" t="s">
        <v>398</v>
      </c>
      <c r="G303" s="8" t="s">
        <v>440</v>
      </c>
      <c r="H303" s="8" t="s">
        <v>259</v>
      </c>
      <c r="I303" s="8" t="s">
        <v>91</v>
      </c>
      <c r="J303" s="8" t="s">
        <v>400</v>
      </c>
      <c r="K303" s="8" t="s">
        <v>29</v>
      </c>
      <c r="L303" s="17"/>
      <c r="M303" s="17"/>
      <c r="N303" s="18"/>
      <c r="O303" s="19"/>
      <c r="P303" s="7"/>
      <c r="Q303" s="7"/>
      <c r="R303" s="7"/>
      <c r="S303" s="17"/>
    </row>
    <row r="304" ht="13.5" customHeight="1">
      <c r="A304" s="8" t="s">
        <v>33</v>
      </c>
      <c r="B304" s="8" t="s">
        <v>132</v>
      </c>
      <c r="C304" s="8" t="s">
        <v>362</v>
      </c>
      <c r="D304" s="8" t="s">
        <v>441</v>
      </c>
      <c r="E304" s="9" t="s">
        <v>442</v>
      </c>
      <c r="F304" s="8" t="s">
        <v>134</v>
      </c>
      <c r="G304" s="8" t="s">
        <v>440</v>
      </c>
      <c r="H304" s="8" t="s">
        <v>259</v>
      </c>
      <c r="I304" s="8" t="s">
        <v>91</v>
      </c>
      <c r="J304" s="8" t="s">
        <v>400</v>
      </c>
      <c r="K304" s="8" t="s">
        <v>29</v>
      </c>
      <c r="L304" s="17"/>
      <c r="M304" s="17"/>
      <c r="N304" s="18"/>
      <c r="O304" s="19"/>
      <c r="P304" s="7"/>
      <c r="Q304" s="7"/>
      <c r="R304" s="7"/>
      <c r="S304" s="17"/>
    </row>
    <row r="305" ht="13.5" customHeight="1">
      <c r="A305" s="8" t="s">
        <v>33</v>
      </c>
      <c r="B305" s="8" t="s">
        <v>253</v>
      </c>
      <c r="C305" s="8" t="s">
        <v>254</v>
      </c>
      <c r="D305" s="8" t="s">
        <v>255</v>
      </c>
      <c r="E305" s="9" t="s">
        <v>443</v>
      </c>
      <c r="F305" s="8" t="s">
        <v>281</v>
      </c>
      <c r="G305" s="8" t="s">
        <v>440</v>
      </c>
      <c r="H305" s="8" t="s">
        <v>259</v>
      </c>
      <c r="I305" s="8" t="s">
        <v>91</v>
      </c>
      <c r="J305" s="8" t="s">
        <v>400</v>
      </c>
      <c r="K305" s="8" t="s">
        <v>29</v>
      </c>
      <c r="L305" s="17"/>
      <c r="M305" s="17"/>
      <c r="N305" s="18"/>
      <c r="O305" s="19"/>
      <c r="P305" s="7"/>
      <c r="Q305" s="7"/>
      <c r="R305" s="7"/>
      <c r="S305" s="17"/>
    </row>
    <row r="306" ht="13.5" customHeight="1">
      <c r="A306" s="8" t="s">
        <v>444</v>
      </c>
      <c r="B306" s="8" t="s">
        <v>34</v>
      </c>
      <c r="C306" s="8" t="s">
        <v>153</v>
      </c>
      <c r="D306" s="8" t="s">
        <v>154</v>
      </c>
      <c r="E306" s="9" t="s">
        <v>445</v>
      </c>
      <c r="F306" s="8" t="s">
        <v>267</v>
      </c>
      <c r="G306" s="8" t="s">
        <v>440</v>
      </c>
      <c r="H306" s="8" t="s">
        <v>259</v>
      </c>
      <c r="I306" s="8" t="s">
        <v>91</v>
      </c>
      <c r="J306" s="8" t="s">
        <v>400</v>
      </c>
      <c r="K306" s="8" t="s">
        <v>29</v>
      </c>
      <c r="L306" s="17"/>
      <c r="M306" s="17"/>
      <c r="N306" s="18"/>
      <c r="O306" s="19"/>
      <c r="P306" s="7"/>
      <c r="Q306" s="7"/>
      <c r="R306" s="7"/>
      <c r="S306" s="17"/>
    </row>
    <row r="307" ht="13.5" customHeight="1">
      <c r="A307" s="8" t="s">
        <v>33</v>
      </c>
      <c r="B307" s="8" t="s">
        <v>286</v>
      </c>
      <c r="C307" s="8" t="s">
        <v>287</v>
      </c>
      <c r="D307" s="8" t="s">
        <v>288</v>
      </c>
      <c r="E307" s="9" t="s">
        <v>288</v>
      </c>
      <c r="F307" s="8" t="s">
        <v>289</v>
      </c>
      <c r="G307" s="8" t="s">
        <v>440</v>
      </c>
      <c r="H307" s="8" t="s">
        <v>259</v>
      </c>
      <c r="I307" s="8" t="s">
        <v>91</v>
      </c>
      <c r="J307" s="8" t="s">
        <v>400</v>
      </c>
      <c r="K307" s="8" t="s">
        <v>29</v>
      </c>
      <c r="L307" s="17"/>
      <c r="M307" s="17"/>
      <c r="N307" s="18"/>
      <c r="O307" s="19"/>
      <c r="P307" s="7"/>
      <c r="Q307" s="7"/>
      <c r="R307" s="7"/>
      <c r="S307" s="17"/>
    </row>
    <row r="308" ht="13.5" customHeight="1">
      <c r="A308" s="8" t="s">
        <v>33</v>
      </c>
      <c r="B308" s="8" t="s">
        <v>290</v>
      </c>
      <c r="C308" s="8" t="s">
        <v>291</v>
      </c>
      <c r="D308" s="8" t="s">
        <v>292</v>
      </c>
      <c r="E308" s="9" t="s">
        <v>789</v>
      </c>
      <c r="F308" s="8" t="s">
        <v>293</v>
      </c>
      <c r="G308" s="8" t="s">
        <v>440</v>
      </c>
      <c r="H308" s="8" t="s">
        <v>259</v>
      </c>
      <c r="I308" s="8" t="s">
        <v>91</v>
      </c>
      <c r="J308" s="8" t="s">
        <v>400</v>
      </c>
      <c r="K308" s="8" t="s">
        <v>55</v>
      </c>
      <c r="L308" s="17"/>
      <c r="M308" s="17"/>
      <c r="N308" s="18"/>
      <c r="O308" s="19"/>
      <c r="P308" s="7"/>
      <c r="Q308" s="7"/>
      <c r="R308" s="7"/>
      <c r="S308" s="17"/>
    </row>
    <row r="309" ht="13.5" customHeight="1">
      <c r="A309" s="8" t="s">
        <v>33</v>
      </c>
      <c r="B309" s="8" t="s">
        <v>167</v>
      </c>
      <c r="C309" s="8" t="s">
        <v>296</v>
      </c>
      <c r="D309" s="8" t="s">
        <v>297</v>
      </c>
      <c r="E309" s="9" t="s">
        <v>446</v>
      </c>
      <c r="F309" s="8" t="s">
        <v>299</v>
      </c>
      <c r="G309" s="8" t="s">
        <v>440</v>
      </c>
      <c r="H309" s="8" t="s">
        <v>259</v>
      </c>
      <c r="I309" s="8" t="s">
        <v>91</v>
      </c>
      <c r="J309" s="8" t="s">
        <v>400</v>
      </c>
      <c r="K309" s="8" t="s">
        <v>29</v>
      </c>
      <c r="L309" s="17"/>
      <c r="M309" s="17"/>
      <c r="N309" s="18"/>
      <c r="O309" s="19"/>
      <c r="P309" s="7"/>
      <c r="Q309" s="7"/>
      <c r="R309" s="7"/>
      <c r="S309" s="17"/>
    </row>
    <row r="310" ht="13.5" customHeight="1">
      <c r="A310" s="8" t="s">
        <v>33</v>
      </c>
      <c r="B310" s="8" t="s">
        <v>132</v>
      </c>
      <c r="C310" s="8" t="s">
        <v>296</v>
      </c>
      <c r="D310" s="8" t="s">
        <v>323</v>
      </c>
      <c r="E310" s="9" t="s">
        <v>447</v>
      </c>
      <c r="F310" s="8" t="s">
        <v>304</v>
      </c>
      <c r="G310" s="8" t="s">
        <v>440</v>
      </c>
      <c r="H310" s="8" t="s">
        <v>259</v>
      </c>
      <c r="I310" s="8" t="s">
        <v>91</v>
      </c>
      <c r="J310" s="8" t="s">
        <v>400</v>
      </c>
      <c r="K310" s="8" t="s">
        <v>29</v>
      </c>
      <c r="L310" s="17"/>
      <c r="M310" s="17"/>
      <c r="N310" s="18"/>
      <c r="O310" s="19"/>
      <c r="P310" s="7"/>
      <c r="Q310" s="7"/>
      <c r="R310" s="7"/>
      <c r="S310" s="17"/>
    </row>
    <row r="311" ht="13.5" customHeight="1">
      <c r="A311" s="8" t="s">
        <v>33</v>
      </c>
      <c r="B311" s="8" t="s">
        <v>305</v>
      </c>
      <c r="C311" s="8" t="s">
        <v>288</v>
      </c>
      <c r="D311" s="8" t="s">
        <v>288</v>
      </c>
      <c r="E311" s="9" t="s">
        <v>288</v>
      </c>
      <c r="F311" s="8" t="s">
        <v>306</v>
      </c>
      <c r="G311" s="8" t="s">
        <v>440</v>
      </c>
      <c r="H311" s="8" t="s">
        <v>259</v>
      </c>
      <c r="I311" s="8" t="s">
        <v>91</v>
      </c>
      <c r="J311" s="8" t="s">
        <v>400</v>
      </c>
      <c r="K311" s="8" t="s">
        <v>29</v>
      </c>
      <c r="L311" s="17"/>
      <c r="M311" s="17"/>
      <c r="N311" s="18"/>
      <c r="O311" s="19"/>
      <c r="P311" s="7"/>
      <c r="Q311" s="7"/>
      <c r="R311" s="7"/>
      <c r="S311" s="17"/>
    </row>
    <row r="312" ht="13.5" customHeight="1">
      <c r="A312" s="8" t="s">
        <v>33</v>
      </c>
      <c r="B312" s="8" t="s">
        <v>325</v>
      </c>
      <c r="C312" s="8" t="s">
        <v>288</v>
      </c>
      <c r="D312" s="8" t="s">
        <v>288</v>
      </c>
      <c r="E312" s="9" t="s">
        <v>288</v>
      </c>
      <c r="F312" s="8" t="s">
        <v>326</v>
      </c>
      <c r="G312" s="8" t="s">
        <v>440</v>
      </c>
      <c r="H312" s="8" t="s">
        <v>259</v>
      </c>
      <c r="I312" s="8" t="s">
        <v>91</v>
      </c>
      <c r="J312" s="8" t="s">
        <v>400</v>
      </c>
      <c r="K312" s="8" t="s">
        <v>29</v>
      </c>
      <c r="L312" s="17"/>
      <c r="M312" s="17"/>
      <c r="N312" s="18"/>
      <c r="O312" s="19"/>
      <c r="P312" s="7"/>
      <c r="Q312" s="7"/>
      <c r="R312" s="7"/>
      <c r="S312" s="17"/>
    </row>
    <row r="313" ht="13.5" customHeight="1">
      <c r="A313" s="8" t="s">
        <v>448</v>
      </c>
      <c r="B313" s="8" t="s">
        <v>67</v>
      </c>
      <c r="C313" s="8" t="s">
        <v>270</v>
      </c>
      <c r="D313" s="8" t="s">
        <v>308</v>
      </c>
      <c r="E313" s="9" t="s">
        <v>449</v>
      </c>
      <c r="F313" s="8" t="s">
        <v>310</v>
      </c>
      <c r="G313" s="8" t="s">
        <v>450</v>
      </c>
      <c r="H313" s="8" t="s">
        <v>259</v>
      </c>
      <c r="I313" s="8" t="s">
        <v>91</v>
      </c>
      <c r="J313" s="8" t="s">
        <v>400</v>
      </c>
      <c r="K313" s="8" t="s">
        <v>29</v>
      </c>
      <c r="L313" s="17"/>
      <c r="M313" s="17"/>
      <c r="N313" s="18"/>
      <c r="O313" s="19"/>
      <c r="P313" s="7"/>
      <c r="Q313" s="7"/>
      <c r="R313" s="7"/>
      <c r="S313" s="17"/>
    </row>
    <row r="314" ht="13.5" customHeight="1">
      <c r="A314" s="8" t="s">
        <v>33</v>
      </c>
      <c r="B314" s="8" t="s">
        <v>132</v>
      </c>
      <c r="C314" s="8" t="s">
        <v>270</v>
      </c>
      <c r="D314" s="8" t="s">
        <v>332</v>
      </c>
      <c r="E314" s="9" t="s">
        <v>451</v>
      </c>
      <c r="F314" s="8" t="s">
        <v>134</v>
      </c>
      <c r="G314" s="8" t="s">
        <v>450</v>
      </c>
      <c r="H314" s="8" t="s">
        <v>259</v>
      </c>
      <c r="I314" s="8" t="s">
        <v>91</v>
      </c>
      <c r="J314" s="8" t="s">
        <v>400</v>
      </c>
      <c r="K314" s="8" t="s">
        <v>29</v>
      </c>
      <c r="L314" s="17"/>
      <c r="M314" s="17"/>
      <c r="N314" s="18"/>
      <c r="O314" s="19"/>
      <c r="P314" s="7"/>
      <c r="Q314" s="7"/>
      <c r="R314" s="7"/>
      <c r="S314" s="17"/>
    </row>
    <row r="315" ht="13.5" customHeight="1">
      <c r="A315" s="8" t="s">
        <v>33</v>
      </c>
      <c r="B315" s="8" t="s">
        <v>253</v>
      </c>
      <c r="C315" s="8" t="s">
        <v>254</v>
      </c>
      <c r="D315" s="8" t="s">
        <v>255</v>
      </c>
      <c r="E315" s="9" t="s">
        <v>452</v>
      </c>
      <c r="F315" s="8" t="s">
        <v>281</v>
      </c>
      <c r="G315" s="8" t="s">
        <v>450</v>
      </c>
      <c r="H315" s="8" t="s">
        <v>259</v>
      </c>
      <c r="I315" s="8" t="s">
        <v>91</v>
      </c>
      <c r="J315" s="8" t="s">
        <v>400</v>
      </c>
      <c r="K315" s="8" t="s">
        <v>29</v>
      </c>
      <c r="L315" s="17"/>
      <c r="M315" s="17"/>
      <c r="N315" s="18"/>
      <c r="O315" s="19"/>
      <c r="P315" s="7"/>
      <c r="Q315" s="7"/>
      <c r="R315" s="7"/>
      <c r="S315" s="17"/>
    </row>
    <row r="316" ht="13.5" customHeight="1">
      <c r="A316" s="8" t="s">
        <v>33</v>
      </c>
      <c r="B316" s="8" t="s">
        <v>34</v>
      </c>
      <c r="C316" s="8" t="s">
        <v>153</v>
      </c>
      <c r="D316" s="8" t="s">
        <v>154</v>
      </c>
      <c r="E316" s="9" t="s">
        <v>453</v>
      </c>
      <c r="F316" s="8" t="s">
        <v>267</v>
      </c>
      <c r="G316" s="8" t="s">
        <v>450</v>
      </c>
      <c r="H316" s="8" t="s">
        <v>259</v>
      </c>
      <c r="I316" s="8" t="s">
        <v>91</v>
      </c>
      <c r="J316" s="8" t="s">
        <v>400</v>
      </c>
      <c r="K316" s="8" t="s">
        <v>29</v>
      </c>
      <c r="L316" s="17"/>
      <c r="M316" s="17"/>
      <c r="N316" s="18"/>
      <c r="O316" s="19"/>
      <c r="P316" s="7"/>
      <c r="Q316" s="7"/>
      <c r="R316" s="7"/>
      <c r="S316" s="17"/>
    </row>
    <row r="317" ht="13.5" customHeight="1">
      <c r="A317" s="8" t="s">
        <v>33</v>
      </c>
      <c r="B317" s="8" t="s">
        <v>286</v>
      </c>
      <c r="C317" s="8" t="s">
        <v>287</v>
      </c>
      <c r="D317" s="8" t="s">
        <v>288</v>
      </c>
      <c r="E317" s="9" t="s">
        <v>288</v>
      </c>
      <c r="F317" s="8" t="s">
        <v>289</v>
      </c>
      <c r="G317" s="8" t="s">
        <v>450</v>
      </c>
      <c r="H317" s="8" t="s">
        <v>259</v>
      </c>
      <c r="I317" s="8" t="s">
        <v>91</v>
      </c>
      <c r="J317" s="8" t="s">
        <v>400</v>
      </c>
      <c r="K317" s="8" t="s">
        <v>29</v>
      </c>
      <c r="L317" s="17"/>
      <c r="M317" s="17"/>
      <c r="N317" s="18"/>
      <c r="O317" s="19"/>
      <c r="P317" s="7"/>
      <c r="Q317" s="7"/>
      <c r="R317" s="7"/>
      <c r="S317" s="17"/>
    </row>
    <row r="318" ht="13.5" customHeight="1">
      <c r="A318" s="8" t="s">
        <v>33</v>
      </c>
      <c r="B318" s="8" t="s">
        <v>290</v>
      </c>
      <c r="C318" s="8" t="s">
        <v>291</v>
      </c>
      <c r="D318" s="8" t="s">
        <v>292</v>
      </c>
      <c r="E318" s="9" t="s">
        <v>33</v>
      </c>
      <c r="F318" s="8" t="s">
        <v>293</v>
      </c>
      <c r="G318" s="8" t="s">
        <v>84</v>
      </c>
      <c r="H318" s="8" t="s">
        <v>259</v>
      </c>
      <c r="I318" s="8" t="s">
        <v>260</v>
      </c>
      <c r="J318" s="8" t="s">
        <v>294</v>
      </c>
      <c r="K318" s="8" t="s">
        <v>55</v>
      </c>
      <c r="L318" s="17"/>
      <c r="M318" s="17"/>
      <c r="N318" s="18"/>
      <c r="O318" s="19"/>
      <c r="P318" s="7"/>
      <c r="Q318" s="7"/>
      <c r="R318" s="7"/>
      <c r="S318" s="17"/>
    </row>
    <row r="319" ht="13.5" customHeight="1">
      <c r="A319" s="8" t="s">
        <v>33</v>
      </c>
      <c r="B319" s="8" t="s">
        <v>167</v>
      </c>
      <c r="C319" s="8" t="s">
        <v>296</v>
      </c>
      <c r="D319" s="8" t="s">
        <v>297</v>
      </c>
      <c r="E319" s="9" t="s">
        <v>454</v>
      </c>
      <c r="F319" s="8" t="s">
        <v>299</v>
      </c>
      <c r="G319" s="8" t="s">
        <v>450</v>
      </c>
      <c r="H319" s="8" t="s">
        <v>259</v>
      </c>
      <c r="I319" s="8" t="s">
        <v>91</v>
      </c>
      <c r="J319" s="8" t="s">
        <v>400</v>
      </c>
      <c r="K319" s="8" t="s">
        <v>29</v>
      </c>
      <c r="L319" s="17"/>
      <c r="M319" s="17"/>
      <c r="N319" s="18"/>
      <c r="O319" s="19"/>
      <c r="P319" s="7"/>
      <c r="Q319" s="7"/>
      <c r="R319" s="7"/>
      <c r="S319" s="17"/>
    </row>
    <row r="320" ht="13.5" customHeight="1">
      <c r="A320" s="8" t="s">
        <v>33</v>
      </c>
      <c r="B320" s="8" t="s">
        <v>132</v>
      </c>
      <c r="C320" s="8" t="s">
        <v>296</v>
      </c>
      <c r="D320" s="8" t="s">
        <v>302</v>
      </c>
      <c r="E320" s="9" t="s">
        <v>455</v>
      </c>
      <c r="F320" s="8" t="s">
        <v>304</v>
      </c>
      <c r="G320" s="8" t="s">
        <v>450</v>
      </c>
      <c r="H320" s="8" t="s">
        <v>259</v>
      </c>
      <c r="I320" s="8" t="s">
        <v>91</v>
      </c>
      <c r="J320" s="8" t="s">
        <v>400</v>
      </c>
      <c r="K320" s="8" t="s">
        <v>29</v>
      </c>
      <c r="L320" s="17"/>
      <c r="M320" s="17"/>
      <c r="N320" s="18"/>
      <c r="O320" s="19"/>
      <c r="P320" s="7"/>
      <c r="Q320" s="7"/>
      <c r="R320" s="7"/>
      <c r="S320" s="17"/>
    </row>
    <row r="321" ht="13.5" customHeight="1">
      <c r="A321" s="8" t="s">
        <v>456</v>
      </c>
      <c r="B321" s="8" t="s">
        <v>67</v>
      </c>
      <c r="C321" s="8" t="s">
        <v>125</v>
      </c>
      <c r="D321" s="8" t="s">
        <v>411</v>
      </c>
      <c r="E321" s="9" t="s">
        <v>457</v>
      </c>
      <c r="F321" s="8" t="s">
        <v>458</v>
      </c>
      <c r="G321" s="8" t="s">
        <v>459</v>
      </c>
      <c r="H321" s="8" t="s">
        <v>259</v>
      </c>
      <c r="I321" s="8" t="s">
        <v>91</v>
      </c>
      <c r="J321" s="8" t="s">
        <v>400</v>
      </c>
      <c r="K321" s="8" t="s">
        <v>117</v>
      </c>
      <c r="L321" s="17"/>
      <c r="M321" s="17"/>
      <c r="N321" s="18"/>
      <c r="O321" s="19"/>
      <c r="P321" s="8" t="s">
        <v>2172</v>
      </c>
      <c r="Q321" s="7"/>
      <c r="R321" s="7"/>
      <c r="S321" s="17"/>
    </row>
    <row r="322" ht="13.5" customHeight="1">
      <c r="A322" s="8" t="s">
        <v>33</v>
      </c>
      <c r="B322" s="8" t="s">
        <v>132</v>
      </c>
      <c r="C322" s="8" t="s">
        <v>125</v>
      </c>
      <c r="D322" s="8" t="s">
        <v>460</v>
      </c>
      <c r="E322" s="9" t="s">
        <v>461</v>
      </c>
      <c r="F322" s="8" t="s">
        <v>134</v>
      </c>
      <c r="G322" s="8" t="s">
        <v>459</v>
      </c>
      <c r="H322" s="8" t="s">
        <v>259</v>
      </c>
      <c r="I322" s="8" t="s">
        <v>91</v>
      </c>
      <c r="J322" s="8" t="s">
        <v>400</v>
      </c>
      <c r="K322" s="8" t="s">
        <v>29</v>
      </c>
      <c r="L322" s="17"/>
      <c r="M322" s="17"/>
      <c r="N322" s="18"/>
      <c r="O322" s="19"/>
      <c r="P322" s="8"/>
      <c r="Q322" s="7"/>
      <c r="R322" s="7"/>
      <c r="S322" s="17"/>
    </row>
    <row r="323" ht="13.5" customHeight="1">
      <c r="A323" s="8" t="s">
        <v>462</v>
      </c>
      <c r="B323" s="8" t="s">
        <v>253</v>
      </c>
      <c r="C323" s="8" t="s">
        <v>254</v>
      </c>
      <c r="D323" s="8" t="s">
        <v>255</v>
      </c>
      <c r="E323" s="9" t="s">
        <v>463</v>
      </c>
      <c r="F323" s="8" t="s">
        <v>281</v>
      </c>
      <c r="G323" s="8" t="s">
        <v>459</v>
      </c>
      <c r="H323" s="8" t="s">
        <v>259</v>
      </c>
      <c r="I323" s="8" t="s">
        <v>91</v>
      </c>
      <c r="J323" s="8" t="s">
        <v>400</v>
      </c>
      <c r="K323" s="8" t="s">
        <v>29</v>
      </c>
      <c r="L323" s="17"/>
      <c r="M323" s="17"/>
      <c r="N323" s="18"/>
      <c r="O323" s="19"/>
      <c r="P323" s="8"/>
      <c r="Q323" s="7"/>
      <c r="R323" s="7"/>
      <c r="S323" s="17"/>
    </row>
    <row r="324" ht="13.5" customHeight="1">
      <c r="A324" s="8" t="s">
        <v>33</v>
      </c>
      <c r="B324" s="8" t="s">
        <v>34</v>
      </c>
      <c r="C324" s="8" t="s">
        <v>156</v>
      </c>
      <c r="D324" s="8" t="s">
        <v>157</v>
      </c>
      <c r="E324" s="9" t="s">
        <v>158</v>
      </c>
      <c r="F324" s="8" t="s">
        <v>267</v>
      </c>
      <c r="G324" s="8" t="s">
        <v>459</v>
      </c>
      <c r="H324" s="8" t="s">
        <v>259</v>
      </c>
      <c r="I324" s="8" t="s">
        <v>91</v>
      </c>
      <c r="J324" s="8" t="s">
        <v>400</v>
      </c>
      <c r="K324" s="8" t="s">
        <v>29</v>
      </c>
      <c r="L324" s="17"/>
      <c r="M324" s="17"/>
      <c r="N324" s="18"/>
      <c r="O324" s="19"/>
      <c r="P324" s="8"/>
      <c r="Q324" s="7"/>
      <c r="R324" s="7"/>
      <c r="S324" s="17"/>
    </row>
    <row r="325" ht="13.5" customHeight="1">
      <c r="A325" s="8" t="s">
        <v>33</v>
      </c>
      <c r="B325" s="8" t="s">
        <v>286</v>
      </c>
      <c r="C325" s="8" t="s">
        <v>287</v>
      </c>
      <c r="D325" s="8" t="s">
        <v>288</v>
      </c>
      <c r="E325" s="9" t="s">
        <v>288</v>
      </c>
      <c r="F325" s="8" t="s">
        <v>289</v>
      </c>
      <c r="G325" s="8" t="s">
        <v>459</v>
      </c>
      <c r="H325" s="8" t="s">
        <v>259</v>
      </c>
      <c r="I325" s="8" t="s">
        <v>91</v>
      </c>
      <c r="J325" s="8" t="s">
        <v>400</v>
      </c>
      <c r="K325" s="8" t="s">
        <v>29</v>
      </c>
      <c r="L325" s="17"/>
      <c r="M325" s="17"/>
      <c r="N325" s="18"/>
      <c r="O325" s="19"/>
      <c r="P325" s="8"/>
      <c r="Q325" s="7"/>
      <c r="R325" s="7"/>
      <c r="S325" s="17"/>
    </row>
    <row r="326" ht="13.5" customHeight="1">
      <c r="A326" s="8" t="s">
        <v>33</v>
      </c>
      <c r="B326" s="8" t="s">
        <v>290</v>
      </c>
      <c r="C326" s="8" t="s">
        <v>291</v>
      </c>
      <c r="D326" s="8" t="s">
        <v>292</v>
      </c>
      <c r="E326" s="9" t="s">
        <v>464</v>
      </c>
      <c r="F326" s="8" t="s">
        <v>293</v>
      </c>
      <c r="G326" s="8" t="s">
        <v>459</v>
      </c>
      <c r="H326" s="8" t="s">
        <v>259</v>
      </c>
      <c r="I326" s="8" t="s">
        <v>91</v>
      </c>
      <c r="J326" s="8" t="s">
        <v>400</v>
      </c>
      <c r="K326" s="8" t="s">
        <v>29</v>
      </c>
      <c r="L326" s="17"/>
      <c r="M326" s="17"/>
      <c r="N326" s="18"/>
      <c r="O326" s="19"/>
      <c r="P326" s="8"/>
      <c r="Q326" s="7"/>
      <c r="R326" s="7"/>
      <c r="S326" s="17"/>
    </row>
    <row r="327" ht="13.5" customHeight="1">
      <c r="A327" s="8" t="s">
        <v>465</v>
      </c>
      <c r="B327" s="8" t="s">
        <v>74</v>
      </c>
      <c r="C327" s="8" t="s">
        <v>466</v>
      </c>
      <c r="D327" s="8" t="s">
        <v>467</v>
      </c>
      <c r="E327" s="9" t="s">
        <v>468</v>
      </c>
      <c r="F327" s="8" t="s">
        <v>422</v>
      </c>
      <c r="G327" s="8" t="s">
        <v>459</v>
      </c>
      <c r="H327" s="8" t="s">
        <v>259</v>
      </c>
      <c r="I327" s="8" t="s">
        <v>91</v>
      </c>
      <c r="J327" s="8" t="s">
        <v>400</v>
      </c>
      <c r="K327" s="8" t="s">
        <v>29</v>
      </c>
      <c r="L327" s="17"/>
      <c r="M327" s="17"/>
      <c r="N327" s="18"/>
      <c r="O327" s="19"/>
      <c r="P327" s="8"/>
      <c r="Q327" s="7"/>
      <c r="R327" s="7"/>
      <c r="S327" s="17"/>
    </row>
    <row r="328" ht="13.5" customHeight="1">
      <c r="A328" s="8" t="s">
        <v>33</v>
      </c>
      <c r="B328" s="8" t="s">
        <v>167</v>
      </c>
      <c r="C328" s="8" t="s">
        <v>296</v>
      </c>
      <c r="D328" s="8" t="s">
        <v>297</v>
      </c>
      <c r="E328" s="9" t="s">
        <v>469</v>
      </c>
      <c r="F328" s="8" t="s">
        <v>299</v>
      </c>
      <c r="G328" s="8" t="s">
        <v>459</v>
      </c>
      <c r="H328" s="8" t="s">
        <v>259</v>
      </c>
      <c r="I328" s="8" t="s">
        <v>91</v>
      </c>
      <c r="J328" s="8" t="s">
        <v>400</v>
      </c>
      <c r="K328" s="8" t="s">
        <v>29</v>
      </c>
      <c r="L328" s="17"/>
      <c r="M328" s="17"/>
      <c r="N328" s="18"/>
      <c r="O328" s="19"/>
      <c r="P328" s="8"/>
      <c r="Q328" s="7"/>
      <c r="R328" s="7"/>
      <c r="S328" s="17"/>
    </row>
    <row r="329" ht="13.5" customHeight="1">
      <c r="A329" s="8" t="s">
        <v>33</v>
      </c>
      <c r="B329" s="8" t="s">
        <v>132</v>
      </c>
      <c r="C329" s="8" t="s">
        <v>296</v>
      </c>
      <c r="D329" s="8" t="s">
        <v>323</v>
      </c>
      <c r="E329" s="9" t="s">
        <v>470</v>
      </c>
      <c r="F329" s="8" t="s">
        <v>304</v>
      </c>
      <c r="G329" s="8" t="s">
        <v>459</v>
      </c>
      <c r="H329" s="8" t="s">
        <v>259</v>
      </c>
      <c r="I329" s="8" t="s">
        <v>91</v>
      </c>
      <c r="J329" s="8" t="s">
        <v>400</v>
      </c>
      <c r="K329" s="8" t="s">
        <v>29</v>
      </c>
      <c r="L329" s="17"/>
      <c r="M329" s="17"/>
      <c r="N329" s="18"/>
      <c r="O329" s="19"/>
      <c r="P329" s="8"/>
      <c r="Q329" s="7"/>
      <c r="R329" s="7"/>
      <c r="S329" s="17"/>
    </row>
    <row r="330" ht="13.5" customHeight="1">
      <c r="A330" s="8" t="s">
        <v>33</v>
      </c>
      <c r="B330" s="8" t="s">
        <v>305</v>
      </c>
      <c r="C330" s="8" t="s">
        <v>288</v>
      </c>
      <c r="D330" s="8" t="s">
        <v>288</v>
      </c>
      <c r="E330" s="9" t="s">
        <v>288</v>
      </c>
      <c r="F330" s="8" t="s">
        <v>306</v>
      </c>
      <c r="G330" s="8" t="s">
        <v>459</v>
      </c>
      <c r="H330" s="8" t="s">
        <v>259</v>
      </c>
      <c r="I330" s="8" t="s">
        <v>91</v>
      </c>
      <c r="J330" s="8" t="s">
        <v>400</v>
      </c>
      <c r="K330" s="8" t="s">
        <v>29</v>
      </c>
      <c r="L330" s="17"/>
      <c r="M330" s="17"/>
      <c r="N330" s="18"/>
      <c r="O330" s="19"/>
      <c r="P330" s="8"/>
      <c r="Q330" s="7"/>
      <c r="R330" s="7"/>
      <c r="S330" s="17"/>
    </row>
    <row r="331" ht="13.5" customHeight="1">
      <c r="A331" s="8" t="s">
        <v>33</v>
      </c>
      <c r="B331" s="8" t="s">
        <v>325</v>
      </c>
      <c r="C331" s="8" t="s">
        <v>288</v>
      </c>
      <c r="D331" s="8" t="s">
        <v>288</v>
      </c>
      <c r="E331" s="9" t="s">
        <v>288</v>
      </c>
      <c r="F331" s="8" t="s">
        <v>326</v>
      </c>
      <c r="G331" s="8" t="s">
        <v>459</v>
      </c>
      <c r="H331" s="8" t="s">
        <v>259</v>
      </c>
      <c r="I331" s="8" t="s">
        <v>91</v>
      </c>
      <c r="J331" s="8" t="s">
        <v>400</v>
      </c>
      <c r="K331" s="8" t="s">
        <v>29</v>
      </c>
      <c r="L331" s="17"/>
      <c r="M331" s="17"/>
      <c r="N331" s="18"/>
      <c r="O331" s="19"/>
      <c r="P331" s="8"/>
      <c r="Q331" s="7"/>
      <c r="R331" s="7"/>
      <c r="S331" s="17"/>
    </row>
    <row r="332" ht="13.5" customHeight="1">
      <c r="A332" s="8" t="s">
        <v>33</v>
      </c>
      <c r="B332" s="8" t="s">
        <v>67</v>
      </c>
      <c r="C332" s="8" t="s">
        <v>270</v>
      </c>
      <c r="D332" s="8" t="s">
        <v>358</v>
      </c>
      <c r="E332" s="9" t="s">
        <v>471</v>
      </c>
      <c r="F332" s="8" t="s">
        <v>398</v>
      </c>
      <c r="G332" s="8" t="s">
        <v>472</v>
      </c>
      <c r="H332" s="8" t="s">
        <v>259</v>
      </c>
      <c r="I332" s="8" t="s">
        <v>91</v>
      </c>
      <c r="J332" s="8" t="s">
        <v>400</v>
      </c>
      <c r="K332" s="8" t="s">
        <v>29</v>
      </c>
      <c r="L332" s="17"/>
      <c r="M332" s="17"/>
      <c r="N332" s="18"/>
      <c r="O332" s="19"/>
      <c r="P332" s="7"/>
      <c r="Q332" s="7"/>
      <c r="R332" s="7"/>
      <c r="S332" s="17"/>
    </row>
    <row r="333" ht="13.5" customHeight="1">
      <c r="A333" s="8" t="s">
        <v>33</v>
      </c>
      <c r="B333" s="8" t="s">
        <v>132</v>
      </c>
      <c r="C333" s="8" t="s">
        <v>473</v>
      </c>
      <c r="D333" s="8" t="s">
        <v>332</v>
      </c>
      <c r="E333" s="9" t="s">
        <v>474</v>
      </c>
      <c r="F333" s="8" t="s">
        <v>134</v>
      </c>
      <c r="G333" s="8" t="s">
        <v>472</v>
      </c>
      <c r="H333" s="8" t="s">
        <v>259</v>
      </c>
      <c r="I333" s="8" t="s">
        <v>91</v>
      </c>
      <c r="J333" s="8" t="s">
        <v>400</v>
      </c>
      <c r="K333" s="8" t="s">
        <v>29</v>
      </c>
      <c r="L333" s="17"/>
      <c r="M333" s="17"/>
      <c r="N333" s="18"/>
      <c r="O333" s="19"/>
      <c r="P333" s="7"/>
      <c r="Q333" s="7"/>
      <c r="R333" s="7"/>
      <c r="S333" s="17"/>
    </row>
    <row r="334" ht="13.5" customHeight="1">
      <c r="A334" s="8" t="s">
        <v>475</v>
      </c>
      <c r="B334" s="8" t="s">
        <v>253</v>
      </c>
      <c r="C334" s="8" t="s">
        <v>254</v>
      </c>
      <c r="D334" s="8" t="s">
        <v>255</v>
      </c>
      <c r="E334" s="9" t="s">
        <v>476</v>
      </c>
      <c r="F334" s="8" t="s">
        <v>281</v>
      </c>
      <c r="G334" s="8" t="s">
        <v>472</v>
      </c>
      <c r="H334" s="8" t="s">
        <v>259</v>
      </c>
      <c r="I334" s="8" t="s">
        <v>91</v>
      </c>
      <c r="J334" s="8" t="s">
        <v>400</v>
      </c>
      <c r="K334" s="8" t="s">
        <v>29</v>
      </c>
      <c r="L334" s="17"/>
      <c r="M334" s="17"/>
      <c r="N334" s="18"/>
      <c r="O334" s="19"/>
      <c r="P334" s="7"/>
      <c r="Q334" s="7"/>
      <c r="R334" s="7"/>
      <c r="S334" s="17"/>
    </row>
    <row r="335" ht="13.5" customHeight="1">
      <c r="A335" s="8" t="s">
        <v>477</v>
      </c>
      <c r="B335" s="8" t="s">
        <v>34</v>
      </c>
      <c r="C335" s="8" t="s">
        <v>156</v>
      </c>
      <c r="D335" s="8" t="s">
        <v>157</v>
      </c>
      <c r="E335" s="9" t="s">
        <v>158</v>
      </c>
      <c r="F335" s="8" t="s">
        <v>267</v>
      </c>
      <c r="G335" s="8" t="s">
        <v>472</v>
      </c>
      <c r="H335" s="8" t="s">
        <v>259</v>
      </c>
      <c r="I335" s="8" t="s">
        <v>91</v>
      </c>
      <c r="J335" s="8" t="s">
        <v>400</v>
      </c>
      <c r="K335" s="8" t="s">
        <v>29</v>
      </c>
      <c r="L335" s="17"/>
      <c r="M335" s="17"/>
      <c r="N335" s="18"/>
      <c r="O335" s="19"/>
      <c r="P335" s="7"/>
      <c r="Q335" s="7"/>
      <c r="R335" s="7"/>
      <c r="S335" s="17"/>
    </row>
    <row r="336" ht="13.5" customHeight="1">
      <c r="A336" s="8" t="s">
        <v>33</v>
      </c>
      <c r="B336" s="8" t="s">
        <v>286</v>
      </c>
      <c r="C336" s="8" t="s">
        <v>287</v>
      </c>
      <c r="D336" s="8" t="s">
        <v>288</v>
      </c>
      <c r="E336" s="9" t="s">
        <v>288</v>
      </c>
      <c r="F336" s="8" t="s">
        <v>289</v>
      </c>
      <c r="G336" s="8" t="s">
        <v>472</v>
      </c>
      <c r="H336" s="8" t="s">
        <v>259</v>
      </c>
      <c r="I336" s="8" t="s">
        <v>91</v>
      </c>
      <c r="J336" s="8" t="s">
        <v>400</v>
      </c>
      <c r="K336" s="8" t="s">
        <v>29</v>
      </c>
      <c r="L336" s="17"/>
      <c r="M336" s="17"/>
      <c r="N336" s="18"/>
      <c r="O336" s="19"/>
      <c r="P336" s="7"/>
      <c r="Q336" s="7"/>
      <c r="R336" s="7"/>
      <c r="S336" s="17"/>
    </row>
    <row r="337" ht="13.5" customHeight="1">
      <c r="A337" s="8" t="s">
        <v>478</v>
      </c>
      <c r="B337" s="8" t="s">
        <v>290</v>
      </c>
      <c r="C337" s="8" t="s">
        <v>291</v>
      </c>
      <c r="D337" s="8" t="s">
        <v>292</v>
      </c>
      <c r="E337" s="9" t="s">
        <v>479</v>
      </c>
      <c r="F337" s="8" t="s">
        <v>293</v>
      </c>
      <c r="G337" s="8" t="s">
        <v>84</v>
      </c>
      <c r="H337" s="8" t="s">
        <v>259</v>
      </c>
      <c r="I337" s="8" t="s">
        <v>260</v>
      </c>
      <c r="J337" s="8" t="s">
        <v>294</v>
      </c>
      <c r="K337" s="8" t="s">
        <v>55</v>
      </c>
      <c r="L337" s="17"/>
      <c r="M337" s="17"/>
      <c r="N337" s="18"/>
      <c r="O337" s="19"/>
      <c r="P337" s="7"/>
      <c r="Q337" s="7"/>
      <c r="R337" s="7"/>
      <c r="S337" s="17"/>
    </row>
    <row r="338" ht="13.5" customHeight="1">
      <c r="A338" s="8" t="s">
        <v>480</v>
      </c>
      <c r="B338" s="8" t="s">
        <v>98</v>
      </c>
      <c r="C338" s="8" t="s">
        <v>48</v>
      </c>
      <c r="D338" s="8" t="s">
        <v>481</v>
      </c>
      <c r="E338" s="9" t="s">
        <v>482</v>
      </c>
      <c r="F338" s="8" t="s">
        <v>483</v>
      </c>
      <c r="G338" s="8" t="s">
        <v>472</v>
      </c>
      <c r="H338" s="8" t="s">
        <v>259</v>
      </c>
      <c r="I338" s="8" t="s">
        <v>91</v>
      </c>
      <c r="J338" s="8" t="s">
        <v>400</v>
      </c>
      <c r="K338" s="8" t="s">
        <v>117</v>
      </c>
      <c r="L338" s="17"/>
      <c r="M338" s="17"/>
      <c r="N338" s="18"/>
      <c r="O338" s="19"/>
      <c r="P338" s="8" t="s">
        <v>2173</v>
      </c>
      <c r="Q338" s="7"/>
      <c r="R338" s="7"/>
      <c r="S338" s="17"/>
    </row>
    <row r="339" ht="13.5" customHeight="1">
      <c r="A339" s="8" t="s">
        <v>484</v>
      </c>
      <c r="B339" s="8" t="s">
        <v>74</v>
      </c>
      <c r="C339" s="8" t="s">
        <v>435</v>
      </c>
      <c r="D339" s="8" t="s">
        <v>33</v>
      </c>
      <c r="E339" s="9" t="s">
        <v>33</v>
      </c>
      <c r="F339" s="8" t="s">
        <v>422</v>
      </c>
      <c r="G339" s="8" t="s">
        <v>472</v>
      </c>
      <c r="H339" s="8" t="s">
        <v>259</v>
      </c>
      <c r="I339" s="8" t="s">
        <v>91</v>
      </c>
      <c r="J339" s="8" t="s">
        <v>400</v>
      </c>
      <c r="K339" s="8" t="s">
        <v>29</v>
      </c>
      <c r="L339" s="17"/>
      <c r="M339" s="17"/>
      <c r="N339" s="18"/>
      <c r="O339" s="19"/>
      <c r="P339" s="7"/>
      <c r="Q339" s="7"/>
      <c r="R339" s="7"/>
      <c r="S339" s="17"/>
    </row>
    <row r="340" ht="13.5" customHeight="1">
      <c r="A340" s="8" t="s">
        <v>33</v>
      </c>
      <c r="B340" s="8" t="s">
        <v>167</v>
      </c>
      <c r="C340" s="8" t="s">
        <v>197</v>
      </c>
      <c r="D340" s="8" t="s">
        <v>485</v>
      </c>
      <c r="E340" s="9" t="s">
        <v>486</v>
      </c>
      <c r="F340" s="8" t="s">
        <v>487</v>
      </c>
      <c r="G340" s="8" t="s">
        <v>472</v>
      </c>
      <c r="H340" s="8" t="s">
        <v>259</v>
      </c>
      <c r="I340" s="8" t="s">
        <v>91</v>
      </c>
      <c r="J340" s="8" t="s">
        <v>400</v>
      </c>
      <c r="K340" s="8" t="s">
        <v>29</v>
      </c>
      <c r="L340" s="17"/>
      <c r="M340" s="17"/>
      <c r="N340" s="18"/>
      <c r="O340" s="19"/>
      <c r="P340" s="7"/>
      <c r="Q340" s="7"/>
      <c r="R340" s="7"/>
      <c r="S340" s="17"/>
    </row>
    <row r="341" ht="13.5" customHeight="1">
      <c r="A341" s="8" t="s">
        <v>33</v>
      </c>
      <c r="B341" s="8" t="s">
        <v>132</v>
      </c>
      <c r="C341" s="8" t="s">
        <v>488</v>
      </c>
      <c r="D341" s="8" t="s">
        <v>288</v>
      </c>
      <c r="E341" s="9" t="s">
        <v>288</v>
      </c>
      <c r="F341" s="8" t="s">
        <v>304</v>
      </c>
      <c r="G341" s="8" t="s">
        <v>472</v>
      </c>
      <c r="H341" s="8" t="s">
        <v>259</v>
      </c>
      <c r="I341" s="8" t="s">
        <v>91</v>
      </c>
      <c r="J341" s="8" t="s">
        <v>400</v>
      </c>
      <c r="K341" s="8" t="s">
        <v>29</v>
      </c>
      <c r="L341" s="17"/>
      <c r="M341" s="17"/>
      <c r="N341" s="18"/>
      <c r="O341" s="19"/>
      <c r="P341" s="7"/>
      <c r="Q341" s="7"/>
      <c r="R341" s="7"/>
      <c r="S341" s="17"/>
    </row>
    <row r="342" ht="13.5" customHeight="1">
      <c r="A342" s="8" t="s">
        <v>33</v>
      </c>
      <c r="B342" s="8" t="s">
        <v>305</v>
      </c>
      <c r="C342" s="8" t="s">
        <v>288</v>
      </c>
      <c r="D342" s="8" t="s">
        <v>288</v>
      </c>
      <c r="E342" s="9" t="s">
        <v>288</v>
      </c>
      <c r="F342" s="8" t="s">
        <v>2174</v>
      </c>
      <c r="G342" s="8" t="s">
        <v>472</v>
      </c>
      <c r="H342" s="8" t="s">
        <v>259</v>
      </c>
      <c r="I342" s="8" t="s">
        <v>91</v>
      </c>
      <c r="J342" s="8" t="s">
        <v>400</v>
      </c>
      <c r="K342" s="8" t="s">
        <v>29</v>
      </c>
      <c r="L342" s="17"/>
      <c r="M342" s="17"/>
      <c r="N342" s="18"/>
      <c r="O342" s="19"/>
      <c r="P342" s="7"/>
      <c r="Q342" s="7"/>
      <c r="R342" s="7"/>
      <c r="S342" s="17"/>
    </row>
    <row r="343" ht="13.5" customHeight="1">
      <c r="A343" s="8" t="s">
        <v>33</v>
      </c>
      <c r="B343" s="8" t="s">
        <v>325</v>
      </c>
      <c r="C343" s="8" t="s">
        <v>288</v>
      </c>
      <c r="D343" s="8" t="s">
        <v>288</v>
      </c>
      <c r="E343" s="9" t="s">
        <v>288</v>
      </c>
      <c r="F343" s="8" t="s">
        <v>2174</v>
      </c>
      <c r="G343" s="8" t="s">
        <v>472</v>
      </c>
      <c r="H343" s="8" t="s">
        <v>259</v>
      </c>
      <c r="I343" s="8" t="s">
        <v>91</v>
      </c>
      <c r="J343" s="8" t="s">
        <v>400</v>
      </c>
      <c r="K343" s="8" t="s">
        <v>29</v>
      </c>
      <c r="L343" s="17"/>
      <c r="M343" s="17"/>
      <c r="N343" s="18"/>
      <c r="O343" s="19"/>
      <c r="P343" s="7"/>
      <c r="Q343" s="7"/>
      <c r="R343" s="7"/>
      <c r="S343" s="17"/>
    </row>
    <row r="344" ht="13.5" customHeight="1">
      <c r="A344" s="8" t="s">
        <v>33</v>
      </c>
      <c r="B344" s="8" t="s">
        <v>67</v>
      </c>
      <c r="C344" s="8" t="s">
        <v>125</v>
      </c>
      <c r="D344" s="8" t="s">
        <v>411</v>
      </c>
      <c r="E344" s="9" t="s">
        <v>33</v>
      </c>
      <c r="F344" s="8" t="s">
        <v>413</v>
      </c>
      <c r="G344" s="8" t="s">
        <v>489</v>
      </c>
      <c r="H344" s="8" t="s">
        <v>259</v>
      </c>
      <c r="I344" s="8" t="s">
        <v>260</v>
      </c>
      <c r="J344" s="8" t="s">
        <v>490</v>
      </c>
      <c r="K344" s="8" t="s">
        <v>29</v>
      </c>
      <c r="L344" s="17"/>
      <c r="M344" s="17"/>
      <c r="N344" s="18"/>
      <c r="O344" s="19"/>
      <c r="P344" s="7"/>
      <c r="Q344" s="7"/>
      <c r="R344" s="7"/>
      <c r="S344" s="17"/>
    </row>
    <row r="345" ht="13.5" customHeight="1">
      <c r="A345" s="8" t="s">
        <v>33</v>
      </c>
      <c r="B345" s="8" t="s">
        <v>132</v>
      </c>
      <c r="C345" s="8" t="s">
        <v>125</v>
      </c>
      <c r="D345" s="8" t="s">
        <v>133</v>
      </c>
      <c r="E345" s="9" t="s">
        <v>33</v>
      </c>
      <c r="F345" s="8" t="s">
        <v>134</v>
      </c>
      <c r="G345" s="8" t="s">
        <v>489</v>
      </c>
      <c r="H345" s="8" t="s">
        <v>259</v>
      </c>
      <c r="I345" s="8" t="s">
        <v>260</v>
      </c>
      <c r="J345" s="8" t="s">
        <v>490</v>
      </c>
      <c r="K345" s="8" t="s">
        <v>29</v>
      </c>
      <c r="L345" s="17"/>
      <c r="M345" s="17"/>
      <c r="N345" s="18"/>
      <c r="O345" s="19"/>
      <c r="P345" s="7"/>
      <c r="Q345" s="7"/>
      <c r="R345" s="7"/>
      <c r="S345" s="17"/>
    </row>
    <row r="346" ht="13.5" customHeight="1">
      <c r="A346" s="8" t="s">
        <v>33</v>
      </c>
      <c r="B346" s="8" t="s">
        <v>253</v>
      </c>
      <c r="C346" s="8" t="s">
        <v>254</v>
      </c>
      <c r="D346" s="8" t="s">
        <v>255</v>
      </c>
      <c r="E346" s="9" t="s">
        <v>33</v>
      </c>
      <c r="F346" s="8" t="s">
        <v>281</v>
      </c>
      <c r="G346" s="8" t="s">
        <v>489</v>
      </c>
      <c r="H346" s="8" t="s">
        <v>259</v>
      </c>
      <c r="I346" s="8" t="s">
        <v>260</v>
      </c>
      <c r="J346" s="8" t="s">
        <v>490</v>
      </c>
      <c r="K346" s="8" t="s">
        <v>29</v>
      </c>
      <c r="L346" s="17"/>
      <c r="M346" s="17"/>
      <c r="N346" s="18"/>
      <c r="O346" s="19"/>
      <c r="P346" s="7"/>
      <c r="Q346" s="7"/>
      <c r="R346" s="7"/>
      <c r="S346" s="17"/>
    </row>
    <row r="347" ht="13.5" customHeight="1">
      <c r="A347" s="8" t="s">
        <v>491</v>
      </c>
      <c r="B347" s="8" t="s">
        <v>34</v>
      </c>
      <c r="C347" s="8" t="s">
        <v>125</v>
      </c>
      <c r="D347" s="8" t="s">
        <v>492</v>
      </c>
      <c r="E347" s="9" t="s">
        <v>33</v>
      </c>
      <c r="F347" s="8" t="s">
        <v>267</v>
      </c>
      <c r="G347" s="8" t="s">
        <v>489</v>
      </c>
      <c r="H347" s="8" t="s">
        <v>259</v>
      </c>
      <c r="I347" s="8" t="s">
        <v>260</v>
      </c>
      <c r="J347" s="8" t="s">
        <v>490</v>
      </c>
      <c r="K347" s="8" t="s">
        <v>29</v>
      </c>
      <c r="L347" s="17"/>
      <c r="M347" s="17"/>
      <c r="N347" s="18"/>
      <c r="O347" s="19"/>
      <c r="P347" s="7"/>
      <c r="Q347" s="7"/>
      <c r="R347" s="7"/>
      <c r="S347" s="17"/>
    </row>
    <row r="348" ht="13.5" customHeight="1">
      <c r="A348" s="8" t="s">
        <v>33</v>
      </c>
      <c r="B348" s="8" t="s">
        <v>286</v>
      </c>
      <c r="C348" s="8" t="s">
        <v>287</v>
      </c>
      <c r="D348" s="8" t="s">
        <v>288</v>
      </c>
      <c r="E348" s="9" t="s">
        <v>288</v>
      </c>
      <c r="F348" s="8" t="s">
        <v>289</v>
      </c>
      <c r="G348" s="8" t="s">
        <v>489</v>
      </c>
      <c r="H348" s="8" t="s">
        <v>259</v>
      </c>
      <c r="I348" s="8" t="s">
        <v>260</v>
      </c>
      <c r="J348" s="8" t="s">
        <v>490</v>
      </c>
      <c r="K348" s="8" t="s">
        <v>29</v>
      </c>
      <c r="L348" s="17"/>
      <c r="M348" s="17"/>
      <c r="N348" s="18"/>
      <c r="O348" s="19"/>
      <c r="P348" s="7"/>
      <c r="Q348" s="7"/>
      <c r="R348" s="7"/>
      <c r="S348" s="17"/>
    </row>
    <row r="349" ht="13.5" customHeight="1">
      <c r="A349" s="8" t="s">
        <v>33</v>
      </c>
      <c r="B349" s="8" t="s">
        <v>74</v>
      </c>
      <c r="C349" s="8" t="s">
        <v>466</v>
      </c>
      <c r="D349" s="8" t="s">
        <v>467</v>
      </c>
      <c r="E349" s="9" t="s">
        <v>33</v>
      </c>
      <c r="F349" s="8" t="s">
        <v>422</v>
      </c>
      <c r="G349" s="8" t="s">
        <v>489</v>
      </c>
      <c r="H349" s="8" t="s">
        <v>259</v>
      </c>
      <c r="I349" s="8" t="s">
        <v>260</v>
      </c>
      <c r="J349" s="8" t="s">
        <v>490</v>
      </c>
      <c r="K349" s="8" t="s">
        <v>29</v>
      </c>
      <c r="L349" s="17"/>
      <c r="M349" s="17"/>
      <c r="N349" s="18"/>
      <c r="O349" s="19"/>
      <c r="P349" s="7"/>
      <c r="Q349" s="7"/>
      <c r="R349" s="7"/>
      <c r="S349" s="17"/>
    </row>
    <row r="350" ht="13.5" customHeight="1">
      <c r="A350" s="8" t="s">
        <v>493</v>
      </c>
      <c r="B350" s="8" t="s">
        <v>74</v>
      </c>
      <c r="C350" s="8" t="s">
        <v>33</v>
      </c>
      <c r="D350" s="8" t="s">
        <v>33</v>
      </c>
      <c r="E350" s="9" t="s">
        <v>33</v>
      </c>
      <c r="F350" s="8" t="s">
        <v>422</v>
      </c>
      <c r="G350" s="8" t="s">
        <v>489</v>
      </c>
      <c r="H350" s="8" t="s">
        <v>259</v>
      </c>
      <c r="I350" s="8" t="s">
        <v>260</v>
      </c>
      <c r="J350" s="8" t="s">
        <v>490</v>
      </c>
      <c r="K350" s="8" t="s">
        <v>29</v>
      </c>
      <c r="L350" s="17"/>
      <c r="M350" s="17"/>
      <c r="N350" s="18"/>
      <c r="O350" s="19"/>
      <c r="P350" s="7"/>
      <c r="Q350" s="7"/>
      <c r="R350" s="7"/>
      <c r="S350" s="17"/>
    </row>
    <row r="351" ht="13.5" customHeight="1">
      <c r="A351" s="8" t="s">
        <v>33</v>
      </c>
      <c r="B351" s="8" t="s">
        <v>167</v>
      </c>
      <c r="C351" s="8" t="s">
        <v>296</v>
      </c>
      <c r="D351" s="8" t="s">
        <v>169</v>
      </c>
      <c r="E351" s="9" t="s">
        <v>2175</v>
      </c>
      <c r="F351" s="8" t="s">
        <v>2176</v>
      </c>
      <c r="G351" s="8" t="s">
        <v>489</v>
      </c>
      <c r="H351" s="8" t="s">
        <v>259</v>
      </c>
      <c r="I351" s="8" t="s">
        <v>260</v>
      </c>
      <c r="J351" s="8" t="s">
        <v>490</v>
      </c>
      <c r="K351" s="8" t="s">
        <v>29</v>
      </c>
      <c r="L351" s="17"/>
      <c r="M351" s="17"/>
      <c r="N351" s="18"/>
      <c r="O351" s="19"/>
      <c r="P351" s="7"/>
      <c r="Q351" s="7"/>
      <c r="R351" s="7"/>
      <c r="S351" s="17"/>
    </row>
    <row r="352" ht="13.5" customHeight="1">
      <c r="A352" s="8" t="s">
        <v>33</v>
      </c>
      <c r="B352" s="8" t="s">
        <v>132</v>
      </c>
      <c r="C352" s="8" t="s">
        <v>296</v>
      </c>
      <c r="D352" s="8" t="s">
        <v>1324</v>
      </c>
      <c r="E352" s="9" t="s">
        <v>2177</v>
      </c>
      <c r="F352" s="8" t="s">
        <v>304</v>
      </c>
      <c r="G352" s="8" t="s">
        <v>489</v>
      </c>
      <c r="H352" s="8" t="s">
        <v>259</v>
      </c>
      <c r="I352" s="8" t="s">
        <v>260</v>
      </c>
      <c r="J352" s="8" t="s">
        <v>490</v>
      </c>
      <c r="K352" s="8" t="s">
        <v>29</v>
      </c>
      <c r="L352" s="17"/>
      <c r="M352" s="17"/>
      <c r="N352" s="18"/>
      <c r="O352" s="19"/>
      <c r="P352" s="7"/>
      <c r="Q352" s="7"/>
      <c r="R352" s="7"/>
      <c r="S352" s="17"/>
    </row>
    <row r="353" ht="13.5" customHeight="1">
      <c r="A353" s="8" t="s">
        <v>33</v>
      </c>
      <c r="B353" s="8" t="s">
        <v>305</v>
      </c>
      <c r="C353" s="8" t="s">
        <v>288</v>
      </c>
      <c r="D353" s="8" t="s">
        <v>288</v>
      </c>
      <c r="E353" s="9" t="s">
        <v>288</v>
      </c>
      <c r="F353" s="8" t="s">
        <v>2176</v>
      </c>
      <c r="G353" s="8" t="s">
        <v>489</v>
      </c>
      <c r="H353" s="8" t="s">
        <v>259</v>
      </c>
      <c r="I353" s="8" t="s">
        <v>260</v>
      </c>
      <c r="J353" s="8" t="s">
        <v>490</v>
      </c>
      <c r="K353" s="8" t="s">
        <v>29</v>
      </c>
      <c r="L353" s="17"/>
      <c r="M353" s="17"/>
      <c r="N353" s="18"/>
      <c r="O353" s="19"/>
      <c r="P353" s="7"/>
      <c r="Q353" s="7"/>
      <c r="R353" s="7"/>
      <c r="S353" s="17"/>
    </row>
    <row r="354" ht="13.5" customHeight="1">
      <c r="A354" s="8" t="s">
        <v>33</v>
      </c>
      <c r="B354" s="8" t="s">
        <v>325</v>
      </c>
      <c r="C354" s="8" t="s">
        <v>288</v>
      </c>
      <c r="D354" s="8" t="s">
        <v>288</v>
      </c>
      <c r="E354" s="9" t="s">
        <v>288</v>
      </c>
      <c r="F354" s="8" t="s">
        <v>2178</v>
      </c>
      <c r="G354" s="8" t="s">
        <v>489</v>
      </c>
      <c r="H354" s="8" t="s">
        <v>259</v>
      </c>
      <c r="I354" s="8" t="s">
        <v>260</v>
      </c>
      <c r="J354" s="8" t="s">
        <v>490</v>
      </c>
      <c r="K354" s="8" t="s">
        <v>55</v>
      </c>
      <c r="L354" s="17"/>
      <c r="M354" s="17"/>
      <c r="N354" s="18"/>
      <c r="O354" s="19"/>
      <c r="P354" s="8" t="s">
        <v>2179</v>
      </c>
      <c r="Q354" s="7"/>
      <c r="R354" s="7"/>
      <c r="S354" s="17"/>
    </row>
    <row r="355" ht="13.5" customHeight="1">
      <c r="A355" s="8" t="s">
        <v>33</v>
      </c>
      <c r="B355" s="8" t="s">
        <v>67</v>
      </c>
      <c r="C355" s="8" t="s">
        <v>270</v>
      </c>
      <c r="D355" s="8" t="s">
        <v>308</v>
      </c>
      <c r="E355" s="9" t="s">
        <v>1852</v>
      </c>
      <c r="F355" s="8" t="s">
        <v>507</v>
      </c>
      <c r="G355" s="8" t="s">
        <v>878</v>
      </c>
      <c r="H355" s="8" t="s">
        <v>670</v>
      </c>
      <c r="I355" s="8" t="s">
        <v>260</v>
      </c>
      <c r="J355" s="8" t="s">
        <v>294</v>
      </c>
      <c r="K355" s="8" t="s">
        <v>29</v>
      </c>
      <c r="L355" s="17"/>
      <c r="M355" s="17"/>
      <c r="N355" s="18"/>
      <c r="O355" s="19"/>
      <c r="P355" s="7"/>
      <c r="Q355" s="7"/>
      <c r="R355" s="7"/>
      <c r="S355" s="17"/>
    </row>
    <row r="356" ht="13.5" customHeight="1">
      <c r="A356" s="8" t="s">
        <v>33</v>
      </c>
      <c r="B356" s="8" t="s">
        <v>132</v>
      </c>
      <c r="C356" s="8" t="s">
        <v>473</v>
      </c>
      <c r="D356" s="8" t="s">
        <v>1783</v>
      </c>
      <c r="E356" s="9" t="s">
        <v>2180</v>
      </c>
      <c r="F356" s="8" t="s">
        <v>2181</v>
      </c>
      <c r="G356" s="8" t="s">
        <v>878</v>
      </c>
      <c r="H356" s="8" t="s">
        <v>670</v>
      </c>
      <c r="I356" s="8" t="s">
        <v>260</v>
      </c>
      <c r="J356" s="8" t="s">
        <v>294</v>
      </c>
      <c r="K356" s="8" t="s">
        <v>29</v>
      </c>
      <c r="L356" s="17"/>
      <c r="M356" s="17"/>
      <c r="N356" s="18"/>
      <c r="O356" s="19"/>
      <c r="P356" s="7"/>
      <c r="Q356" s="7"/>
      <c r="R356" s="7"/>
      <c r="S356" s="17"/>
    </row>
    <row r="357" ht="13.5" customHeight="1">
      <c r="A357" s="8" t="s">
        <v>33</v>
      </c>
      <c r="B357" s="8" t="s">
        <v>67</v>
      </c>
      <c r="C357" s="8" t="s">
        <v>270</v>
      </c>
      <c r="D357" s="8" t="s">
        <v>308</v>
      </c>
      <c r="E357" s="9" t="s">
        <v>2182</v>
      </c>
      <c r="F357" s="8" t="s">
        <v>507</v>
      </c>
      <c r="G357" s="8" t="s">
        <v>235</v>
      </c>
      <c r="H357" s="8" t="s">
        <v>207</v>
      </c>
      <c r="I357" s="8" t="s">
        <v>27</v>
      </c>
      <c r="J357" s="8" t="s">
        <v>28</v>
      </c>
      <c r="K357" s="8" t="s">
        <v>29</v>
      </c>
      <c r="L357" s="17"/>
      <c r="M357" s="17"/>
      <c r="N357" s="18"/>
      <c r="O357" s="19"/>
      <c r="P357" s="7"/>
      <c r="Q357" s="7"/>
      <c r="R357" s="7"/>
      <c r="S357" s="17"/>
    </row>
    <row r="358" ht="13.5" customHeight="1">
      <c r="A358" s="8" t="s">
        <v>2183</v>
      </c>
      <c r="B358" s="8" t="s">
        <v>132</v>
      </c>
      <c r="C358" s="8" t="s">
        <v>362</v>
      </c>
      <c r="D358" s="8" t="s">
        <v>441</v>
      </c>
      <c r="E358" s="9" t="s">
        <v>2184</v>
      </c>
      <c r="F358" s="8" t="s">
        <v>2185</v>
      </c>
      <c r="G358" s="8" t="s">
        <v>235</v>
      </c>
      <c r="H358" s="8" t="s">
        <v>207</v>
      </c>
      <c r="I358" s="8" t="s">
        <v>27</v>
      </c>
      <c r="J358" s="8" t="s">
        <v>28</v>
      </c>
      <c r="K358" s="8" t="s">
        <v>29</v>
      </c>
      <c r="L358" s="17"/>
      <c r="M358" s="17"/>
      <c r="N358" s="18"/>
      <c r="O358" s="19"/>
      <c r="P358" s="7"/>
      <c r="Q358" s="7"/>
      <c r="R358" s="7"/>
      <c r="S358" s="17"/>
    </row>
    <row r="359" ht="13.5" customHeight="1">
      <c r="A359" s="25" t="s">
        <v>2186</v>
      </c>
      <c r="B359" s="25" t="s">
        <v>132</v>
      </c>
      <c r="C359" s="25" t="s">
        <v>362</v>
      </c>
      <c r="D359" s="25" t="s">
        <v>441</v>
      </c>
      <c r="E359" s="26" t="s">
        <v>2187</v>
      </c>
      <c r="F359" s="25" t="s">
        <v>134</v>
      </c>
      <c r="G359" s="25" t="s">
        <v>500</v>
      </c>
      <c r="H359" s="25" t="s">
        <v>2188</v>
      </c>
      <c r="I359" s="25"/>
      <c r="J359" s="25" t="s">
        <v>2189</v>
      </c>
      <c r="K359" s="25" t="s">
        <v>29</v>
      </c>
      <c r="L359" s="32"/>
      <c r="M359" s="32"/>
      <c r="N359" s="44"/>
      <c r="O359" s="45"/>
      <c r="P359" s="31"/>
      <c r="Q359" s="31"/>
      <c r="R359" s="31"/>
      <c r="S359" s="32"/>
    </row>
    <row r="360" ht="13.5" customHeight="1">
      <c r="A360" s="8" t="s">
        <v>2190</v>
      </c>
      <c r="B360" s="8" t="s">
        <v>253</v>
      </c>
      <c r="C360" s="8" t="s">
        <v>254</v>
      </c>
      <c r="D360" s="8" t="s">
        <v>255</v>
      </c>
      <c r="E360" s="9" t="s">
        <v>33</v>
      </c>
      <c r="F360" s="8" t="s">
        <v>281</v>
      </c>
      <c r="G360" s="8" t="s">
        <v>500</v>
      </c>
      <c r="H360" s="8" t="s">
        <v>259</v>
      </c>
      <c r="I360" s="8" t="s">
        <v>260</v>
      </c>
      <c r="J360" s="8" t="s">
        <v>490</v>
      </c>
      <c r="K360" s="8" t="s">
        <v>29</v>
      </c>
      <c r="L360" s="17"/>
      <c r="M360" s="17"/>
      <c r="N360" s="18"/>
      <c r="O360" s="19"/>
      <c r="P360" s="7"/>
      <c r="Q360" s="7"/>
      <c r="R360" s="7"/>
      <c r="S360" s="17"/>
    </row>
    <row r="361" ht="13.5" customHeight="1">
      <c r="A361" s="8" t="s">
        <v>33</v>
      </c>
      <c r="B361" s="8" t="s">
        <v>34</v>
      </c>
      <c r="C361" s="8" t="s">
        <v>153</v>
      </c>
      <c r="D361" s="8" t="s">
        <v>154</v>
      </c>
      <c r="E361" s="9" t="s">
        <v>499</v>
      </c>
      <c r="F361" s="8" t="s">
        <v>267</v>
      </c>
      <c r="G361" s="8" t="s">
        <v>500</v>
      </c>
      <c r="H361" s="8" t="s">
        <v>259</v>
      </c>
      <c r="I361" s="8" t="s">
        <v>260</v>
      </c>
      <c r="J361" s="8" t="s">
        <v>490</v>
      </c>
      <c r="K361" s="8" t="s">
        <v>29</v>
      </c>
      <c r="L361" s="17"/>
      <c r="M361" s="17"/>
      <c r="N361" s="18"/>
      <c r="O361" s="19"/>
      <c r="P361" s="7"/>
      <c r="Q361" s="7"/>
      <c r="R361" s="7"/>
      <c r="S361" s="17"/>
    </row>
    <row r="362" ht="13.5" customHeight="1">
      <c r="A362" s="8" t="s">
        <v>33</v>
      </c>
      <c r="B362" s="8" t="s">
        <v>286</v>
      </c>
      <c r="C362" s="8" t="s">
        <v>287</v>
      </c>
      <c r="D362" s="8" t="s">
        <v>33</v>
      </c>
      <c r="E362" s="9" t="s">
        <v>33</v>
      </c>
      <c r="F362" s="8" t="s">
        <v>289</v>
      </c>
      <c r="G362" s="8" t="s">
        <v>500</v>
      </c>
      <c r="H362" s="8" t="s">
        <v>259</v>
      </c>
      <c r="I362" s="8" t="s">
        <v>260</v>
      </c>
      <c r="J362" s="8" t="s">
        <v>490</v>
      </c>
      <c r="K362" s="8" t="s">
        <v>29</v>
      </c>
      <c r="L362" s="17"/>
      <c r="M362" s="17"/>
      <c r="N362" s="18"/>
      <c r="O362" s="19"/>
      <c r="P362" s="7"/>
      <c r="Q362" s="7"/>
      <c r="R362" s="7"/>
      <c r="S362" s="17"/>
    </row>
    <row r="363" ht="13.5" customHeight="1">
      <c r="A363" s="8"/>
      <c r="B363" s="8" t="s">
        <v>290</v>
      </c>
      <c r="C363" s="8" t="s">
        <v>291</v>
      </c>
      <c r="D363" s="8" t="s">
        <v>292</v>
      </c>
      <c r="E363" s="9" t="s">
        <v>501</v>
      </c>
      <c r="F363" s="8" t="s">
        <v>293</v>
      </c>
      <c r="G363" s="8" t="s">
        <v>500</v>
      </c>
      <c r="H363" s="8" t="s">
        <v>259</v>
      </c>
      <c r="I363" s="8" t="s">
        <v>260</v>
      </c>
      <c r="J363" s="8" t="s">
        <v>490</v>
      </c>
      <c r="K363" s="8" t="s">
        <v>29</v>
      </c>
      <c r="L363" s="17"/>
      <c r="M363" s="17"/>
      <c r="N363" s="18"/>
      <c r="O363" s="19"/>
      <c r="P363" s="7"/>
      <c r="Q363" s="7"/>
      <c r="R363" s="7"/>
      <c r="S363" s="17"/>
    </row>
    <row r="364" ht="13.5" customHeight="1">
      <c r="A364" s="8" t="s">
        <v>502</v>
      </c>
      <c r="B364" s="8" t="s">
        <v>98</v>
      </c>
      <c r="C364" s="8" t="s">
        <v>223</v>
      </c>
      <c r="D364" s="8" t="s">
        <v>503</v>
      </c>
      <c r="E364" s="9" t="s">
        <v>504</v>
      </c>
      <c r="F364" s="8" t="s">
        <v>505</v>
      </c>
      <c r="G364" s="8" t="s">
        <v>500</v>
      </c>
      <c r="H364" s="8" t="s">
        <v>259</v>
      </c>
      <c r="I364" s="8" t="s">
        <v>260</v>
      </c>
      <c r="J364" s="8" t="s">
        <v>490</v>
      </c>
      <c r="K364" s="8" t="s">
        <v>29</v>
      </c>
      <c r="L364" s="17"/>
      <c r="M364" s="17"/>
      <c r="N364" s="18"/>
      <c r="O364" s="19"/>
      <c r="P364" s="7"/>
      <c r="Q364" s="7"/>
      <c r="R364" s="7"/>
      <c r="S364" s="17"/>
    </row>
    <row r="365" ht="13.5" customHeight="1">
      <c r="A365" s="8" t="s">
        <v>33</v>
      </c>
      <c r="B365" s="8" t="s">
        <v>167</v>
      </c>
      <c r="C365" s="8" t="s">
        <v>33</v>
      </c>
      <c r="D365" s="8" t="s">
        <v>33</v>
      </c>
      <c r="E365" s="9" t="s">
        <v>33</v>
      </c>
      <c r="F365" s="8" t="s">
        <v>33</v>
      </c>
      <c r="G365" s="8" t="s">
        <v>500</v>
      </c>
      <c r="H365" s="8" t="s">
        <v>259</v>
      </c>
      <c r="I365" s="8" t="s">
        <v>260</v>
      </c>
      <c r="J365" s="8" t="s">
        <v>490</v>
      </c>
      <c r="K365" s="8" t="s">
        <v>29</v>
      </c>
      <c r="L365" s="17"/>
      <c r="M365" s="17"/>
      <c r="N365" s="18"/>
      <c r="O365" s="19"/>
      <c r="P365" s="7"/>
      <c r="Q365" s="7"/>
      <c r="R365" s="7"/>
      <c r="S365" s="17"/>
    </row>
    <row r="366" ht="13.5" customHeight="1">
      <c r="A366" s="8" t="s">
        <v>33</v>
      </c>
      <c r="B366" s="8" t="s">
        <v>132</v>
      </c>
      <c r="C366" s="8" t="s">
        <v>33</v>
      </c>
      <c r="D366" s="8" t="s">
        <v>33</v>
      </c>
      <c r="E366" s="9" t="s">
        <v>33</v>
      </c>
      <c r="F366" s="8" t="s">
        <v>33</v>
      </c>
      <c r="G366" s="8" t="s">
        <v>500</v>
      </c>
      <c r="H366" s="8" t="s">
        <v>259</v>
      </c>
      <c r="I366" s="8" t="s">
        <v>260</v>
      </c>
      <c r="J366" s="8" t="s">
        <v>490</v>
      </c>
      <c r="K366" s="8" t="s">
        <v>29</v>
      </c>
      <c r="L366" s="17"/>
      <c r="M366" s="17"/>
      <c r="N366" s="18"/>
      <c r="O366" s="19"/>
      <c r="P366" s="7"/>
      <c r="Q366" s="7"/>
      <c r="R366" s="7"/>
      <c r="S366" s="17"/>
    </row>
    <row r="367" ht="13.5" customHeight="1">
      <c r="A367" s="8" t="s">
        <v>33</v>
      </c>
      <c r="B367" s="8" t="s">
        <v>305</v>
      </c>
      <c r="C367" s="8" t="s">
        <v>33</v>
      </c>
      <c r="D367" s="8" t="s">
        <v>33</v>
      </c>
      <c r="E367" s="9" t="s">
        <v>33</v>
      </c>
      <c r="F367" s="8" t="s">
        <v>33</v>
      </c>
      <c r="G367" s="8" t="s">
        <v>500</v>
      </c>
      <c r="H367" s="8" t="s">
        <v>259</v>
      </c>
      <c r="I367" s="8" t="s">
        <v>260</v>
      </c>
      <c r="J367" s="8" t="s">
        <v>490</v>
      </c>
      <c r="K367" s="8" t="s">
        <v>29</v>
      </c>
      <c r="L367" s="17"/>
      <c r="M367" s="17"/>
      <c r="N367" s="18"/>
      <c r="O367" s="19"/>
      <c r="P367" s="7"/>
      <c r="Q367" s="7"/>
      <c r="R367" s="7"/>
      <c r="S367" s="17"/>
    </row>
    <row r="368" ht="13.5" customHeight="1">
      <c r="A368" s="8" t="s">
        <v>33</v>
      </c>
      <c r="B368" s="8" t="s">
        <v>325</v>
      </c>
      <c r="C368" s="8" t="s">
        <v>33</v>
      </c>
      <c r="D368" s="8" t="s">
        <v>33</v>
      </c>
      <c r="E368" s="9" t="s">
        <v>33</v>
      </c>
      <c r="F368" s="8" t="s">
        <v>33</v>
      </c>
      <c r="G368" s="8" t="s">
        <v>500</v>
      </c>
      <c r="H368" s="8" t="s">
        <v>259</v>
      </c>
      <c r="I368" s="8" t="s">
        <v>260</v>
      </c>
      <c r="J368" s="8" t="s">
        <v>490</v>
      </c>
      <c r="K368" s="8" t="s">
        <v>29</v>
      </c>
      <c r="L368" s="17"/>
      <c r="M368" s="17"/>
      <c r="N368" s="18"/>
      <c r="O368" s="19"/>
      <c r="P368" s="7"/>
      <c r="Q368" s="7"/>
      <c r="R368" s="7"/>
      <c r="S368" s="17"/>
    </row>
    <row r="369" ht="13.5" customHeight="1">
      <c r="A369" s="8" t="s">
        <v>33</v>
      </c>
      <c r="B369" s="8" t="s">
        <v>67</v>
      </c>
      <c r="C369" s="8" t="s">
        <v>270</v>
      </c>
      <c r="D369" s="8" t="s">
        <v>308</v>
      </c>
      <c r="E369" s="9" t="s">
        <v>506</v>
      </c>
      <c r="F369" s="8" t="s">
        <v>507</v>
      </c>
      <c r="G369" s="8" t="s">
        <v>508</v>
      </c>
      <c r="H369" s="8" t="s">
        <v>259</v>
      </c>
      <c r="I369" s="8" t="s">
        <v>91</v>
      </c>
      <c r="J369" s="8" t="s">
        <v>275</v>
      </c>
      <c r="K369" s="8" t="s">
        <v>29</v>
      </c>
      <c r="L369" s="17"/>
      <c r="M369" s="17"/>
      <c r="N369" s="18"/>
      <c r="O369" s="19"/>
      <c r="P369" s="7"/>
      <c r="Q369" s="7"/>
      <c r="R369" s="7"/>
      <c r="S369" s="17"/>
    </row>
    <row r="370" ht="13.5" customHeight="1">
      <c r="A370" s="8" t="s">
        <v>33</v>
      </c>
      <c r="B370" s="8" t="s">
        <v>132</v>
      </c>
      <c r="C370" s="8" t="s">
        <v>473</v>
      </c>
      <c r="D370" s="8" t="s">
        <v>509</v>
      </c>
      <c r="E370" s="9" t="s">
        <v>510</v>
      </c>
      <c r="F370" s="8" t="s">
        <v>134</v>
      </c>
      <c r="G370" s="8" t="s">
        <v>508</v>
      </c>
      <c r="H370" s="8" t="s">
        <v>259</v>
      </c>
      <c r="I370" s="8" t="s">
        <v>91</v>
      </c>
      <c r="J370" s="8" t="s">
        <v>275</v>
      </c>
      <c r="K370" s="8" t="s">
        <v>29</v>
      </c>
      <c r="L370" s="17"/>
      <c r="M370" s="17"/>
      <c r="N370" s="18"/>
      <c r="O370" s="19"/>
      <c r="P370" s="7"/>
      <c r="Q370" s="7"/>
      <c r="R370" s="7"/>
      <c r="S370" s="17"/>
    </row>
    <row r="371" ht="13.5" customHeight="1">
      <c r="A371" s="8" t="s">
        <v>511</v>
      </c>
      <c r="B371" s="8" t="s">
        <v>253</v>
      </c>
      <c r="C371" s="8" t="s">
        <v>254</v>
      </c>
      <c r="D371" s="8" t="s">
        <v>255</v>
      </c>
      <c r="E371" s="9" t="s">
        <v>512</v>
      </c>
      <c r="F371" s="8" t="s">
        <v>281</v>
      </c>
      <c r="G371" s="8" t="s">
        <v>508</v>
      </c>
      <c r="H371" s="8" t="s">
        <v>259</v>
      </c>
      <c r="I371" s="8" t="s">
        <v>91</v>
      </c>
      <c r="J371" s="8" t="s">
        <v>275</v>
      </c>
      <c r="K371" s="8" t="s">
        <v>29</v>
      </c>
      <c r="L371" s="17"/>
      <c r="M371" s="17"/>
      <c r="N371" s="18"/>
      <c r="O371" s="19"/>
      <c r="P371" s="7"/>
      <c r="Q371" s="7"/>
      <c r="R371" s="7"/>
      <c r="S371" s="17"/>
    </row>
    <row r="372" ht="13.5" customHeight="1">
      <c r="A372" s="8" t="s">
        <v>513</v>
      </c>
      <c r="B372" s="8" t="s">
        <v>41</v>
      </c>
      <c r="C372" s="8" t="s">
        <v>153</v>
      </c>
      <c r="D372" s="8" t="s">
        <v>348</v>
      </c>
      <c r="E372" s="9" t="s">
        <v>514</v>
      </c>
      <c r="F372" s="8" t="s">
        <v>350</v>
      </c>
      <c r="G372" s="8" t="s">
        <v>508</v>
      </c>
      <c r="H372" s="8" t="s">
        <v>259</v>
      </c>
      <c r="I372" s="8" t="s">
        <v>91</v>
      </c>
      <c r="J372" s="8" t="s">
        <v>275</v>
      </c>
      <c r="K372" s="8" t="s">
        <v>29</v>
      </c>
      <c r="L372" s="17"/>
      <c r="M372" s="17"/>
      <c r="N372" s="18"/>
      <c r="O372" s="19"/>
      <c r="P372" s="7"/>
      <c r="Q372" s="7"/>
      <c r="R372" s="7"/>
      <c r="S372" s="17"/>
    </row>
    <row r="373" ht="13.5" customHeight="1">
      <c r="A373" s="8" t="s">
        <v>33</v>
      </c>
      <c r="B373" s="8" t="s">
        <v>34</v>
      </c>
      <c r="C373" s="8" t="s">
        <v>153</v>
      </c>
      <c r="D373" s="8" t="s">
        <v>154</v>
      </c>
      <c r="E373" s="9" t="s">
        <v>515</v>
      </c>
      <c r="F373" s="8" t="s">
        <v>267</v>
      </c>
      <c r="G373" s="8" t="s">
        <v>508</v>
      </c>
      <c r="H373" s="8" t="s">
        <v>259</v>
      </c>
      <c r="I373" s="8" t="s">
        <v>91</v>
      </c>
      <c r="J373" s="8" t="s">
        <v>275</v>
      </c>
      <c r="K373" s="8" t="s">
        <v>29</v>
      </c>
      <c r="L373" s="17"/>
      <c r="M373" s="17"/>
      <c r="N373" s="18"/>
      <c r="O373" s="19"/>
      <c r="P373" s="7"/>
      <c r="Q373" s="7"/>
      <c r="R373" s="7"/>
      <c r="S373" s="17"/>
    </row>
    <row r="374" ht="13.5" customHeight="1">
      <c r="A374" s="8" t="s">
        <v>33</v>
      </c>
      <c r="B374" s="8" t="s">
        <v>286</v>
      </c>
      <c r="C374" s="8" t="s">
        <v>287</v>
      </c>
      <c r="D374" s="8" t="s">
        <v>288</v>
      </c>
      <c r="E374" s="9" t="s">
        <v>288</v>
      </c>
      <c r="F374" s="8" t="s">
        <v>289</v>
      </c>
      <c r="G374" s="8" t="s">
        <v>508</v>
      </c>
      <c r="H374" s="8" t="s">
        <v>259</v>
      </c>
      <c r="I374" s="8" t="s">
        <v>91</v>
      </c>
      <c r="J374" s="8" t="s">
        <v>275</v>
      </c>
      <c r="K374" s="8" t="s">
        <v>29</v>
      </c>
      <c r="L374" s="17"/>
      <c r="M374" s="17"/>
      <c r="N374" s="18"/>
      <c r="O374" s="19"/>
      <c r="P374" s="7"/>
      <c r="Q374" s="7"/>
      <c r="R374" s="7"/>
      <c r="S374" s="17"/>
    </row>
    <row r="375" ht="13.5" customHeight="1">
      <c r="A375" s="8" t="s">
        <v>33</v>
      </c>
      <c r="B375" s="8" t="s">
        <v>290</v>
      </c>
      <c r="C375" s="8" t="s">
        <v>291</v>
      </c>
      <c r="D375" s="8" t="s">
        <v>292</v>
      </c>
      <c r="E375" s="9" t="s">
        <v>516</v>
      </c>
      <c r="F375" s="8" t="s">
        <v>293</v>
      </c>
      <c r="G375" s="8" t="s">
        <v>508</v>
      </c>
      <c r="H375" s="8" t="s">
        <v>259</v>
      </c>
      <c r="I375" s="8" t="s">
        <v>91</v>
      </c>
      <c r="J375" s="8" t="s">
        <v>275</v>
      </c>
      <c r="K375" s="8" t="s">
        <v>29</v>
      </c>
      <c r="L375" s="17"/>
      <c r="M375" s="17"/>
      <c r="N375" s="18"/>
      <c r="O375" s="19"/>
      <c r="P375" s="7"/>
      <c r="Q375" s="7"/>
      <c r="R375" s="7"/>
      <c r="S375" s="17"/>
    </row>
    <row r="376" ht="13.5" customHeight="1">
      <c r="A376" s="8" t="s">
        <v>33</v>
      </c>
      <c r="B376" s="8" t="s">
        <v>167</v>
      </c>
      <c r="C376" s="8" t="s">
        <v>296</v>
      </c>
      <c r="D376" s="8" t="s">
        <v>169</v>
      </c>
      <c r="E376" s="9" t="s">
        <v>2191</v>
      </c>
      <c r="F376" s="8" t="s">
        <v>2176</v>
      </c>
      <c r="G376" s="8" t="s">
        <v>508</v>
      </c>
      <c r="H376" s="8" t="s">
        <v>259</v>
      </c>
      <c r="I376" s="8" t="s">
        <v>91</v>
      </c>
      <c r="J376" s="8" t="s">
        <v>275</v>
      </c>
      <c r="K376" s="8" t="s">
        <v>29</v>
      </c>
      <c r="L376" s="17"/>
      <c r="M376" s="17"/>
      <c r="N376" s="18"/>
      <c r="O376" s="19"/>
      <c r="P376" s="7"/>
      <c r="Q376" s="7"/>
      <c r="R376" s="7"/>
      <c r="S376" s="17"/>
    </row>
    <row r="377" ht="13.5" customHeight="1">
      <c r="A377" s="8" t="s">
        <v>33</v>
      </c>
      <c r="B377" s="8" t="s">
        <v>301</v>
      </c>
      <c r="C377" s="8" t="s">
        <v>296</v>
      </c>
      <c r="D377" s="8" t="s">
        <v>174</v>
      </c>
      <c r="E377" s="9" t="s">
        <v>2192</v>
      </c>
      <c r="F377" s="8" t="s">
        <v>304</v>
      </c>
      <c r="G377" s="8" t="s">
        <v>508</v>
      </c>
      <c r="H377" s="8" t="s">
        <v>259</v>
      </c>
      <c r="I377" s="8" t="s">
        <v>91</v>
      </c>
      <c r="J377" s="8" t="s">
        <v>275</v>
      </c>
      <c r="K377" s="8" t="s">
        <v>29</v>
      </c>
      <c r="L377" s="17"/>
      <c r="M377" s="17"/>
      <c r="N377" s="18"/>
      <c r="O377" s="19"/>
      <c r="P377" s="7"/>
      <c r="Q377" s="7"/>
      <c r="R377" s="7"/>
      <c r="S377" s="17"/>
    </row>
    <row r="378" ht="13.5" customHeight="1">
      <c r="A378" s="8" t="s">
        <v>517</v>
      </c>
      <c r="B378" s="8" t="s">
        <v>67</v>
      </c>
      <c r="C378" s="8" t="s">
        <v>270</v>
      </c>
      <c r="D378" s="8" t="s">
        <v>358</v>
      </c>
      <c r="E378" s="9" t="s">
        <v>518</v>
      </c>
      <c r="F378" s="8" t="s">
        <v>398</v>
      </c>
      <c r="G378" s="8" t="s">
        <v>388</v>
      </c>
      <c r="H378" s="8" t="s">
        <v>259</v>
      </c>
      <c r="I378" s="8" t="s">
        <v>91</v>
      </c>
      <c r="J378" s="8" t="s">
        <v>275</v>
      </c>
      <c r="K378" s="8" t="s">
        <v>29</v>
      </c>
      <c r="L378" s="17"/>
      <c r="M378" s="17"/>
      <c r="N378" s="18"/>
      <c r="O378" s="19"/>
      <c r="P378" s="7"/>
      <c r="Q378" s="7"/>
      <c r="R378" s="7"/>
      <c r="S378" s="17"/>
    </row>
    <row r="379" ht="13.5" customHeight="1">
      <c r="A379" s="8" t="s">
        <v>519</v>
      </c>
      <c r="B379" s="8" t="s">
        <v>132</v>
      </c>
      <c r="C379" s="8" t="s">
        <v>473</v>
      </c>
      <c r="D379" s="8" t="s">
        <v>520</v>
      </c>
      <c r="E379" s="9" t="s">
        <v>521</v>
      </c>
      <c r="F379" s="8" t="s">
        <v>134</v>
      </c>
      <c r="G379" s="8" t="s">
        <v>388</v>
      </c>
      <c r="H379" s="8" t="s">
        <v>259</v>
      </c>
      <c r="I379" s="8" t="s">
        <v>91</v>
      </c>
      <c r="J379" s="8" t="s">
        <v>275</v>
      </c>
      <c r="K379" s="8" t="s">
        <v>29</v>
      </c>
      <c r="L379" s="17"/>
      <c r="M379" s="17"/>
      <c r="N379" s="18"/>
      <c r="O379" s="19"/>
      <c r="P379" s="7"/>
      <c r="Q379" s="7"/>
      <c r="R379" s="7"/>
      <c r="S379" s="17"/>
    </row>
    <row r="380" ht="13.5" customHeight="1">
      <c r="A380" s="8" t="s">
        <v>33</v>
      </c>
      <c r="B380" s="8" t="s">
        <v>253</v>
      </c>
      <c r="C380" s="8" t="s">
        <v>254</v>
      </c>
      <c r="D380" s="8" t="s">
        <v>255</v>
      </c>
      <c r="E380" s="9" t="s">
        <v>522</v>
      </c>
      <c r="F380" s="8" t="s">
        <v>281</v>
      </c>
      <c r="G380" s="8" t="s">
        <v>388</v>
      </c>
      <c r="H380" s="8" t="s">
        <v>259</v>
      </c>
      <c r="I380" s="8" t="s">
        <v>91</v>
      </c>
      <c r="J380" s="8" t="s">
        <v>275</v>
      </c>
      <c r="K380" s="8" t="s">
        <v>29</v>
      </c>
      <c r="L380" s="17"/>
      <c r="M380" s="17"/>
      <c r="N380" s="18"/>
      <c r="O380" s="19"/>
      <c r="P380" s="7"/>
      <c r="Q380" s="7"/>
      <c r="R380" s="7"/>
      <c r="S380" s="17"/>
    </row>
    <row r="381" ht="13.5" customHeight="1">
      <c r="A381" s="8" t="s">
        <v>523</v>
      </c>
      <c r="B381" s="8" t="s">
        <v>34</v>
      </c>
      <c r="C381" s="8" t="s">
        <v>153</v>
      </c>
      <c r="D381" s="8" t="s">
        <v>154</v>
      </c>
      <c r="E381" s="9" t="s">
        <v>524</v>
      </c>
      <c r="F381" s="8" t="s">
        <v>267</v>
      </c>
      <c r="G381" s="8" t="s">
        <v>84</v>
      </c>
      <c r="H381" s="8" t="s">
        <v>259</v>
      </c>
      <c r="I381" s="8" t="s">
        <v>260</v>
      </c>
      <c r="J381" s="8" t="s">
        <v>294</v>
      </c>
      <c r="K381" s="8" t="s">
        <v>55</v>
      </c>
      <c r="L381" s="17"/>
      <c r="M381" s="17"/>
      <c r="N381" s="18"/>
      <c r="O381" s="19"/>
      <c r="P381" s="7"/>
      <c r="Q381" s="7"/>
      <c r="R381" s="7"/>
      <c r="S381" s="17"/>
    </row>
    <row r="382" ht="13.5" customHeight="1">
      <c r="A382" s="8" t="s">
        <v>525</v>
      </c>
      <c r="B382" s="8" t="s">
        <v>34</v>
      </c>
      <c r="C382" s="8" t="s">
        <v>153</v>
      </c>
      <c r="D382" s="8" t="s">
        <v>154</v>
      </c>
      <c r="E382" s="9" t="s">
        <v>337</v>
      </c>
      <c r="F382" s="8" t="s">
        <v>267</v>
      </c>
      <c r="G382" s="8" t="s">
        <v>388</v>
      </c>
      <c r="H382" s="8" t="s">
        <v>259</v>
      </c>
      <c r="I382" s="8" t="s">
        <v>91</v>
      </c>
      <c r="J382" s="8" t="s">
        <v>275</v>
      </c>
      <c r="K382" s="8" t="s">
        <v>29</v>
      </c>
      <c r="L382" s="17"/>
      <c r="M382" s="17"/>
      <c r="N382" s="18"/>
      <c r="O382" s="19"/>
      <c r="P382" s="7"/>
      <c r="Q382" s="7"/>
      <c r="R382" s="7"/>
      <c r="S382" s="17"/>
    </row>
    <row r="383" ht="13.5" customHeight="1">
      <c r="A383" s="8" t="s">
        <v>33</v>
      </c>
      <c r="B383" s="8" t="s">
        <v>286</v>
      </c>
      <c r="C383" s="8" t="s">
        <v>287</v>
      </c>
      <c r="D383" s="8" t="s">
        <v>288</v>
      </c>
      <c r="E383" s="9" t="s">
        <v>288</v>
      </c>
      <c r="F383" s="8" t="s">
        <v>289</v>
      </c>
      <c r="G383" s="8" t="s">
        <v>388</v>
      </c>
      <c r="H383" s="8" t="s">
        <v>259</v>
      </c>
      <c r="I383" s="8" t="s">
        <v>91</v>
      </c>
      <c r="J383" s="8" t="s">
        <v>275</v>
      </c>
      <c r="K383" s="8" t="s">
        <v>29</v>
      </c>
      <c r="L383" s="17"/>
      <c r="M383" s="17"/>
      <c r="N383" s="18"/>
      <c r="O383" s="19"/>
      <c r="P383" s="7"/>
      <c r="Q383" s="7"/>
      <c r="R383" s="7"/>
      <c r="S383" s="17"/>
    </row>
    <row r="384" ht="13.5" customHeight="1">
      <c r="A384" s="8" t="s">
        <v>33</v>
      </c>
      <c r="B384" s="8" t="s">
        <v>290</v>
      </c>
      <c r="C384" s="8" t="s">
        <v>291</v>
      </c>
      <c r="D384" s="8" t="s">
        <v>292</v>
      </c>
      <c r="E384" s="9" t="s">
        <v>526</v>
      </c>
      <c r="F384" s="8" t="s">
        <v>293</v>
      </c>
      <c r="G384" s="8" t="s">
        <v>388</v>
      </c>
      <c r="H384" s="8" t="s">
        <v>259</v>
      </c>
      <c r="I384" s="8" t="s">
        <v>91</v>
      </c>
      <c r="J384" s="8" t="s">
        <v>275</v>
      </c>
      <c r="K384" s="8" t="s">
        <v>29</v>
      </c>
      <c r="L384" s="17"/>
      <c r="M384" s="17"/>
      <c r="N384" s="18"/>
      <c r="O384" s="19"/>
      <c r="P384" s="7"/>
      <c r="Q384" s="7"/>
      <c r="R384" s="7"/>
      <c r="S384" s="17"/>
    </row>
    <row r="385" ht="13.5" customHeight="1">
      <c r="A385" s="8" t="s">
        <v>33</v>
      </c>
      <c r="B385" s="8" t="s">
        <v>167</v>
      </c>
      <c r="C385" s="8" t="s">
        <v>296</v>
      </c>
      <c r="D385" s="8" t="s">
        <v>391</v>
      </c>
      <c r="E385" s="9" t="s">
        <v>527</v>
      </c>
      <c r="F385" s="8" t="s">
        <v>299</v>
      </c>
      <c r="G385" s="8" t="s">
        <v>388</v>
      </c>
      <c r="H385" s="8" t="s">
        <v>259</v>
      </c>
      <c r="I385" s="8" t="s">
        <v>91</v>
      </c>
      <c r="J385" s="8" t="s">
        <v>275</v>
      </c>
      <c r="K385" s="8" t="s">
        <v>29</v>
      </c>
      <c r="L385" s="17"/>
      <c r="M385" s="17"/>
      <c r="N385" s="18"/>
      <c r="O385" s="19"/>
      <c r="P385" s="7"/>
      <c r="Q385" s="7"/>
      <c r="R385" s="7"/>
      <c r="S385" s="17"/>
    </row>
    <row r="386" ht="13.5" customHeight="1">
      <c r="A386" s="8" t="s">
        <v>33</v>
      </c>
      <c r="B386" s="8" t="s">
        <v>301</v>
      </c>
      <c r="C386" s="8" t="s">
        <v>296</v>
      </c>
      <c r="D386" s="8" t="s">
        <v>323</v>
      </c>
      <c r="E386" s="9" t="s">
        <v>528</v>
      </c>
      <c r="F386" s="8" t="s">
        <v>304</v>
      </c>
      <c r="G386" s="8" t="s">
        <v>388</v>
      </c>
      <c r="H386" s="8" t="s">
        <v>259</v>
      </c>
      <c r="I386" s="8" t="s">
        <v>91</v>
      </c>
      <c r="J386" s="8" t="s">
        <v>275</v>
      </c>
      <c r="K386" s="8" t="s">
        <v>29</v>
      </c>
      <c r="L386" s="17"/>
      <c r="M386" s="17"/>
      <c r="N386" s="18"/>
      <c r="O386" s="19"/>
      <c r="P386" s="7"/>
      <c r="Q386" s="7"/>
      <c r="R386" s="7"/>
      <c r="S386" s="17"/>
    </row>
    <row r="387" ht="13.5" customHeight="1">
      <c r="A387" s="8" t="s">
        <v>33</v>
      </c>
      <c r="B387" s="8" t="s">
        <v>305</v>
      </c>
      <c r="C387" s="8" t="s">
        <v>288</v>
      </c>
      <c r="D387" s="8" t="s">
        <v>288</v>
      </c>
      <c r="E387" s="9" t="s">
        <v>288</v>
      </c>
      <c r="F387" s="8" t="s">
        <v>306</v>
      </c>
      <c r="G387" s="8" t="s">
        <v>388</v>
      </c>
      <c r="H387" s="8" t="s">
        <v>259</v>
      </c>
      <c r="I387" s="8" t="s">
        <v>91</v>
      </c>
      <c r="J387" s="8" t="s">
        <v>275</v>
      </c>
      <c r="K387" s="8" t="s">
        <v>29</v>
      </c>
      <c r="L387" s="17"/>
      <c r="M387" s="17"/>
      <c r="N387" s="18"/>
      <c r="O387" s="19"/>
      <c r="P387" s="7"/>
      <c r="Q387" s="7"/>
      <c r="R387" s="7"/>
      <c r="S387" s="17"/>
    </row>
    <row r="388" ht="13.5" customHeight="1">
      <c r="A388" s="8" t="s">
        <v>33</v>
      </c>
      <c r="B388" s="8" t="s">
        <v>325</v>
      </c>
      <c r="C388" s="8" t="s">
        <v>288</v>
      </c>
      <c r="D388" s="8" t="s">
        <v>288</v>
      </c>
      <c r="E388" s="9" t="s">
        <v>288</v>
      </c>
      <c r="F388" s="8" t="s">
        <v>326</v>
      </c>
      <c r="G388" s="8" t="s">
        <v>388</v>
      </c>
      <c r="H388" s="8" t="s">
        <v>259</v>
      </c>
      <c r="I388" s="8" t="s">
        <v>91</v>
      </c>
      <c r="J388" s="8" t="s">
        <v>275</v>
      </c>
      <c r="K388" s="8" t="s">
        <v>29</v>
      </c>
      <c r="L388" s="17"/>
      <c r="M388" s="17"/>
      <c r="N388" s="18"/>
      <c r="O388" s="19"/>
      <c r="P388" s="7"/>
      <c r="Q388" s="7"/>
      <c r="R388" s="7"/>
      <c r="S388" s="17"/>
    </row>
    <row r="389" ht="13.5" customHeight="1">
      <c r="A389" s="8" t="s">
        <v>494</v>
      </c>
      <c r="B389" s="8" t="s">
        <v>67</v>
      </c>
      <c r="C389" s="8" t="s">
        <v>270</v>
      </c>
      <c r="D389" s="8" t="s">
        <v>308</v>
      </c>
      <c r="E389" s="9" t="s">
        <v>495</v>
      </c>
      <c r="F389" s="8" t="s">
        <v>496</v>
      </c>
      <c r="G389" s="8" t="s">
        <v>2193</v>
      </c>
      <c r="H389" s="8" t="s">
        <v>259</v>
      </c>
      <c r="I389" s="8" t="s">
        <v>91</v>
      </c>
      <c r="J389" s="8" t="s">
        <v>884</v>
      </c>
      <c r="K389" s="8" t="s">
        <v>29</v>
      </c>
      <c r="L389" s="17"/>
      <c r="M389" s="17"/>
      <c r="N389" s="18"/>
      <c r="O389" s="19"/>
      <c r="P389" s="7"/>
      <c r="Q389" s="7"/>
      <c r="R389" s="7"/>
      <c r="S389" s="17"/>
    </row>
    <row r="390" ht="13.5" customHeight="1">
      <c r="A390" s="8" t="s">
        <v>497</v>
      </c>
      <c r="B390" s="8" t="s">
        <v>132</v>
      </c>
      <c r="C390" s="8" t="s">
        <v>270</v>
      </c>
      <c r="D390" s="8" t="s">
        <v>277</v>
      </c>
      <c r="E390" s="9" t="s">
        <v>498</v>
      </c>
      <c r="F390" s="8" t="s">
        <v>134</v>
      </c>
      <c r="G390" s="8" t="s">
        <v>2193</v>
      </c>
      <c r="H390" s="8" t="s">
        <v>259</v>
      </c>
      <c r="I390" s="8" t="s">
        <v>91</v>
      </c>
      <c r="J390" s="8" t="s">
        <v>884</v>
      </c>
      <c r="K390" s="8" t="s">
        <v>29</v>
      </c>
      <c r="L390" s="17"/>
      <c r="M390" s="17"/>
      <c r="N390" s="18"/>
      <c r="O390" s="19"/>
      <c r="P390" s="7"/>
      <c r="Q390" s="7"/>
      <c r="R390" s="7"/>
      <c r="S390" s="17"/>
    </row>
    <row r="391" ht="13.5" customHeight="1">
      <c r="A391" s="8" t="s">
        <v>33</v>
      </c>
      <c r="B391" s="8" t="s">
        <v>253</v>
      </c>
      <c r="C391" s="8" t="s">
        <v>254</v>
      </c>
      <c r="D391" s="8" t="s">
        <v>255</v>
      </c>
      <c r="E391" s="9" t="s">
        <v>2194</v>
      </c>
      <c r="F391" s="8" t="s">
        <v>281</v>
      </c>
      <c r="G391" s="8" t="s">
        <v>2193</v>
      </c>
      <c r="H391" s="8" t="s">
        <v>259</v>
      </c>
      <c r="I391" s="8" t="s">
        <v>91</v>
      </c>
      <c r="J391" s="8" t="s">
        <v>884</v>
      </c>
      <c r="K391" s="8" t="s">
        <v>29</v>
      </c>
      <c r="L391" s="17"/>
      <c r="M391" s="17"/>
      <c r="N391" s="18"/>
      <c r="O391" s="19"/>
      <c r="P391" s="7"/>
      <c r="Q391" s="7"/>
      <c r="R391" s="7"/>
      <c r="S391" s="17"/>
    </row>
    <row r="392" ht="13.5" customHeight="1">
      <c r="A392" s="8" t="s">
        <v>2195</v>
      </c>
      <c r="B392" s="8" t="s">
        <v>34</v>
      </c>
      <c r="C392" s="8" t="s">
        <v>153</v>
      </c>
      <c r="D392" s="8" t="s">
        <v>154</v>
      </c>
      <c r="E392" s="9" t="s">
        <v>2196</v>
      </c>
      <c r="F392" s="8" t="s">
        <v>267</v>
      </c>
      <c r="G392" s="8" t="s">
        <v>2193</v>
      </c>
      <c r="H392" s="8" t="s">
        <v>259</v>
      </c>
      <c r="I392" s="8" t="s">
        <v>91</v>
      </c>
      <c r="J392" s="8" t="s">
        <v>884</v>
      </c>
      <c r="K392" s="8" t="s">
        <v>29</v>
      </c>
      <c r="L392" s="17"/>
      <c r="M392" s="17"/>
      <c r="N392" s="18"/>
      <c r="O392" s="19"/>
      <c r="P392" s="7"/>
      <c r="Q392" s="7"/>
      <c r="R392" s="7"/>
      <c r="S392" s="17"/>
    </row>
    <row r="393" ht="13.5" customHeight="1">
      <c r="A393" s="8" t="s">
        <v>33</v>
      </c>
      <c r="B393" s="8" t="s">
        <v>286</v>
      </c>
      <c r="C393" s="8" t="s">
        <v>287</v>
      </c>
      <c r="D393" s="8" t="s">
        <v>288</v>
      </c>
      <c r="E393" s="9" t="s">
        <v>288</v>
      </c>
      <c r="F393" s="8" t="s">
        <v>289</v>
      </c>
      <c r="G393" s="8" t="s">
        <v>2193</v>
      </c>
      <c r="H393" s="8" t="s">
        <v>259</v>
      </c>
      <c r="I393" s="8" t="s">
        <v>91</v>
      </c>
      <c r="J393" s="8" t="s">
        <v>884</v>
      </c>
      <c r="K393" s="8" t="s">
        <v>29</v>
      </c>
      <c r="L393" s="17"/>
      <c r="M393" s="17"/>
      <c r="N393" s="18"/>
      <c r="O393" s="19"/>
      <c r="P393" s="7"/>
      <c r="Q393" s="7"/>
      <c r="R393" s="7"/>
      <c r="S393" s="17"/>
    </row>
    <row r="394" ht="13.5" customHeight="1">
      <c r="A394" s="8" t="s">
        <v>33</v>
      </c>
      <c r="B394" s="8" t="s">
        <v>1004</v>
      </c>
      <c r="C394" s="8" t="s">
        <v>2197</v>
      </c>
      <c r="D394" s="8" t="s">
        <v>288</v>
      </c>
      <c r="E394" s="9" t="s">
        <v>288</v>
      </c>
      <c r="F394" s="8" t="s">
        <v>2198</v>
      </c>
      <c r="G394" s="8" t="s">
        <v>2193</v>
      </c>
      <c r="H394" s="8" t="s">
        <v>259</v>
      </c>
      <c r="I394" s="8" t="s">
        <v>91</v>
      </c>
      <c r="J394" s="8" t="s">
        <v>884</v>
      </c>
      <c r="K394" s="8" t="s">
        <v>29</v>
      </c>
      <c r="L394" s="17"/>
      <c r="M394" s="17"/>
      <c r="N394" s="18"/>
      <c r="O394" s="19"/>
      <c r="P394" s="7"/>
      <c r="Q394" s="7"/>
      <c r="R394" s="7"/>
      <c r="S394" s="17"/>
    </row>
    <row r="395" ht="13.5" customHeight="1">
      <c r="A395" s="8" t="s">
        <v>33</v>
      </c>
      <c r="B395" s="8" t="s">
        <v>167</v>
      </c>
      <c r="C395" s="8" t="s">
        <v>296</v>
      </c>
      <c r="D395" s="8" t="s">
        <v>297</v>
      </c>
      <c r="E395" s="9" t="s">
        <v>2199</v>
      </c>
      <c r="F395" s="8" t="s">
        <v>299</v>
      </c>
      <c r="G395" s="8" t="s">
        <v>2193</v>
      </c>
      <c r="H395" s="8" t="s">
        <v>259</v>
      </c>
      <c r="I395" s="8" t="s">
        <v>91</v>
      </c>
      <c r="J395" s="8" t="s">
        <v>884</v>
      </c>
      <c r="K395" s="8" t="s">
        <v>29</v>
      </c>
      <c r="L395" s="17"/>
      <c r="M395" s="17"/>
      <c r="N395" s="18"/>
      <c r="O395" s="19"/>
      <c r="P395" s="7"/>
      <c r="Q395" s="7"/>
      <c r="R395" s="7"/>
      <c r="S395" s="17"/>
    </row>
    <row r="396" ht="13.5" customHeight="1">
      <c r="A396" s="8" t="s">
        <v>33</v>
      </c>
      <c r="B396" s="8" t="s">
        <v>132</v>
      </c>
      <c r="C396" s="8" t="s">
        <v>296</v>
      </c>
      <c r="D396" s="8" t="s">
        <v>2200</v>
      </c>
      <c r="E396" s="9" t="s">
        <v>2201</v>
      </c>
      <c r="F396" s="8" t="s">
        <v>304</v>
      </c>
      <c r="G396" s="8" t="s">
        <v>2193</v>
      </c>
      <c r="H396" s="8" t="s">
        <v>259</v>
      </c>
      <c r="I396" s="8" t="s">
        <v>91</v>
      </c>
      <c r="J396" s="8" t="s">
        <v>884</v>
      </c>
      <c r="K396" s="8" t="s">
        <v>29</v>
      </c>
      <c r="L396" s="17"/>
      <c r="M396" s="17"/>
      <c r="N396" s="18"/>
      <c r="O396" s="19"/>
      <c r="P396" s="7"/>
      <c r="Q396" s="7"/>
      <c r="R396" s="7"/>
      <c r="S396" s="17"/>
    </row>
    <row r="397" ht="13.5" customHeight="1">
      <c r="A397" s="8" t="s">
        <v>529</v>
      </c>
      <c r="B397" s="8" t="s">
        <v>67</v>
      </c>
      <c r="C397" s="8" t="s">
        <v>270</v>
      </c>
      <c r="D397" s="8" t="s">
        <v>530</v>
      </c>
      <c r="E397" s="9" t="s">
        <v>531</v>
      </c>
      <c r="F397" s="8" t="s">
        <v>532</v>
      </c>
      <c r="G397" s="8" t="s">
        <v>533</v>
      </c>
      <c r="H397" s="12" t="s">
        <v>259</v>
      </c>
      <c r="I397" s="12" t="s">
        <v>91</v>
      </c>
      <c r="J397" s="11" t="s">
        <v>400</v>
      </c>
      <c r="K397" s="8" t="s">
        <v>29</v>
      </c>
      <c r="L397" s="17"/>
      <c r="M397" s="17"/>
      <c r="N397" s="18"/>
      <c r="O397" s="19"/>
      <c r="P397" s="7"/>
      <c r="Q397" s="7"/>
      <c r="R397" s="7"/>
      <c r="S397" s="17"/>
    </row>
    <row r="398" ht="13.5" customHeight="1">
      <c r="A398" s="8" t="s">
        <v>534</v>
      </c>
      <c r="B398" s="8" t="s">
        <v>132</v>
      </c>
      <c r="C398" s="8" t="s">
        <v>270</v>
      </c>
      <c r="D398" s="8" t="s">
        <v>441</v>
      </c>
      <c r="E398" s="9" t="s">
        <v>535</v>
      </c>
      <c r="F398" s="8" t="s">
        <v>134</v>
      </c>
      <c r="G398" s="8" t="s">
        <v>533</v>
      </c>
      <c r="H398" s="12" t="s">
        <v>259</v>
      </c>
      <c r="I398" s="12" t="s">
        <v>91</v>
      </c>
      <c r="J398" s="11" t="s">
        <v>400</v>
      </c>
      <c r="K398" s="8" t="s">
        <v>29</v>
      </c>
      <c r="L398" s="17"/>
      <c r="M398" s="17"/>
      <c r="N398" s="18"/>
      <c r="O398" s="19"/>
      <c r="P398" s="7"/>
      <c r="Q398" s="7"/>
      <c r="R398" s="7"/>
      <c r="S398" s="17"/>
    </row>
    <row r="399" ht="13.5" customHeight="1">
      <c r="A399" s="8" t="s">
        <v>33</v>
      </c>
      <c r="B399" s="8" t="s">
        <v>253</v>
      </c>
      <c r="C399" s="8" t="s">
        <v>536</v>
      </c>
      <c r="D399" s="8" t="s">
        <v>255</v>
      </c>
      <c r="E399" s="9" t="s">
        <v>537</v>
      </c>
      <c r="F399" s="8" t="s">
        <v>281</v>
      </c>
      <c r="G399" s="8" t="s">
        <v>533</v>
      </c>
      <c r="H399" s="12" t="s">
        <v>259</v>
      </c>
      <c r="I399" s="12" t="s">
        <v>91</v>
      </c>
      <c r="J399" s="11" t="s">
        <v>400</v>
      </c>
      <c r="K399" s="8" t="s">
        <v>29</v>
      </c>
      <c r="L399" s="17"/>
      <c r="M399" s="17"/>
      <c r="N399" s="18"/>
      <c r="O399" s="19"/>
      <c r="P399" s="7"/>
      <c r="Q399" s="7"/>
      <c r="R399" s="7"/>
      <c r="S399" s="17"/>
    </row>
    <row r="400" ht="13.5" customHeight="1">
      <c r="A400" s="8" t="s">
        <v>538</v>
      </c>
      <c r="B400" s="8" t="s">
        <v>34</v>
      </c>
      <c r="C400" s="8" t="s">
        <v>125</v>
      </c>
      <c r="D400" s="8" t="s">
        <v>492</v>
      </c>
      <c r="E400" s="9" t="s">
        <v>539</v>
      </c>
      <c r="F400" s="8" t="s">
        <v>267</v>
      </c>
      <c r="G400" s="8" t="s">
        <v>533</v>
      </c>
      <c r="H400" s="12" t="s">
        <v>259</v>
      </c>
      <c r="I400" s="12" t="s">
        <v>91</v>
      </c>
      <c r="J400" s="11" t="s">
        <v>400</v>
      </c>
      <c r="K400" s="8" t="s">
        <v>29</v>
      </c>
      <c r="L400" s="17"/>
      <c r="M400" s="17"/>
      <c r="N400" s="18"/>
      <c r="O400" s="19"/>
      <c r="P400" s="7"/>
      <c r="Q400" s="7"/>
      <c r="R400" s="7"/>
      <c r="S400" s="17"/>
    </row>
    <row r="401" ht="13.5" customHeight="1">
      <c r="A401" s="8" t="s">
        <v>33</v>
      </c>
      <c r="B401" s="8" t="s">
        <v>286</v>
      </c>
      <c r="C401" s="8" t="s">
        <v>287</v>
      </c>
      <c r="D401" s="8" t="s">
        <v>288</v>
      </c>
      <c r="E401" s="9" t="s">
        <v>288</v>
      </c>
      <c r="F401" s="8" t="s">
        <v>289</v>
      </c>
      <c r="G401" s="8" t="s">
        <v>533</v>
      </c>
      <c r="H401" s="12" t="s">
        <v>259</v>
      </c>
      <c r="I401" s="12" t="s">
        <v>91</v>
      </c>
      <c r="J401" s="11" t="s">
        <v>400</v>
      </c>
      <c r="K401" s="8" t="s">
        <v>29</v>
      </c>
      <c r="L401" s="17"/>
      <c r="M401" s="17"/>
      <c r="N401" s="18"/>
      <c r="O401" s="19"/>
      <c r="P401" s="7"/>
      <c r="Q401" s="7"/>
      <c r="R401" s="7"/>
      <c r="S401" s="17"/>
    </row>
    <row r="402" ht="13.5" customHeight="1">
      <c r="A402" s="8" t="s">
        <v>540</v>
      </c>
      <c r="B402" s="8" t="s">
        <v>98</v>
      </c>
      <c r="C402" s="8" t="s">
        <v>99</v>
      </c>
      <c r="D402" s="8" t="s">
        <v>541</v>
      </c>
      <c r="E402" s="9" t="s">
        <v>542</v>
      </c>
      <c r="F402" s="8" t="s">
        <v>543</v>
      </c>
      <c r="G402" s="8" t="s">
        <v>533</v>
      </c>
      <c r="H402" s="12" t="s">
        <v>259</v>
      </c>
      <c r="I402" s="12" t="s">
        <v>91</v>
      </c>
      <c r="J402" s="11" t="s">
        <v>400</v>
      </c>
      <c r="K402" s="8" t="s">
        <v>29</v>
      </c>
      <c r="L402" s="17"/>
      <c r="M402" s="17"/>
      <c r="N402" s="18"/>
      <c r="O402" s="19"/>
      <c r="P402" s="8" t="s">
        <v>2173</v>
      </c>
      <c r="Q402" s="7"/>
      <c r="R402" s="7"/>
      <c r="S402" s="17"/>
    </row>
    <row r="403" ht="13.5" customHeight="1">
      <c r="A403" s="8" t="s">
        <v>33</v>
      </c>
      <c r="B403" s="8" t="s">
        <v>74</v>
      </c>
      <c r="C403" s="8" t="s">
        <v>435</v>
      </c>
      <c r="D403" s="8" t="s">
        <v>288</v>
      </c>
      <c r="E403" s="9" t="s">
        <v>288</v>
      </c>
      <c r="F403" s="8" t="s">
        <v>544</v>
      </c>
      <c r="G403" s="8" t="s">
        <v>533</v>
      </c>
      <c r="H403" s="12" t="s">
        <v>259</v>
      </c>
      <c r="I403" s="12" t="s">
        <v>91</v>
      </c>
      <c r="J403" s="11" t="s">
        <v>400</v>
      </c>
      <c r="K403" s="8" t="s">
        <v>29</v>
      </c>
      <c r="L403" s="17"/>
      <c r="M403" s="17"/>
      <c r="N403" s="18"/>
      <c r="O403" s="19"/>
      <c r="P403" s="7"/>
      <c r="Q403" s="7"/>
      <c r="R403" s="7"/>
      <c r="S403" s="17"/>
    </row>
    <row r="404" ht="13.5" customHeight="1">
      <c r="A404" s="8" t="s">
        <v>33</v>
      </c>
      <c r="B404" s="8" t="s">
        <v>290</v>
      </c>
      <c r="C404" s="8" t="s">
        <v>156</v>
      </c>
      <c r="D404" s="8" t="s">
        <v>545</v>
      </c>
      <c r="E404" s="9" t="s">
        <v>33</v>
      </c>
      <c r="F404" s="8" t="s">
        <v>420</v>
      </c>
      <c r="G404" s="8" t="s">
        <v>533</v>
      </c>
      <c r="H404" s="13" t="s">
        <v>259</v>
      </c>
      <c r="I404" s="13" t="s">
        <v>91</v>
      </c>
      <c r="J404" s="8" t="s">
        <v>400</v>
      </c>
      <c r="K404" s="8" t="s">
        <v>29</v>
      </c>
      <c r="L404" s="17"/>
      <c r="M404" s="17"/>
      <c r="N404" s="18"/>
      <c r="O404" s="19"/>
      <c r="P404" s="7"/>
      <c r="Q404" s="7"/>
      <c r="R404" s="7"/>
      <c r="S404" s="17"/>
    </row>
    <row r="405" ht="13.5" customHeight="1">
      <c r="A405" s="8" t="s">
        <v>33</v>
      </c>
      <c r="B405" s="8" t="s">
        <v>167</v>
      </c>
      <c r="C405" s="8" t="s">
        <v>296</v>
      </c>
      <c r="D405" s="8" t="s">
        <v>546</v>
      </c>
      <c r="E405" s="9" t="s">
        <v>547</v>
      </c>
      <c r="F405" s="8" t="s">
        <v>548</v>
      </c>
      <c r="G405" s="8" t="s">
        <v>533</v>
      </c>
      <c r="H405" s="12" t="s">
        <v>259</v>
      </c>
      <c r="I405" s="12" t="s">
        <v>91</v>
      </c>
      <c r="J405" s="11" t="s">
        <v>400</v>
      </c>
      <c r="K405" s="8" t="s">
        <v>29</v>
      </c>
      <c r="L405" s="17"/>
      <c r="M405" s="17"/>
      <c r="N405" s="18"/>
      <c r="O405" s="19"/>
      <c r="P405" s="7"/>
      <c r="Q405" s="7"/>
      <c r="R405" s="7"/>
      <c r="S405" s="17"/>
    </row>
    <row r="406" ht="13.5" customHeight="1">
      <c r="A406" s="8" t="s">
        <v>33</v>
      </c>
      <c r="B406" s="8" t="s">
        <v>132</v>
      </c>
      <c r="C406" s="8" t="s">
        <v>296</v>
      </c>
      <c r="D406" s="8" t="s">
        <v>302</v>
      </c>
      <c r="E406" s="9" t="s">
        <v>33</v>
      </c>
      <c r="F406" s="8" t="s">
        <v>304</v>
      </c>
      <c r="G406" s="8" t="s">
        <v>533</v>
      </c>
      <c r="H406" s="12" t="s">
        <v>259</v>
      </c>
      <c r="I406" s="12" t="s">
        <v>91</v>
      </c>
      <c r="J406" s="11" t="s">
        <v>400</v>
      </c>
      <c r="K406" s="8" t="s">
        <v>29</v>
      </c>
      <c r="L406" s="17"/>
      <c r="M406" s="17"/>
      <c r="N406" s="18"/>
      <c r="O406" s="19"/>
      <c r="P406" s="7"/>
      <c r="Q406" s="7"/>
      <c r="R406" s="7"/>
      <c r="S406" s="17"/>
    </row>
    <row r="407" ht="13.5" customHeight="1">
      <c r="A407" s="8" t="s">
        <v>33</v>
      </c>
      <c r="B407" s="8" t="s">
        <v>305</v>
      </c>
      <c r="C407" s="8" t="s">
        <v>288</v>
      </c>
      <c r="D407" s="8" t="s">
        <v>288</v>
      </c>
      <c r="E407" s="9" t="s">
        <v>288</v>
      </c>
      <c r="F407" s="8" t="s">
        <v>306</v>
      </c>
      <c r="G407" s="8" t="s">
        <v>533</v>
      </c>
      <c r="H407" s="12" t="s">
        <v>259</v>
      </c>
      <c r="I407" s="12" t="s">
        <v>91</v>
      </c>
      <c r="J407" s="11" t="s">
        <v>400</v>
      </c>
      <c r="K407" s="8" t="s">
        <v>29</v>
      </c>
      <c r="L407" s="17"/>
      <c r="M407" s="17"/>
      <c r="N407" s="18"/>
      <c r="O407" s="19"/>
      <c r="P407" s="7"/>
      <c r="Q407" s="7"/>
      <c r="R407" s="7"/>
      <c r="S407" s="17"/>
    </row>
    <row r="408" ht="13.5" customHeight="1">
      <c r="A408" s="8" t="s">
        <v>33</v>
      </c>
      <c r="B408" s="8" t="s">
        <v>325</v>
      </c>
      <c r="C408" s="8" t="s">
        <v>288</v>
      </c>
      <c r="D408" s="8" t="s">
        <v>288</v>
      </c>
      <c r="E408" s="9" t="s">
        <v>288</v>
      </c>
      <c r="F408" s="8" t="s">
        <v>326</v>
      </c>
      <c r="G408" s="8" t="s">
        <v>533</v>
      </c>
      <c r="H408" s="12" t="s">
        <v>259</v>
      </c>
      <c r="I408" s="12" t="s">
        <v>91</v>
      </c>
      <c r="J408" s="11" t="s">
        <v>400</v>
      </c>
      <c r="K408" s="8" t="s">
        <v>29</v>
      </c>
      <c r="L408" s="17"/>
      <c r="M408" s="17"/>
      <c r="N408" s="18"/>
      <c r="O408" s="19"/>
      <c r="P408" s="7"/>
      <c r="Q408" s="7"/>
      <c r="R408" s="7"/>
      <c r="S408" s="17"/>
    </row>
    <row r="409" ht="13.5" customHeight="1">
      <c r="A409" s="8" t="s">
        <v>33</v>
      </c>
      <c r="B409" s="8" t="s">
        <v>67</v>
      </c>
      <c r="C409" s="8" t="s">
        <v>270</v>
      </c>
      <c r="D409" s="8" t="s">
        <v>271</v>
      </c>
      <c r="E409" s="9" t="s">
        <v>33</v>
      </c>
      <c r="F409" s="8" t="s">
        <v>549</v>
      </c>
      <c r="G409" s="8" t="s">
        <v>550</v>
      </c>
      <c r="H409" s="12" t="s">
        <v>259</v>
      </c>
      <c r="I409" s="12" t="s">
        <v>91</v>
      </c>
      <c r="J409" s="11" t="s">
        <v>275</v>
      </c>
      <c r="K409" s="8" t="s">
        <v>29</v>
      </c>
      <c r="L409" s="17"/>
      <c r="M409" s="17"/>
      <c r="N409" s="18"/>
      <c r="O409" s="19"/>
      <c r="P409" s="7"/>
      <c r="Q409" s="7"/>
      <c r="R409" s="7"/>
      <c r="S409" s="17"/>
    </row>
    <row r="410" ht="13.5" customHeight="1">
      <c r="A410" s="8" t="s">
        <v>33</v>
      </c>
      <c r="B410" s="8" t="s">
        <v>132</v>
      </c>
      <c r="C410" s="8" t="s">
        <v>270</v>
      </c>
      <c r="D410" s="8" t="s">
        <v>441</v>
      </c>
      <c r="E410" s="9" t="s">
        <v>33</v>
      </c>
      <c r="F410" s="8" t="s">
        <v>134</v>
      </c>
      <c r="G410" s="8" t="s">
        <v>550</v>
      </c>
      <c r="H410" s="12" t="s">
        <v>259</v>
      </c>
      <c r="I410" s="12" t="s">
        <v>91</v>
      </c>
      <c r="J410" s="11" t="s">
        <v>275</v>
      </c>
      <c r="K410" s="8" t="s">
        <v>29</v>
      </c>
      <c r="L410" s="17"/>
      <c r="M410" s="17"/>
      <c r="N410" s="18"/>
      <c r="O410" s="19"/>
      <c r="P410" s="7"/>
      <c r="Q410" s="7"/>
      <c r="R410" s="7"/>
      <c r="S410" s="17"/>
    </row>
    <row r="411" ht="13.5" customHeight="1">
      <c r="A411" s="8" t="s">
        <v>33</v>
      </c>
      <c r="B411" s="8" t="s">
        <v>253</v>
      </c>
      <c r="C411" s="8" t="s">
        <v>536</v>
      </c>
      <c r="D411" s="8" t="s">
        <v>255</v>
      </c>
      <c r="E411" s="9" t="s">
        <v>33</v>
      </c>
      <c r="F411" s="8" t="s">
        <v>281</v>
      </c>
      <c r="G411" s="8" t="s">
        <v>550</v>
      </c>
      <c r="H411" s="12" t="s">
        <v>259</v>
      </c>
      <c r="I411" s="12" t="s">
        <v>91</v>
      </c>
      <c r="J411" s="11" t="s">
        <v>275</v>
      </c>
      <c r="K411" s="8" t="s">
        <v>29</v>
      </c>
      <c r="L411" s="17"/>
      <c r="M411" s="17"/>
      <c r="N411" s="18"/>
      <c r="O411" s="19"/>
      <c r="P411" s="7"/>
      <c r="Q411" s="7"/>
      <c r="R411" s="7"/>
      <c r="S411" s="17"/>
    </row>
    <row r="412" ht="13.5" customHeight="1">
      <c r="A412" s="8" t="s">
        <v>33</v>
      </c>
      <c r="B412" s="8" t="s">
        <v>34</v>
      </c>
      <c r="C412" s="8" t="s">
        <v>125</v>
      </c>
      <c r="D412" s="8" t="s">
        <v>36</v>
      </c>
      <c r="E412" s="9" t="s">
        <v>33</v>
      </c>
      <c r="F412" s="8" t="s">
        <v>267</v>
      </c>
      <c r="G412" s="8" t="s">
        <v>550</v>
      </c>
      <c r="H412" s="12" t="s">
        <v>259</v>
      </c>
      <c r="I412" s="12" t="s">
        <v>91</v>
      </c>
      <c r="J412" s="11" t="s">
        <v>275</v>
      </c>
      <c r="K412" s="8" t="s">
        <v>55</v>
      </c>
      <c r="L412" s="17"/>
      <c r="M412" s="17"/>
      <c r="N412" s="18"/>
      <c r="O412" s="19"/>
      <c r="P412" s="7"/>
      <c r="Q412" s="7"/>
      <c r="R412" s="7"/>
      <c r="S412" s="17"/>
    </row>
    <row r="413" ht="13.5" customHeight="1">
      <c r="A413" s="8" t="s">
        <v>33</v>
      </c>
      <c r="B413" s="8" t="s">
        <v>286</v>
      </c>
      <c r="C413" s="8" t="s">
        <v>287</v>
      </c>
      <c r="D413" s="8" t="s">
        <v>288</v>
      </c>
      <c r="E413" s="9" t="s">
        <v>288</v>
      </c>
      <c r="F413" s="8" t="s">
        <v>289</v>
      </c>
      <c r="G413" s="8" t="s">
        <v>550</v>
      </c>
      <c r="H413" s="12" t="s">
        <v>259</v>
      </c>
      <c r="I413" s="12" t="s">
        <v>91</v>
      </c>
      <c r="J413" s="11" t="s">
        <v>275</v>
      </c>
      <c r="K413" s="8" t="s">
        <v>29</v>
      </c>
      <c r="L413" s="17"/>
      <c r="M413" s="17"/>
      <c r="N413" s="18"/>
      <c r="O413" s="19"/>
      <c r="P413" s="7"/>
      <c r="Q413" s="7"/>
      <c r="R413" s="7"/>
      <c r="S413" s="17"/>
    </row>
    <row r="414" ht="13.5" customHeight="1">
      <c r="A414" s="8" t="s">
        <v>33</v>
      </c>
      <c r="B414" s="8" t="s">
        <v>290</v>
      </c>
      <c r="C414" s="8" t="s">
        <v>291</v>
      </c>
      <c r="D414" s="8" t="s">
        <v>292</v>
      </c>
      <c r="E414" s="9" t="s">
        <v>33</v>
      </c>
      <c r="F414" s="8" t="s">
        <v>293</v>
      </c>
      <c r="G414" s="8" t="s">
        <v>550</v>
      </c>
      <c r="H414" s="13" t="s">
        <v>259</v>
      </c>
      <c r="I414" s="13" t="s">
        <v>91</v>
      </c>
      <c r="J414" s="8" t="s">
        <v>275</v>
      </c>
      <c r="K414" s="8" t="s">
        <v>55</v>
      </c>
      <c r="L414" s="17"/>
      <c r="M414" s="17"/>
      <c r="N414" s="18"/>
      <c r="O414" s="19"/>
      <c r="P414" s="7"/>
      <c r="Q414" s="7"/>
      <c r="R414" s="7"/>
      <c r="S414" s="17"/>
    </row>
    <row r="415" ht="13.5" customHeight="1">
      <c r="A415" s="46" t="s">
        <v>33</v>
      </c>
      <c r="B415" s="46" t="s">
        <v>167</v>
      </c>
      <c r="C415" s="46" t="s">
        <v>48</v>
      </c>
      <c r="D415" s="46" t="s">
        <v>2202</v>
      </c>
      <c r="E415" s="47" t="s">
        <v>537</v>
      </c>
      <c r="F415" s="46" t="s">
        <v>537</v>
      </c>
      <c r="G415" s="46" t="s">
        <v>550</v>
      </c>
      <c r="H415" s="48" t="s">
        <v>259</v>
      </c>
      <c r="I415" s="48" t="s">
        <v>91</v>
      </c>
      <c r="J415" s="49" t="s">
        <v>275</v>
      </c>
      <c r="K415" s="46" t="s">
        <v>29</v>
      </c>
      <c r="L415" s="50"/>
      <c r="M415" s="50"/>
      <c r="N415" s="51"/>
      <c r="O415" s="52"/>
      <c r="P415" s="53"/>
      <c r="Q415" s="53"/>
      <c r="R415" s="53"/>
      <c r="S415" s="50"/>
    </row>
    <row r="416" ht="13.5" customHeight="1">
      <c r="A416" s="46" t="s">
        <v>33</v>
      </c>
      <c r="B416" s="46" t="s">
        <v>2203</v>
      </c>
      <c r="C416" s="46" t="s">
        <v>537</v>
      </c>
      <c r="D416" s="46" t="s">
        <v>537</v>
      </c>
      <c r="E416" s="47" t="s">
        <v>537</v>
      </c>
      <c r="F416" s="46" t="s">
        <v>537</v>
      </c>
      <c r="G416" s="46" t="s">
        <v>550</v>
      </c>
      <c r="H416" s="48" t="s">
        <v>259</v>
      </c>
      <c r="I416" s="48" t="s">
        <v>91</v>
      </c>
      <c r="J416" s="49" t="s">
        <v>275</v>
      </c>
      <c r="K416" s="46" t="s">
        <v>29</v>
      </c>
      <c r="L416" s="50"/>
      <c r="M416" s="50"/>
      <c r="N416" s="51"/>
      <c r="O416" s="52"/>
      <c r="P416" s="53"/>
      <c r="Q416" s="53"/>
      <c r="R416" s="53"/>
      <c r="S416" s="50"/>
    </row>
    <row r="417" ht="13.5" customHeight="1">
      <c r="A417" s="8" t="s">
        <v>2204</v>
      </c>
      <c r="B417" s="8" t="s">
        <v>67</v>
      </c>
      <c r="C417" s="8" t="s">
        <v>270</v>
      </c>
      <c r="D417" s="8" t="s">
        <v>308</v>
      </c>
      <c r="E417" s="9" t="s">
        <v>2205</v>
      </c>
      <c r="F417" s="8" t="s">
        <v>398</v>
      </c>
      <c r="G417" s="8" t="s">
        <v>602</v>
      </c>
      <c r="H417" s="12" t="s">
        <v>259</v>
      </c>
      <c r="I417" s="11" t="s">
        <v>260</v>
      </c>
      <c r="J417" s="11" t="s">
        <v>588</v>
      </c>
      <c r="K417" s="8" t="s">
        <v>29</v>
      </c>
      <c r="L417" s="17"/>
      <c r="M417" s="17"/>
      <c r="N417" s="18"/>
      <c r="O417" s="19"/>
      <c r="P417" s="7"/>
      <c r="Q417" s="7"/>
      <c r="R417" s="7"/>
      <c r="S417" s="17"/>
    </row>
    <row r="418" ht="13.5" customHeight="1">
      <c r="A418" s="8" t="s">
        <v>33</v>
      </c>
      <c r="B418" s="8" t="s">
        <v>132</v>
      </c>
      <c r="C418" s="8" t="s">
        <v>362</v>
      </c>
      <c r="D418" s="8" t="s">
        <v>441</v>
      </c>
      <c r="E418" s="9" t="s">
        <v>2206</v>
      </c>
      <c r="F418" s="8" t="s">
        <v>134</v>
      </c>
      <c r="G418" s="8" t="s">
        <v>602</v>
      </c>
      <c r="H418" s="12" t="s">
        <v>259</v>
      </c>
      <c r="I418" s="11" t="s">
        <v>260</v>
      </c>
      <c r="J418" s="11" t="s">
        <v>588</v>
      </c>
      <c r="K418" s="8" t="s">
        <v>29</v>
      </c>
      <c r="L418" s="17"/>
      <c r="M418" s="17"/>
      <c r="N418" s="18"/>
      <c r="O418" s="19"/>
      <c r="P418" s="7"/>
      <c r="Q418" s="7"/>
      <c r="R418" s="7"/>
      <c r="S418" s="17"/>
    </row>
    <row r="419" ht="13.5" customHeight="1">
      <c r="A419" s="8" t="s">
        <v>430</v>
      </c>
      <c r="B419" s="8" t="s">
        <v>253</v>
      </c>
      <c r="C419" s="8" t="s">
        <v>536</v>
      </c>
      <c r="D419" s="8" t="s">
        <v>255</v>
      </c>
      <c r="E419" s="9" t="s">
        <v>33</v>
      </c>
      <c r="F419" s="8" t="s">
        <v>281</v>
      </c>
      <c r="G419" s="8" t="s">
        <v>602</v>
      </c>
      <c r="H419" s="12" t="s">
        <v>259</v>
      </c>
      <c r="I419" s="11" t="s">
        <v>260</v>
      </c>
      <c r="J419" s="11" t="s">
        <v>588</v>
      </c>
      <c r="K419" s="8" t="s">
        <v>29</v>
      </c>
      <c r="L419" s="17"/>
      <c r="M419" s="17"/>
      <c r="N419" s="18"/>
      <c r="O419" s="19"/>
      <c r="P419" s="7"/>
      <c r="Q419" s="7"/>
      <c r="R419" s="7"/>
      <c r="S419" s="17"/>
    </row>
    <row r="420" ht="13.5" customHeight="1">
      <c r="A420" s="8" t="s">
        <v>2207</v>
      </c>
      <c r="B420" s="8" t="s">
        <v>34</v>
      </c>
      <c r="C420" s="8" t="s">
        <v>153</v>
      </c>
      <c r="D420" s="8" t="s">
        <v>154</v>
      </c>
      <c r="E420" s="9" t="s">
        <v>606</v>
      </c>
      <c r="F420" s="8" t="s">
        <v>267</v>
      </c>
      <c r="G420" s="8" t="s">
        <v>602</v>
      </c>
      <c r="H420" s="12" t="s">
        <v>259</v>
      </c>
      <c r="I420" s="11" t="s">
        <v>260</v>
      </c>
      <c r="J420" s="11" t="s">
        <v>588</v>
      </c>
      <c r="K420" s="8" t="s">
        <v>29</v>
      </c>
      <c r="L420" s="17"/>
      <c r="M420" s="17"/>
      <c r="N420" s="18"/>
      <c r="O420" s="19"/>
      <c r="P420" s="7"/>
      <c r="Q420" s="7"/>
      <c r="R420" s="7"/>
      <c r="S420" s="17"/>
    </row>
    <row r="421" ht="13.5" customHeight="1">
      <c r="A421" s="8" t="s">
        <v>33</v>
      </c>
      <c r="B421" s="8" t="s">
        <v>286</v>
      </c>
      <c r="C421" s="8" t="s">
        <v>287</v>
      </c>
      <c r="D421" s="8" t="s">
        <v>288</v>
      </c>
      <c r="E421" s="9" t="s">
        <v>288</v>
      </c>
      <c r="F421" s="8" t="s">
        <v>289</v>
      </c>
      <c r="G421" s="8" t="s">
        <v>602</v>
      </c>
      <c r="H421" s="12" t="s">
        <v>259</v>
      </c>
      <c r="I421" s="11" t="s">
        <v>260</v>
      </c>
      <c r="J421" s="11" t="s">
        <v>588</v>
      </c>
      <c r="K421" s="8" t="s">
        <v>29</v>
      </c>
      <c r="L421" s="17"/>
      <c r="M421" s="17"/>
      <c r="N421" s="18"/>
      <c r="O421" s="19"/>
      <c r="P421" s="7"/>
      <c r="Q421" s="7"/>
      <c r="R421" s="7"/>
      <c r="S421" s="17"/>
    </row>
    <row r="422" ht="13.5" customHeight="1">
      <c r="A422" s="8" t="s">
        <v>33</v>
      </c>
      <c r="B422" s="8" t="s">
        <v>167</v>
      </c>
      <c r="C422" s="8" t="s">
        <v>296</v>
      </c>
      <c r="D422" s="8" t="s">
        <v>391</v>
      </c>
      <c r="E422" s="9" t="s">
        <v>607</v>
      </c>
      <c r="F422" s="8" t="s">
        <v>299</v>
      </c>
      <c r="G422" s="8" t="s">
        <v>602</v>
      </c>
      <c r="H422" s="12" t="s">
        <v>259</v>
      </c>
      <c r="I422" s="11" t="s">
        <v>260</v>
      </c>
      <c r="J422" s="11" t="s">
        <v>588</v>
      </c>
      <c r="K422" s="8" t="s">
        <v>29</v>
      </c>
      <c r="L422" s="17"/>
      <c r="M422" s="17"/>
      <c r="N422" s="18"/>
      <c r="O422" s="19"/>
      <c r="P422" s="7"/>
      <c r="Q422" s="7"/>
      <c r="R422" s="7"/>
      <c r="S422" s="17"/>
    </row>
    <row r="423" ht="13.5" customHeight="1">
      <c r="A423" s="8" t="s">
        <v>33</v>
      </c>
      <c r="B423" s="8" t="s">
        <v>132</v>
      </c>
      <c r="C423" s="8" t="s">
        <v>537</v>
      </c>
      <c r="D423" s="8" t="s">
        <v>537</v>
      </c>
      <c r="E423" s="9" t="s">
        <v>537</v>
      </c>
      <c r="F423" s="8" t="s">
        <v>304</v>
      </c>
      <c r="G423" s="8" t="s">
        <v>602</v>
      </c>
      <c r="H423" s="12" t="s">
        <v>259</v>
      </c>
      <c r="I423" s="11" t="s">
        <v>260</v>
      </c>
      <c r="J423" s="11" t="s">
        <v>588</v>
      </c>
      <c r="K423" s="8" t="s">
        <v>29</v>
      </c>
      <c r="L423" s="17"/>
      <c r="M423" s="17"/>
      <c r="N423" s="18"/>
      <c r="O423" s="19"/>
      <c r="P423" s="7"/>
      <c r="Q423" s="7"/>
      <c r="R423" s="7"/>
      <c r="S423" s="17"/>
    </row>
    <row r="424" ht="13.5" customHeight="1">
      <c r="A424" s="8" t="s">
        <v>33</v>
      </c>
      <c r="B424" s="8" t="s">
        <v>305</v>
      </c>
      <c r="C424" s="8" t="s">
        <v>288</v>
      </c>
      <c r="D424" s="8" t="s">
        <v>288</v>
      </c>
      <c r="E424" s="9" t="s">
        <v>288</v>
      </c>
      <c r="F424" s="8" t="s">
        <v>306</v>
      </c>
      <c r="G424" s="8" t="s">
        <v>602</v>
      </c>
      <c r="H424" s="12" t="s">
        <v>259</v>
      </c>
      <c r="I424" s="11" t="s">
        <v>260</v>
      </c>
      <c r="J424" s="11" t="s">
        <v>588</v>
      </c>
      <c r="K424" s="8" t="s">
        <v>29</v>
      </c>
      <c r="L424" s="17"/>
      <c r="M424" s="17"/>
      <c r="N424" s="18"/>
      <c r="O424" s="19"/>
      <c r="P424" s="7"/>
      <c r="Q424" s="7"/>
      <c r="R424" s="7"/>
      <c r="S424" s="17"/>
    </row>
    <row r="425" ht="13.5" customHeight="1">
      <c r="A425" s="8" t="s">
        <v>33</v>
      </c>
      <c r="B425" s="8" t="s">
        <v>325</v>
      </c>
      <c r="C425" s="8" t="s">
        <v>288</v>
      </c>
      <c r="D425" s="8" t="s">
        <v>288</v>
      </c>
      <c r="E425" s="9" t="s">
        <v>288</v>
      </c>
      <c r="F425" s="8" t="s">
        <v>326</v>
      </c>
      <c r="G425" s="8" t="s">
        <v>602</v>
      </c>
      <c r="H425" s="12" t="s">
        <v>259</v>
      </c>
      <c r="I425" s="11" t="s">
        <v>260</v>
      </c>
      <c r="J425" s="11" t="s">
        <v>588</v>
      </c>
      <c r="K425" s="8" t="s">
        <v>29</v>
      </c>
      <c r="L425" s="17"/>
      <c r="M425" s="17"/>
      <c r="N425" s="18"/>
      <c r="O425" s="19"/>
      <c r="P425" s="7"/>
      <c r="Q425" s="7"/>
      <c r="R425" s="7"/>
      <c r="S425" s="17"/>
    </row>
    <row r="426" ht="13.5" customHeight="1">
      <c r="A426" s="8" t="s">
        <v>622</v>
      </c>
      <c r="B426" s="8" t="s">
        <v>67</v>
      </c>
      <c r="C426" s="8" t="s">
        <v>270</v>
      </c>
      <c r="D426" s="8" t="s">
        <v>308</v>
      </c>
      <c r="E426" s="9" t="s">
        <v>623</v>
      </c>
      <c r="F426" s="8" t="s">
        <v>398</v>
      </c>
      <c r="G426" s="8" t="s">
        <v>878</v>
      </c>
      <c r="H426" s="11" t="s">
        <v>259</v>
      </c>
      <c r="I426" s="11" t="s">
        <v>27</v>
      </c>
      <c r="J426" s="11" t="s">
        <v>635</v>
      </c>
      <c r="K426" s="8" t="s">
        <v>29</v>
      </c>
      <c r="L426" s="17"/>
      <c r="M426" s="17"/>
      <c r="N426" s="18"/>
      <c r="O426" s="19"/>
      <c r="P426" s="8" t="s">
        <v>2208</v>
      </c>
      <c r="Q426" s="7"/>
      <c r="R426" s="7"/>
      <c r="S426" s="17"/>
    </row>
    <row r="427" ht="13.5" customHeight="1">
      <c r="A427" s="8" t="s">
        <v>624</v>
      </c>
      <c r="B427" s="8" t="s">
        <v>132</v>
      </c>
      <c r="C427" s="8" t="s">
        <v>270</v>
      </c>
      <c r="D427" s="8" t="s">
        <v>332</v>
      </c>
      <c r="E427" s="9" t="s">
        <v>625</v>
      </c>
      <c r="F427" s="8" t="s">
        <v>134</v>
      </c>
      <c r="G427" s="8" t="s">
        <v>878</v>
      </c>
      <c r="H427" s="11" t="s">
        <v>259</v>
      </c>
      <c r="I427" s="11" t="s">
        <v>27</v>
      </c>
      <c r="J427" s="11" t="s">
        <v>635</v>
      </c>
      <c r="K427" s="8" t="s">
        <v>29</v>
      </c>
      <c r="L427" s="17"/>
      <c r="M427" s="17"/>
      <c r="N427" s="18"/>
      <c r="O427" s="19"/>
      <c r="P427" s="8" t="s">
        <v>2208</v>
      </c>
      <c r="Q427" s="7"/>
      <c r="R427" s="7"/>
      <c r="S427" s="17"/>
    </row>
    <row r="428" ht="13.5" customHeight="1">
      <c r="A428" s="8" t="s">
        <v>626</v>
      </c>
      <c r="B428" s="8" t="s">
        <v>34</v>
      </c>
      <c r="C428" s="8" t="s">
        <v>627</v>
      </c>
      <c r="D428" s="8" t="s">
        <v>154</v>
      </c>
      <c r="E428" s="9" t="s">
        <v>628</v>
      </c>
      <c r="F428" s="8" t="s">
        <v>267</v>
      </c>
      <c r="G428" s="8" t="s">
        <v>878</v>
      </c>
      <c r="H428" s="11" t="s">
        <v>259</v>
      </c>
      <c r="I428" s="11" t="s">
        <v>27</v>
      </c>
      <c r="J428" s="11" t="s">
        <v>635</v>
      </c>
      <c r="K428" s="8" t="s">
        <v>29</v>
      </c>
      <c r="L428" s="17"/>
      <c r="M428" s="17"/>
      <c r="N428" s="18"/>
      <c r="O428" s="19"/>
      <c r="P428" s="8" t="s">
        <v>2208</v>
      </c>
      <c r="Q428" s="7"/>
      <c r="R428" s="7"/>
      <c r="S428" s="17"/>
    </row>
    <row r="429" ht="13.5" customHeight="1">
      <c r="A429" s="8" t="s">
        <v>631</v>
      </c>
      <c r="B429" s="8" t="s">
        <v>253</v>
      </c>
      <c r="C429" s="8" t="s">
        <v>254</v>
      </c>
      <c r="D429" s="8" t="s">
        <v>255</v>
      </c>
      <c r="E429" s="9" t="s">
        <v>632</v>
      </c>
      <c r="F429" s="8" t="s">
        <v>281</v>
      </c>
      <c r="G429" s="8" t="s">
        <v>878</v>
      </c>
      <c r="H429" s="11" t="s">
        <v>259</v>
      </c>
      <c r="I429" s="11" t="s">
        <v>27</v>
      </c>
      <c r="J429" s="11" t="s">
        <v>635</v>
      </c>
      <c r="K429" s="8" t="s">
        <v>29</v>
      </c>
      <c r="L429" s="17"/>
      <c r="M429" s="17"/>
      <c r="N429" s="18"/>
      <c r="O429" s="19"/>
      <c r="P429" s="8" t="s">
        <v>2208</v>
      </c>
      <c r="Q429" s="7"/>
      <c r="R429" s="7"/>
      <c r="S429" s="17"/>
    </row>
    <row r="430" ht="13.5" customHeight="1">
      <c r="A430" s="8" t="s">
        <v>33</v>
      </c>
      <c r="B430" s="8" t="s">
        <v>67</v>
      </c>
      <c r="C430" s="8" t="s">
        <v>270</v>
      </c>
      <c r="D430" s="8" t="s">
        <v>358</v>
      </c>
      <c r="E430" s="9" t="s">
        <v>633</v>
      </c>
      <c r="F430" s="8" t="s">
        <v>398</v>
      </c>
      <c r="G430" s="8" t="s">
        <v>634</v>
      </c>
      <c r="H430" s="11" t="s">
        <v>259</v>
      </c>
      <c r="I430" s="11" t="s">
        <v>27</v>
      </c>
      <c r="J430" s="11" t="s">
        <v>635</v>
      </c>
      <c r="K430" s="8" t="s">
        <v>29</v>
      </c>
      <c r="L430" s="17"/>
      <c r="M430" s="17"/>
      <c r="N430" s="18"/>
      <c r="O430" s="19"/>
      <c r="P430" s="8"/>
      <c r="Q430" s="7"/>
      <c r="R430" s="7"/>
      <c r="S430" s="17"/>
    </row>
    <row r="431" ht="13.5" customHeight="1">
      <c r="A431" s="8" t="s">
        <v>636</v>
      </c>
      <c r="B431" s="8" t="s">
        <v>132</v>
      </c>
      <c r="C431" s="8" t="s">
        <v>270</v>
      </c>
      <c r="D431" s="8" t="s">
        <v>332</v>
      </c>
      <c r="E431" s="9" t="s">
        <v>637</v>
      </c>
      <c r="F431" s="8" t="s">
        <v>134</v>
      </c>
      <c r="G431" s="8" t="s">
        <v>634</v>
      </c>
      <c r="H431" s="11" t="s">
        <v>259</v>
      </c>
      <c r="I431" s="11" t="s">
        <v>27</v>
      </c>
      <c r="J431" s="11" t="s">
        <v>635</v>
      </c>
      <c r="K431" s="8" t="s">
        <v>29</v>
      </c>
      <c r="L431" s="17"/>
      <c r="M431" s="17"/>
      <c r="N431" s="18"/>
      <c r="O431" s="19"/>
      <c r="P431" s="8"/>
      <c r="Q431" s="7"/>
      <c r="R431" s="7"/>
      <c r="S431" s="17"/>
    </row>
    <row r="432" ht="13.5" customHeight="1">
      <c r="A432" s="8" t="s">
        <v>639</v>
      </c>
      <c r="B432" s="8" t="s">
        <v>34</v>
      </c>
      <c r="C432" s="8" t="s">
        <v>627</v>
      </c>
      <c r="D432" s="8" t="s">
        <v>154</v>
      </c>
      <c r="E432" s="9" t="s">
        <v>638</v>
      </c>
      <c r="F432" s="8" t="s">
        <v>267</v>
      </c>
      <c r="G432" s="8" t="s">
        <v>634</v>
      </c>
      <c r="H432" s="11" t="s">
        <v>259</v>
      </c>
      <c r="I432" s="11" t="s">
        <v>27</v>
      </c>
      <c r="J432" s="11" t="s">
        <v>635</v>
      </c>
      <c r="K432" s="8" t="s">
        <v>29</v>
      </c>
      <c r="L432" s="17"/>
      <c r="M432" s="17"/>
      <c r="N432" s="18"/>
      <c r="O432" s="19"/>
      <c r="P432" s="8"/>
      <c r="Q432" s="7"/>
      <c r="R432" s="7"/>
      <c r="S432" s="17"/>
    </row>
    <row r="433" ht="13.5" customHeight="1">
      <c r="A433" s="8" t="s">
        <v>2209</v>
      </c>
      <c r="B433" s="8" t="s">
        <v>253</v>
      </c>
      <c r="C433" s="8" t="s">
        <v>254</v>
      </c>
      <c r="D433" s="8" t="s">
        <v>255</v>
      </c>
      <c r="E433" s="9" t="s">
        <v>640</v>
      </c>
      <c r="F433" s="8" t="s">
        <v>281</v>
      </c>
      <c r="G433" s="8" t="s">
        <v>634</v>
      </c>
      <c r="H433" s="11" t="s">
        <v>259</v>
      </c>
      <c r="I433" s="11" t="s">
        <v>27</v>
      </c>
      <c r="J433" s="11" t="s">
        <v>635</v>
      </c>
      <c r="K433" s="8" t="s">
        <v>29</v>
      </c>
      <c r="L433" s="17"/>
      <c r="M433" s="17"/>
      <c r="N433" s="18"/>
      <c r="O433" s="19"/>
      <c r="P433" s="8"/>
      <c r="Q433" s="7"/>
      <c r="R433" s="7"/>
      <c r="S433" s="17"/>
    </row>
    <row r="434" ht="13.5" customHeight="1">
      <c r="A434" s="8" t="s">
        <v>2210</v>
      </c>
      <c r="B434" s="8" t="s">
        <v>67</v>
      </c>
      <c r="C434" s="8" t="s">
        <v>270</v>
      </c>
      <c r="D434" s="8" t="s">
        <v>308</v>
      </c>
      <c r="E434" s="9" t="s">
        <v>1800</v>
      </c>
      <c r="F434" s="8" t="s">
        <v>398</v>
      </c>
      <c r="G434" s="8" t="s">
        <v>1444</v>
      </c>
      <c r="H434" s="11" t="s">
        <v>670</v>
      </c>
      <c r="I434" s="11" t="s">
        <v>27</v>
      </c>
      <c r="J434" s="11" t="s">
        <v>635</v>
      </c>
      <c r="K434" s="8" t="s">
        <v>29</v>
      </c>
      <c r="L434" s="17"/>
      <c r="M434" s="17"/>
      <c r="N434" s="18"/>
      <c r="O434" s="19"/>
      <c r="P434" s="8"/>
      <c r="Q434" s="7"/>
      <c r="R434" s="7"/>
      <c r="S434" s="17"/>
    </row>
    <row r="435" ht="13.5" customHeight="1">
      <c r="A435" s="8" t="s">
        <v>2211</v>
      </c>
      <c r="B435" s="8" t="s">
        <v>132</v>
      </c>
      <c r="C435" s="8" t="s">
        <v>270</v>
      </c>
      <c r="D435" s="8" t="s">
        <v>332</v>
      </c>
      <c r="E435" s="9" t="s">
        <v>1801</v>
      </c>
      <c r="F435" s="8" t="s">
        <v>134</v>
      </c>
      <c r="G435" s="8" t="s">
        <v>1444</v>
      </c>
      <c r="H435" s="11" t="s">
        <v>670</v>
      </c>
      <c r="I435" s="11" t="s">
        <v>27</v>
      </c>
      <c r="J435" s="11" t="s">
        <v>635</v>
      </c>
      <c r="K435" s="8" t="s">
        <v>29</v>
      </c>
      <c r="L435" s="17"/>
      <c r="M435" s="17"/>
      <c r="N435" s="18"/>
      <c r="O435" s="19"/>
      <c r="P435" s="8"/>
      <c r="Q435" s="7"/>
      <c r="R435" s="7"/>
      <c r="S435" s="17"/>
    </row>
    <row r="436" ht="13.5" customHeight="1">
      <c r="A436" s="8" t="s">
        <v>2212</v>
      </c>
      <c r="B436" s="8" t="s">
        <v>34</v>
      </c>
      <c r="C436" s="8" t="s">
        <v>627</v>
      </c>
      <c r="D436" s="8" t="s">
        <v>154</v>
      </c>
      <c r="E436" s="9" t="s">
        <v>2213</v>
      </c>
      <c r="F436" s="8" t="s">
        <v>267</v>
      </c>
      <c r="G436" s="8" t="s">
        <v>1444</v>
      </c>
      <c r="H436" s="11" t="s">
        <v>670</v>
      </c>
      <c r="I436" s="11" t="s">
        <v>27</v>
      </c>
      <c r="J436" s="11" t="s">
        <v>635</v>
      </c>
      <c r="K436" s="8" t="s">
        <v>29</v>
      </c>
      <c r="L436" s="17"/>
      <c r="M436" s="17"/>
      <c r="N436" s="18"/>
      <c r="O436" s="19"/>
      <c r="P436" s="8"/>
      <c r="Q436" s="7"/>
      <c r="R436" s="7"/>
      <c r="S436" s="17"/>
    </row>
    <row r="437" ht="13.5" customHeight="1">
      <c r="A437" s="8" t="s">
        <v>2214</v>
      </c>
      <c r="B437" s="8" t="s">
        <v>253</v>
      </c>
      <c r="C437" s="8" t="s">
        <v>254</v>
      </c>
      <c r="D437" s="8" t="s">
        <v>255</v>
      </c>
      <c r="E437" s="9" t="s">
        <v>1804</v>
      </c>
      <c r="F437" s="8" t="s">
        <v>281</v>
      </c>
      <c r="G437" s="8" t="s">
        <v>1444</v>
      </c>
      <c r="H437" s="11" t="s">
        <v>670</v>
      </c>
      <c r="I437" s="11" t="s">
        <v>27</v>
      </c>
      <c r="J437" s="11" t="s">
        <v>635</v>
      </c>
      <c r="K437" s="8" t="s">
        <v>29</v>
      </c>
      <c r="L437" s="17"/>
      <c r="M437" s="17"/>
      <c r="N437" s="18"/>
      <c r="O437" s="19"/>
      <c r="P437" s="8"/>
      <c r="Q437" s="7"/>
      <c r="R437" s="7"/>
      <c r="S437" s="17"/>
    </row>
    <row r="438" ht="13.5" customHeight="1">
      <c r="A438" s="8" t="s">
        <v>33</v>
      </c>
      <c r="B438" s="8" t="s">
        <v>67</v>
      </c>
      <c r="C438" s="8" t="s">
        <v>270</v>
      </c>
      <c r="D438" s="8" t="s">
        <v>358</v>
      </c>
      <c r="E438" s="9" t="s">
        <v>552</v>
      </c>
      <c r="F438" s="8" t="s">
        <v>398</v>
      </c>
      <c r="G438" s="8" t="s">
        <v>2215</v>
      </c>
      <c r="H438" s="11" t="s">
        <v>259</v>
      </c>
      <c r="I438" s="11" t="s">
        <v>27</v>
      </c>
      <c r="J438" s="11" t="s">
        <v>635</v>
      </c>
      <c r="K438" s="8" t="s">
        <v>29</v>
      </c>
      <c r="L438" s="17"/>
      <c r="M438" s="17"/>
      <c r="N438" s="18"/>
      <c r="O438" s="19"/>
      <c r="P438" s="8" t="s">
        <v>641</v>
      </c>
      <c r="Q438" s="7"/>
      <c r="R438" s="7"/>
      <c r="S438" s="17"/>
    </row>
    <row r="439" ht="13.5" customHeight="1">
      <c r="A439" s="8" t="s">
        <v>33</v>
      </c>
      <c r="B439" s="8" t="s">
        <v>132</v>
      </c>
      <c r="C439" s="8" t="s">
        <v>473</v>
      </c>
      <c r="D439" s="8" t="s">
        <v>332</v>
      </c>
      <c r="E439" s="9" t="s">
        <v>642</v>
      </c>
      <c r="F439" s="8" t="s">
        <v>134</v>
      </c>
      <c r="G439" s="8" t="s">
        <v>2215</v>
      </c>
      <c r="H439" s="11" t="s">
        <v>259</v>
      </c>
      <c r="I439" s="11" t="s">
        <v>27</v>
      </c>
      <c r="J439" s="11" t="s">
        <v>635</v>
      </c>
      <c r="K439" s="8" t="s">
        <v>29</v>
      </c>
      <c r="L439" s="17"/>
      <c r="M439" s="17"/>
      <c r="N439" s="18"/>
      <c r="O439" s="19"/>
      <c r="P439" s="8" t="s">
        <v>641</v>
      </c>
      <c r="Q439" s="7"/>
      <c r="R439" s="7"/>
      <c r="S439" s="17"/>
    </row>
    <row r="440" ht="13.5" customHeight="1">
      <c r="A440" s="8" t="s">
        <v>33</v>
      </c>
      <c r="B440" s="8" t="s">
        <v>34</v>
      </c>
      <c r="C440" s="8" t="s">
        <v>627</v>
      </c>
      <c r="D440" s="8" t="s">
        <v>154</v>
      </c>
      <c r="E440" s="9" t="s">
        <v>643</v>
      </c>
      <c r="F440" s="8" t="s">
        <v>267</v>
      </c>
      <c r="G440" s="8" t="s">
        <v>2215</v>
      </c>
      <c r="H440" s="11" t="s">
        <v>259</v>
      </c>
      <c r="I440" s="11" t="s">
        <v>27</v>
      </c>
      <c r="J440" s="11" t="s">
        <v>635</v>
      </c>
      <c r="K440" s="8" t="s">
        <v>29</v>
      </c>
      <c r="L440" s="17"/>
      <c r="M440" s="17"/>
      <c r="N440" s="18"/>
      <c r="O440" s="19"/>
      <c r="P440" s="8" t="s">
        <v>641</v>
      </c>
      <c r="Q440" s="7"/>
      <c r="R440" s="7"/>
      <c r="S440" s="17"/>
    </row>
    <row r="441" ht="13.5" customHeight="1">
      <c r="A441" s="8" t="s">
        <v>33</v>
      </c>
      <c r="B441" s="8" t="s">
        <v>253</v>
      </c>
      <c r="C441" s="8" t="s">
        <v>254</v>
      </c>
      <c r="D441" s="8" t="s">
        <v>255</v>
      </c>
      <c r="E441" s="9" t="s">
        <v>644</v>
      </c>
      <c r="F441" s="8" t="s">
        <v>281</v>
      </c>
      <c r="G441" s="8" t="s">
        <v>2215</v>
      </c>
      <c r="H441" s="11" t="s">
        <v>259</v>
      </c>
      <c r="I441" s="11" t="s">
        <v>27</v>
      </c>
      <c r="J441" s="11" t="s">
        <v>635</v>
      </c>
      <c r="K441" s="8" t="s">
        <v>29</v>
      </c>
      <c r="L441" s="17"/>
      <c r="M441" s="17"/>
      <c r="N441" s="18"/>
      <c r="O441" s="19"/>
      <c r="P441" s="8" t="s">
        <v>641</v>
      </c>
      <c r="Q441" s="7"/>
      <c r="R441" s="7"/>
      <c r="S441" s="17"/>
    </row>
    <row r="442" ht="13.5" customHeight="1">
      <c r="A442" s="8" t="s">
        <v>33</v>
      </c>
      <c r="B442" s="8" t="s">
        <v>67</v>
      </c>
      <c r="C442" s="8" t="s">
        <v>270</v>
      </c>
      <c r="D442" s="8" t="s">
        <v>308</v>
      </c>
      <c r="E442" s="9" t="s">
        <v>645</v>
      </c>
      <c r="F442" s="8" t="s">
        <v>398</v>
      </c>
      <c r="G442" s="8" t="s">
        <v>646</v>
      </c>
      <c r="H442" s="11" t="s">
        <v>259</v>
      </c>
      <c r="I442" s="11" t="s">
        <v>27</v>
      </c>
      <c r="J442" s="11" t="s">
        <v>635</v>
      </c>
      <c r="K442" s="8" t="s">
        <v>29</v>
      </c>
      <c r="L442" s="17"/>
      <c r="M442" s="17"/>
      <c r="N442" s="18"/>
      <c r="O442" s="19"/>
      <c r="P442" s="8"/>
      <c r="Q442" s="7"/>
      <c r="R442" s="7"/>
      <c r="S442" s="17"/>
    </row>
    <row r="443" ht="13.5" customHeight="1">
      <c r="A443" s="8" t="s">
        <v>33</v>
      </c>
      <c r="B443" s="8" t="s">
        <v>132</v>
      </c>
      <c r="C443" s="8" t="s">
        <v>270</v>
      </c>
      <c r="D443" s="8" t="s">
        <v>332</v>
      </c>
      <c r="E443" s="9" t="s">
        <v>647</v>
      </c>
      <c r="F443" s="8" t="s">
        <v>134</v>
      </c>
      <c r="G443" s="8" t="s">
        <v>646</v>
      </c>
      <c r="H443" s="11" t="s">
        <v>259</v>
      </c>
      <c r="I443" s="11" t="s">
        <v>27</v>
      </c>
      <c r="J443" s="11" t="s">
        <v>635</v>
      </c>
      <c r="K443" s="8" t="s">
        <v>29</v>
      </c>
      <c r="L443" s="17"/>
      <c r="M443" s="17"/>
      <c r="N443" s="18"/>
      <c r="O443" s="19"/>
      <c r="P443" s="8"/>
      <c r="Q443" s="7"/>
      <c r="R443" s="7"/>
      <c r="S443" s="17"/>
    </row>
    <row r="444" ht="13.5" customHeight="1">
      <c r="A444" s="8" t="s">
        <v>648</v>
      </c>
      <c r="B444" s="8" t="s">
        <v>34</v>
      </c>
      <c r="C444" s="8" t="s">
        <v>627</v>
      </c>
      <c r="D444" s="8" t="s">
        <v>154</v>
      </c>
      <c r="E444" s="9" t="s">
        <v>649</v>
      </c>
      <c r="F444" s="8" t="s">
        <v>267</v>
      </c>
      <c r="G444" s="8" t="s">
        <v>646</v>
      </c>
      <c r="H444" s="11" t="s">
        <v>259</v>
      </c>
      <c r="I444" s="11" t="s">
        <v>27</v>
      </c>
      <c r="J444" s="11" t="s">
        <v>635</v>
      </c>
      <c r="K444" s="8" t="s">
        <v>29</v>
      </c>
      <c r="L444" s="17"/>
      <c r="M444" s="17"/>
      <c r="N444" s="18"/>
      <c r="O444" s="19"/>
      <c r="P444" s="8"/>
      <c r="Q444" s="7"/>
      <c r="R444" s="7"/>
      <c r="S444" s="17"/>
    </row>
    <row r="445" ht="13.5" customHeight="1">
      <c r="A445" s="8" t="s">
        <v>650</v>
      </c>
      <c r="B445" s="8" t="s">
        <v>253</v>
      </c>
      <c r="C445" s="8" t="s">
        <v>254</v>
      </c>
      <c r="D445" s="8" t="s">
        <v>255</v>
      </c>
      <c r="E445" s="9" t="s">
        <v>651</v>
      </c>
      <c r="F445" s="8" t="s">
        <v>281</v>
      </c>
      <c r="G445" s="8" t="s">
        <v>646</v>
      </c>
      <c r="H445" s="11" t="s">
        <v>259</v>
      </c>
      <c r="I445" s="11" t="s">
        <v>27</v>
      </c>
      <c r="J445" s="11" t="s">
        <v>635</v>
      </c>
      <c r="K445" s="8" t="s">
        <v>29</v>
      </c>
      <c r="L445" s="17"/>
      <c r="M445" s="17"/>
      <c r="N445" s="18"/>
      <c r="O445" s="19"/>
      <c r="P445" s="8"/>
      <c r="Q445" s="7"/>
      <c r="R445" s="7"/>
      <c r="S445" s="17"/>
    </row>
    <row r="446" ht="13.5" customHeight="1">
      <c r="A446" s="8" t="s">
        <v>33</v>
      </c>
      <c r="B446" s="8" t="s">
        <v>290</v>
      </c>
      <c r="C446" s="8" t="s">
        <v>291</v>
      </c>
      <c r="D446" s="8" t="s">
        <v>292</v>
      </c>
      <c r="E446" s="23" t="s">
        <v>2216</v>
      </c>
      <c r="F446" s="8" t="s">
        <v>293</v>
      </c>
      <c r="G446" s="8" t="s">
        <v>84</v>
      </c>
      <c r="H446" s="8" t="s">
        <v>259</v>
      </c>
      <c r="I446" s="8" t="s">
        <v>260</v>
      </c>
      <c r="J446" s="8" t="s">
        <v>294</v>
      </c>
      <c r="K446" s="8" t="s">
        <v>55</v>
      </c>
      <c r="L446" s="17"/>
      <c r="M446" s="17"/>
      <c r="N446" s="18"/>
      <c r="O446" s="19"/>
      <c r="P446" s="8"/>
      <c r="Q446" s="7"/>
      <c r="R446" s="7"/>
      <c r="S446" s="17"/>
    </row>
    <row r="447" ht="13.5" customHeight="1">
      <c r="A447" s="8" t="s">
        <v>33</v>
      </c>
      <c r="B447" s="8" t="s">
        <v>290</v>
      </c>
      <c r="C447" s="8" t="s">
        <v>291</v>
      </c>
      <c r="D447" s="8" t="s">
        <v>292</v>
      </c>
      <c r="E447" s="9" t="s">
        <v>661</v>
      </c>
      <c r="F447" s="8" t="s">
        <v>293</v>
      </c>
      <c r="G447" s="8" t="s">
        <v>662</v>
      </c>
      <c r="H447" s="8" t="s">
        <v>259</v>
      </c>
      <c r="I447" s="8" t="s">
        <v>27</v>
      </c>
      <c r="J447" s="8" t="s">
        <v>635</v>
      </c>
      <c r="K447" s="8" t="s">
        <v>29</v>
      </c>
      <c r="L447" s="17"/>
      <c r="M447" s="17"/>
      <c r="N447" s="18"/>
      <c r="O447" s="19"/>
      <c r="P447" s="8"/>
      <c r="Q447" s="7"/>
      <c r="R447" s="7"/>
      <c r="S447" s="17"/>
    </row>
    <row r="448" ht="13.5" customHeight="1">
      <c r="A448" s="8" t="s">
        <v>33</v>
      </c>
      <c r="B448" s="8" t="s">
        <v>79</v>
      </c>
      <c r="C448" s="8" t="s">
        <v>80</v>
      </c>
      <c r="D448" s="8" t="s">
        <v>109</v>
      </c>
      <c r="E448" s="9" t="s">
        <v>33</v>
      </c>
      <c r="F448" s="8" t="s">
        <v>83</v>
      </c>
      <c r="G448" s="8" t="s">
        <v>84</v>
      </c>
      <c r="H448" s="11" t="s">
        <v>259</v>
      </c>
      <c r="I448" s="11" t="s">
        <v>27</v>
      </c>
      <c r="J448" s="11" t="s">
        <v>28</v>
      </c>
      <c r="K448" s="8" t="s">
        <v>29</v>
      </c>
      <c r="L448" s="17"/>
      <c r="M448" s="17"/>
      <c r="N448" s="18"/>
      <c r="O448" s="19"/>
      <c r="P448" s="8"/>
      <c r="Q448" s="7"/>
      <c r="R448" s="7"/>
      <c r="S448" s="17"/>
    </row>
    <row r="449" ht="13.5" customHeight="1">
      <c r="A449" s="8" t="s">
        <v>33</v>
      </c>
      <c r="B449" s="8" t="s">
        <v>79</v>
      </c>
      <c r="C449" s="8" t="s">
        <v>80</v>
      </c>
      <c r="D449" s="8" t="s">
        <v>109</v>
      </c>
      <c r="E449" s="9" t="s">
        <v>33</v>
      </c>
      <c r="F449" s="8" t="s">
        <v>83</v>
      </c>
      <c r="G449" s="8" t="s">
        <v>84</v>
      </c>
      <c r="H449" s="11" t="s">
        <v>259</v>
      </c>
      <c r="I449" s="11" t="s">
        <v>27</v>
      </c>
      <c r="J449" s="11" t="s">
        <v>28</v>
      </c>
      <c r="K449" s="8" t="s">
        <v>29</v>
      </c>
      <c r="L449" s="17"/>
      <c r="M449" s="17"/>
      <c r="N449" s="18"/>
      <c r="O449" s="19"/>
      <c r="P449" s="8"/>
      <c r="Q449" s="7"/>
      <c r="R449" s="7"/>
      <c r="S449" s="17"/>
    </row>
    <row r="450" ht="13.5" customHeight="1">
      <c r="A450" s="8" t="s">
        <v>33</v>
      </c>
      <c r="B450" s="8" t="s">
        <v>79</v>
      </c>
      <c r="C450" s="8" t="s">
        <v>80</v>
      </c>
      <c r="D450" s="8" t="s">
        <v>109</v>
      </c>
      <c r="E450" s="9" t="s">
        <v>33</v>
      </c>
      <c r="F450" s="8" t="s">
        <v>663</v>
      </c>
      <c r="G450" s="8" t="s">
        <v>84</v>
      </c>
      <c r="H450" s="11" t="s">
        <v>259</v>
      </c>
      <c r="I450" s="11" t="s">
        <v>260</v>
      </c>
      <c r="J450" s="11" t="s">
        <v>490</v>
      </c>
      <c r="K450" s="8" t="s">
        <v>29</v>
      </c>
      <c r="L450" s="17"/>
      <c r="M450" s="17"/>
      <c r="N450" s="18"/>
      <c r="O450" s="19"/>
      <c r="P450" s="8"/>
      <c r="Q450" s="7"/>
      <c r="R450" s="7"/>
      <c r="S450" s="17"/>
    </row>
    <row r="451" ht="13.5" customHeight="1">
      <c r="A451" s="8" t="s">
        <v>33</v>
      </c>
      <c r="B451" s="8" t="s">
        <v>79</v>
      </c>
      <c r="C451" s="8" t="s">
        <v>21</v>
      </c>
      <c r="D451" s="8" t="s">
        <v>664</v>
      </c>
      <c r="E451" s="9" t="s">
        <v>33</v>
      </c>
      <c r="F451" s="8" t="s">
        <v>665</v>
      </c>
      <c r="G451" s="8" t="s">
        <v>84</v>
      </c>
      <c r="H451" s="11" t="s">
        <v>666</v>
      </c>
      <c r="I451" s="11" t="s">
        <v>260</v>
      </c>
      <c r="J451" s="11" t="s">
        <v>667</v>
      </c>
      <c r="K451" s="8" t="s">
        <v>29</v>
      </c>
      <c r="L451" s="17"/>
      <c r="M451" s="17"/>
      <c r="N451" s="18"/>
      <c r="O451" s="19"/>
      <c r="P451" s="8"/>
      <c r="Q451" s="7"/>
      <c r="R451" s="7"/>
      <c r="S451" s="17"/>
    </row>
    <row r="452" ht="13.5" customHeight="1">
      <c r="A452" s="8" t="s">
        <v>33</v>
      </c>
      <c r="B452" s="8" t="s">
        <v>79</v>
      </c>
      <c r="C452" s="8" t="s">
        <v>21</v>
      </c>
      <c r="D452" s="8" t="s">
        <v>668</v>
      </c>
      <c r="E452" s="9" t="s">
        <v>33</v>
      </c>
      <c r="F452" s="8" t="s">
        <v>669</v>
      </c>
      <c r="G452" s="8" t="s">
        <v>84</v>
      </c>
      <c r="H452" s="11" t="s">
        <v>670</v>
      </c>
      <c r="I452" s="11" t="s">
        <v>260</v>
      </c>
      <c r="J452" s="11" t="s">
        <v>667</v>
      </c>
      <c r="K452" s="8" t="s">
        <v>29</v>
      </c>
      <c r="L452" s="17"/>
      <c r="M452" s="17"/>
      <c r="N452" s="18"/>
      <c r="O452" s="19"/>
      <c r="P452" s="8"/>
      <c r="Q452" s="7"/>
      <c r="R452" s="7"/>
      <c r="S452" s="17"/>
    </row>
    <row r="453" ht="13.5" customHeight="1">
      <c r="A453" s="8"/>
      <c r="B453" s="8"/>
      <c r="C453" s="8"/>
      <c r="D453" s="8"/>
      <c r="E453" s="9"/>
      <c r="F453" s="8"/>
      <c r="G453" s="8"/>
      <c r="H453" s="11"/>
      <c r="I453" s="11"/>
      <c r="J453" s="11"/>
      <c r="K453" s="8"/>
      <c r="L453" s="17"/>
      <c r="M453" s="17"/>
      <c r="N453" s="18"/>
      <c r="O453" s="19"/>
      <c r="P453" s="8"/>
      <c r="Q453" s="7"/>
      <c r="R453" s="7"/>
      <c r="S453" s="17"/>
    </row>
    <row r="454" ht="13.5" customHeight="1">
      <c r="A454" s="8" t="s">
        <v>33</v>
      </c>
      <c r="B454" s="8" t="s">
        <v>167</v>
      </c>
      <c r="C454" s="8" t="s">
        <v>296</v>
      </c>
      <c r="D454" s="8" t="s">
        <v>297</v>
      </c>
      <c r="E454" s="9" t="s">
        <v>2217</v>
      </c>
      <c r="F454" s="8" t="s">
        <v>2218</v>
      </c>
      <c r="G454" s="8" t="s">
        <v>984</v>
      </c>
      <c r="H454" s="11" t="s">
        <v>103</v>
      </c>
      <c r="I454" s="11" t="s">
        <v>91</v>
      </c>
      <c r="J454" s="11" t="s">
        <v>130</v>
      </c>
      <c r="K454" s="8"/>
      <c r="L454" s="17"/>
      <c r="M454" s="17"/>
      <c r="N454" s="18"/>
      <c r="O454" s="19"/>
      <c r="P454" s="8"/>
      <c r="Q454" s="7"/>
      <c r="R454" s="7"/>
      <c r="S454" s="17"/>
    </row>
    <row r="455" ht="13.5" customHeight="1">
      <c r="A455" s="8" t="s">
        <v>33</v>
      </c>
      <c r="B455" s="8" t="s">
        <v>132</v>
      </c>
      <c r="C455" s="8" t="s">
        <v>296</v>
      </c>
      <c r="D455" s="8" t="s">
        <v>302</v>
      </c>
      <c r="E455" s="9" t="s">
        <v>2219</v>
      </c>
      <c r="F455" s="8" t="s">
        <v>2220</v>
      </c>
      <c r="G455" s="8" t="s">
        <v>984</v>
      </c>
      <c r="H455" s="11" t="s">
        <v>103</v>
      </c>
      <c r="I455" s="11" t="s">
        <v>91</v>
      </c>
      <c r="J455" s="11" t="s">
        <v>130</v>
      </c>
      <c r="K455" s="8"/>
      <c r="L455" s="17"/>
      <c r="M455" s="17"/>
      <c r="N455" s="18"/>
      <c r="O455" s="19"/>
      <c r="P455" s="8"/>
      <c r="Q455" s="7"/>
      <c r="R455" s="7"/>
      <c r="S455" s="17"/>
    </row>
    <row r="456" ht="13.5" customHeight="1">
      <c r="A456" s="8" t="s">
        <v>33</v>
      </c>
      <c r="B456" s="8" t="s">
        <v>167</v>
      </c>
      <c r="C456" s="8" t="s">
        <v>296</v>
      </c>
      <c r="D456" s="8" t="s">
        <v>297</v>
      </c>
      <c r="E456" s="9" t="s">
        <v>2221</v>
      </c>
      <c r="F456" s="8" t="s">
        <v>2218</v>
      </c>
      <c r="G456" s="8" t="s">
        <v>1099</v>
      </c>
      <c r="H456" s="11" t="s">
        <v>103</v>
      </c>
      <c r="I456" s="11" t="s">
        <v>91</v>
      </c>
      <c r="J456" s="11" t="s">
        <v>130</v>
      </c>
      <c r="K456" s="8"/>
      <c r="L456" s="17"/>
      <c r="M456" s="17"/>
      <c r="N456" s="18"/>
      <c r="O456" s="19"/>
      <c r="P456" s="8"/>
      <c r="Q456" s="7"/>
      <c r="R456" s="7"/>
      <c r="S456" s="17"/>
    </row>
    <row r="457" ht="13.5" customHeight="1">
      <c r="A457" s="8" t="s">
        <v>33</v>
      </c>
      <c r="B457" s="8" t="s">
        <v>132</v>
      </c>
      <c r="C457" s="8" t="s">
        <v>296</v>
      </c>
      <c r="D457" s="8" t="s">
        <v>323</v>
      </c>
      <c r="E457" s="9" t="s">
        <v>2222</v>
      </c>
      <c r="F457" s="8" t="s">
        <v>2223</v>
      </c>
      <c r="G457" s="8" t="s">
        <v>1099</v>
      </c>
      <c r="H457" s="11" t="s">
        <v>103</v>
      </c>
      <c r="I457" s="11" t="s">
        <v>91</v>
      </c>
      <c r="J457" s="11" t="s">
        <v>130</v>
      </c>
      <c r="K457" s="8"/>
      <c r="L457" s="17"/>
      <c r="M457" s="17"/>
      <c r="N457" s="18"/>
      <c r="O457" s="19"/>
      <c r="P457" s="8"/>
      <c r="Q457" s="7"/>
      <c r="R457" s="7"/>
      <c r="S457" s="17"/>
    </row>
    <row r="458" ht="13.5" customHeight="1">
      <c r="A458" s="8" t="s">
        <v>33</v>
      </c>
      <c r="B458" s="8" t="s">
        <v>167</v>
      </c>
      <c r="C458" s="8" t="s">
        <v>48</v>
      </c>
      <c r="D458" s="8" t="s">
        <v>2224</v>
      </c>
      <c r="E458" s="9" t="s">
        <v>2225</v>
      </c>
      <c r="F458" s="8" t="s">
        <v>2226</v>
      </c>
      <c r="G458" s="8" t="s">
        <v>2227</v>
      </c>
      <c r="H458" s="11" t="s">
        <v>103</v>
      </c>
      <c r="I458" s="11" t="s">
        <v>91</v>
      </c>
      <c r="J458" s="11" t="s">
        <v>130</v>
      </c>
      <c r="K458" s="8"/>
      <c r="L458" s="17"/>
      <c r="M458" s="17"/>
      <c r="N458" s="18"/>
      <c r="O458" s="19"/>
      <c r="P458" s="8"/>
      <c r="Q458" s="7"/>
      <c r="R458" s="7"/>
      <c r="S458" s="17"/>
    </row>
    <row r="459" ht="13.5" customHeight="1">
      <c r="A459" s="8" t="s">
        <v>33</v>
      </c>
      <c r="B459" s="8" t="s">
        <v>132</v>
      </c>
      <c r="C459" s="8" t="s">
        <v>2228</v>
      </c>
      <c r="D459" s="8" t="s">
        <v>2229</v>
      </c>
      <c r="E459" s="9" t="s">
        <v>288</v>
      </c>
      <c r="F459" s="8" t="s">
        <v>2230</v>
      </c>
      <c r="G459" s="8" t="s">
        <v>2227</v>
      </c>
      <c r="H459" s="11" t="s">
        <v>103</v>
      </c>
      <c r="I459" s="11" t="s">
        <v>91</v>
      </c>
      <c r="J459" s="11" t="s">
        <v>130</v>
      </c>
      <c r="K459" s="8"/>
      <c r="L459" s="17"/>
      <c r="M459" s="17"/>
      <c r="N459" s="18"/>
      <c r="O459" s="19"/>
      <c r="P459" s="8"/>
      <c r="Q459" s="7"/>
      <c r="R459" s="7"/>
      <c r="S459" s="17"/>
    </row>
    <row r="460" ht="13.5" customHeight="1">
      <c r="A460" s="8" t="s">
        <v>33</v>
      </c>
      <c r="B460" s="8" t="s">
        <v>167</v>
      </c>
      <c r="C460" s="8" t="s">
        <v>296</v>
      </c>
      <c r="D460" s="8" t="s">
        <v>297</v>
      </c>
      <c r="E460" s="9" t="s">
        <v>2231</v>
      </c>
      <c r="F460" s="8" t="s">
        <v>2218</v>
      </c>
      <c r="G460" s="8" t="s">
        <v>973</v>
      </c>
      <c r="H460" s="11" t="s">
        <v>26</v>
      </c>
      <c r="I460" s="11" t="s">
        <v>91</v>
      </c>
      <c r="J460" s="11" t="s">
        <v>130</v>
      </c>
      <c r="K460" s="8"/>
      <c r="L460" s="17"/>
      <c r="M460" s="17"/>
      <c r="N460" s="18"/>
      <c r="O460" s="19"/>
      <c r="P460" s="8"/>
      <c r="Q460" s="7"/>
      <c r="R460" s="7"/>
      <c r="S460" s="17"/>
    </row>
    <row r="461" ht="13.5" customHeight="1">
      <c r="A461" s="8" t="s">
        <v>33</v>
      </c>
      <c r="B461" s="8" t="s">
        <v>132</v>
      </c>
      <c r="C461" s="8" t="s">
        <v>2232</v>
      </c>
      <c r="D461" s="8" t="s">
        <v>2233</v>
      </c>
      <c r="E461" s="9" t="s">
        <v>288</v>
      </c>
      <c r="F461" s="8" t="s">
        <v>2234</v>
      </c>
      <c r="G461" s="8" t="s">
        <v>973</v>
      </c>
      <c r="H461" s="11" t="s">
        <v>26</v>
      </c>
      <c r="I461" s="11" t="s">
        <v>91</v>
      </c>
      <c r="J461" s="11" t="s">
        <v>130</v>
      </c>
      <c r="K461" s="8"/>
      <c r="L461" s="17"/>
      <c r="M461" s="17"/>
      <c r="N461" s="18"/>
      <c r="O461" s="19"/>
      <c r="P461" s="8"/>
      <c r="Q461" s="7"/>
      <c r="R461" s="7"/>
      <c r="S461" s="17"/>
    </row>
    <row r="462" ht="13.5" customHeight="1">
      <c r="A462" s="8" t="s">
        <v>33</v>
      </c>
      <c r="B462" s="8" t="s">
        <v>167</v>
      </c>
      <c r="C462" s="8" t="s">
        <v>48</v>
      </c>
      <c r="D462" s="8" t="s">
        <v>2235</v>
      </c>
      <c r="E462" s="9" t="s">
        <v>2236</v>
      </c>
      <c r="F462" s="8" t="s">
        <v>2237</v>
      </c>
      <c r="G462" s="8" t="s">
        <v>2238</v>
      </c>
      <c r="H462" s="11" t="s">
        <v>26</v>
      </c>
      <c r="I462" s="11" t="s">
        <v>91</v>
      </c>
      <c r="J462" s="11" t="s">
        <v>130</v>
      </c>
      <c r="K462" s="8"/>
      <c r="L462" s="17"/>
      <c r="M462" s="17"/>
      <c r="N462" s="18"/>
      <c r="O462" s="19"/>
      <c r="P462" s="8"/>
      <c r="Q462" s="7"/>
      <c r="R462" s="7"/>
      <c r="S462" s="17"/>
    </row>
    <row r="463" ht="13.5" customHeight="1">
      <c r="A463" s="8" t="s">
        <v>33</v>
      </c>
      <c r="B463" s="8" t="s">
        <v>132</v>
      </c>
      <c r="C463" s="8" t="s">
        <v>48</v>
      </c>
      <c r="D463" s="8" t="s">
        <v>2239</v>
      </c>
      <c r="E463" s="9" t="s">
        <v>2240</v>
      </c>
      <c r="F463" s="8" t="s">
        <v>2241</v>
      </c>
      <c r="G463" s="8" t="s">
        <v>2238</v>
      </c>
      <c r="H463" s="11" t="s">
        <v>26</v>
      </c>
      <c r="I463" s="11" t="s">
        <v>91</v>
      </c>
      <c r="J463" s="11" t="s">
        <v>130</v>
      </c>
      <c r="K463" s="8"/>
      <c r="L463" s="17"/>
      <c r="M463" s="17"/>
      <c r="N463" s="18"/>
      <c r="O463" s="19"/>
      <c r="P463" s="8"/>
      <c r="Q463" s="7"/>
      <c r="R463" s="7"/>
      <c r="S463" s="17"/>
    </row>
    <row r="464" ht="13.5" customHeight="1">
      <c r="A464" s="8" t="s">
        <v>33</v>
      </c>
      <c r="B464" s="8" t="s">
        <v>167</v>
      </c>
      <c r="C464" s="8" t="s">
        <v>48</v>
      </c>
      <c r="D464" s="8" t="s">
        <v>2235</v>
      </c>
      <c r="E464" s="9" t="s">
        <v>2242</v>
      </c>
      <c r="F464" s="8" t="s">
        <v>2237</v>
      </c>
      <c r="G464" s="8" t="s">
        <v>1201</v>
      </c>
      <c r="H464" s="11" t="s">
        <v>26</v>
      </c>
      <c r="I464" s="11" t="s">
        <v>91</v>
      </c>
      <c r="J464" s="11" t="s">
        <v>130</v>
      </c>
      <c r="K464" s="8"/>
      <c r="L464" s="17"/>
      <c r="M464" s="17"/>
      <c r="N464" s="18"/>
      <c r="O464" s="19"/>
      <c r="P464" s="8"/>
      <c r="Q464" s="7"/>
      <c r="R464" s="7"/>
      <c r="S464" s="17"/>
    </row>
    <row r="465" ht="13.5" customHeight="1">
      <c r="A465" s="8" t="s">
        <v>33</v>
      </c>
      <c r="B465" s="8" t="s">
        <v>132</v>
      </c>
      <c r="C465" s="8" t="s">
        <v>48</v>
      </c>
      <c r="D465" s="8" t="s">
        <v>2239</v>
      </c>
      <c r="E465" s="9" t="s">
        <v>2243</v>
      </c>
      <c r="F465" s="8" t="s">
        <v>2241</v>
      </c>
      <c r="G465" s="8" t="s">
        <v>1201</v>
      </c>
      <c r="H465" s="11" t="s">
        <v>26</v>
      </c>
      <c r="I465" s="11" t="s">
        <v>91</v>
      </c>
      <c r="J465" s="11" t="s">
        <v>130</v>
      </c>
      <c r="K465" s="8"/>
      <c r="L465" s="17"/>
      <c r="M465" s="17"/>
      <c r="N465" s="18"/>
      <c r="O465" s="19"/>
      <c r="P465" s="8"/>
      <c r="Q465" s="7"/>
      <c r="R465" s="7"/>
      <c r="S465" s="17"/>
    </row>
    <row r="466" ht="13.5" customHeight="1">
      <c r="A466" s="8" t="s">
        <v>33</v>
      </c>
      <c r="B466" s="8" t="s">
        <v>167</v>
      </c>
      <c r="C466" s="8" t="s">
        <v>48</v>
      </c>
      <c r="D466" s="8" t="s">
        <v>2235</v>
      </c>
      <c r="E466" s="9" t="s">
        <v>2244</v>
      </c>
      <c r="F466" s="8" t="s">
        <v>2237</v>
      </c>
      <c r="G466" s="8" t="s">
        <v>1208</v>
      </c>
      <c r="H466" s="11" t="s">
        <v>26</v>
      </c>
      <c r="I466" s="11" t="s">
        <v>91</v>
      </c>
      <c r="J466" s="11" t="s">
        <v>130</v>
      </c>
      <c r="K466" s="8"/>
      <c r="L466" s="17"/>
      <c r="M466" s="17"/>
      <c r="N466" s="18"/>
      <c r="O466" s="19"/>
      <c r="P466" s="8"/>
      <c r="Q466" s="7"/>
      <c r="R466" s="7"/>
      <c r="S466" s="17"/>
    </row>
    <row r="467" ht="13.5" customHeight="1">
      <c r="A467" s="8" t="s">
        <v>33</v>
      </c>
      <c r="B467" s="8" t="s">
        <v>132</v>
      </c>
      <c r="C467" s="8" t="s">
        <v>2245</v>
      </c>
      <c r="D467" s="8" t="s">
        <v>2246</v>
      </c>
      <c r="E467" s="9" t="s">
        <v>288</v>
      </c>
      <c r="F467" s="8" t="s">
        <v>2234</v>
      </c>
      <c r="G467" s="8" t="s">
        <v>1208</v>
      </c>
      <c r="H467" s="11" t="s">
        <v>26</v>
      </c>
      <c r="I467" s="11" t="s">
        <v>91</v>
      </c>
      <c r="J467" s="11" t="s">
        <v>130</v>
      </c>
      <c r="K467" s="8"/>
      <c r="L467" s="17"/>
      <c r="M467" s="17"/>
      <c r="N467" s="18"/>
      <c r="O467" s="19"/>
      <c r="P467" s="8"/>
      <c r="Q467" s="7"/>
      <c r="R467" s="7"/>
      <c r="S467" s="17"/>
    </row>
    <row r="468" ht="13.5" customHeight="1">
      <c r="A468" s="8" t="s">
        <v>33</v>
      </c>
      <c r="B468" s="8" t="s">
        <v>167</v>
      </c>
      <c r="C468" s="8" t="s">
        <v>48</v>
      </c>
      <c r="D468" s="8" t="s">
        <v>2235</v>
      </c>
      <c r="E468" s="9" t="s">
        <v>2247</v>
      </c>
      <c r="F468" s="8" t="s">
        <v>2237</v>
      </c>
      <c r="G468" s="8" t="s">
        <v>226</v>
      </c>
      <c r="H468" s="11" t="s">
        <v>207</v>
      </c>
      <c r="I468" s="11" t="s">
        <v>91</v>
      </c>
      <c r="J468" s="11" t="s">
        <v>130</v>
      </c>
      <c r="K468" s="8"/>
      <c r="L468" s="17"/>
      <c r="M468" s="17"/>
      <c r="N468" s="18"/>
      <c r="O468" s="19"/>
      <c r="P468" s="8"/>
      <c r="Q468" s="7"/>
      <c r="R468" s="7"/>
      <c r="S468" s="17"/>
    </row>
    <row r="469" ht="13.5" customHeight="1">
      <c r="A469" s="8" t="s">
        <v>33</v>
      </c>
      <c r="B469" s="8" t="s">
        <v>132</v>
      </c>
      <c r="C469" s="8" t="s">
        <v>48</v>
      </c>
      <c r="D469" s="8" t="s">
        <v>2248</v>
      </c>
      <c r="E469" s="9" t="s">
        <v>2249</v>
      </c>
      <c r="F469" s="8" t="s">
        <v>2250</v>
      </c>
      <c r="G469" s="8" t="s">
        <v>226</v>
      </c>
      <c r="H469" s="11" t="s">
        <v>207</v>
      </c>
      <c r="I469" s="11" t="s">
        <v>91</v>
      </c>
      <c r="J469" s="11" t="s">
        <v>130</v>
      </c>
      <c r="K469" s="8"/>
      <c r="L469" s="17"/>
      <c r="M469" s="17"/>
      <c r="N469" s="18"/>
      <c r="O469" s="19"/>
      <c r="P469" s="8"/>
      <c r="Q469" s="7"/>
      <c r="R469" s="7"/>
      <c r="S469" s="17"/>
    </row>
    <row r="470" ht="13.5" customHeight="1">
      <c r="A470" s="8" t="s">
        <v>33</v>
      </c>
      <c r="B470" s="8" t="s">
        <v>167</v>
      </c>
      <c r="C470" s="8" t="s">
        <v>48</v>
      </c>
      <c r="D470" s="8" t="s">
        <v>2251</v>
      </c>
      <c r="E470" s="9" t="s">
        <v>2252</v>
      </c>
      <c r="F470" s="8" t="s">
        <v>2253</v>
      </c>
      <c r="G470" s="8" t="s">
        <v>1174</v>
      </c>
      <c r="H470" s="11" t="s">
        <v>207</v>
      </c>
      <c r="I470" s="11" t="s">
        <v>91</v>
      </c>
      <c r="J470" s="11" t="s">
        <v>130</v>
      </c>
      <c r="K470" s="8"/>
      <c r="L470" s="17"/>
      <c r="M470" s="17"/>
      <c r="N470" s="18"/>
      <c r="O470" s="19"/>
      <c r="P470" s="8"/>
      <c r="Q470" s="7"/>
      <c r="R470" s="7"/>
      <c r="S470" s="17"/>
    </row>
    <row r="471" ht="13.5" customHeight="1">
      <c r="A471" s="8" t="s">
        <v>33</v>
      </c>
      <c r="B471" s="8" t="s">
        <v>132</v>
      </c>
      <c r="C471" s="8" t="s">
        <v>48</v>
      </c>
      <c r="D471" s="8" t="s">
        <v>2248</v>
      </c>
      <c r="E471" s="9" t="s">
        <v>2254</v>
      </c>
      <c r="F471" s="8" t="s">
        <v>2255</v>
      </c>
      <c r="G471" s="8" t="s">
        <v>1174</v>
      </c>
      <c r="H471" s="11" t="s">
        <v>207</v>
      </c>
      <c r="I471" s="11" t="s">
        <v>91</v>
      </c>
      <c r="J471" s="11" t="s">
        <v>130</v>
      </c>
      <c r="K471" s="8"/>
      <c r="L471" s="17"/>
      <c r="M471" s="17"/>
      <c r="N471" s="18"/>
      <c r="O471" s="19"/>
      <c r="P471" s="8"/>
      <c r="Q471" s="7"/>
      <c r="R471" s="7"/>
      <c r="S471" s="17"/>
    </row>
    <row r="472" ht="13.5" customHeight="1">
      <c r="A472" s="8" t="s">
        <v>33</v>
      </c>
      <c r="B472" s="8" t="s">
        <v>167</v>
      </c>
      <c r="C472" s="8" t="s">
        <v>48</v>
      </c>
      <c r="D472" s="8" t="s">
        <v>2224</v>
      </c>
      <c r="E472" s="9" t="s">
        <v>2256</v>
      </c>
      <c r="F472" s="8" t="s">
        <v>2226</v>
      </c>
      <c r="G472" s="8" t="s">
        <v>1188</v>
      </c>
      <c r="H472" s="11" t="s">
        <v>207</v>
      </c>
      <c r="I472" s="11" t="s">
        <v>91</v>
      </c>
      <c r="J472" s="11" t="s">
        <v>130</v>
      </c>
      <c r="K472" s="8"/>
      <c r="L472" s="17"/>
      <c r="M472" s="17"/>
      <c r="N472" s="18"/>
      <c r="O472" s="19"/>
      <c r="P472" s="8"/>
      <c r="Q472" s="7"/>
      <c r="R472" s="7"/>
      <c r="S472" s="17"/>
    </row>
    <row r="473" ht="13.5" customHeight="1">
      <c r="A473" s="8" t="s">
        <v>33</v>
      </c>
      <c r="B473" s="8" t="s">
        <v>132</v>
      </c>
      <c r="C473" s="8" t="s">
        <v>2257</v>
      </c>
      <c r="D473" s="8" t="s">
        <v>2258</v>
      </c>
      <c r="E473" s="9" t="s">
        <v>288</v>
      </c>
      <c r="F473" s="8" t="s">
        <v>2259</v>
      </c>
      <c r="G473" s="8" t="s">
        <v>1188</v>
      </c>
      <c r="H473" s="11" t="s">
        <v>207</v>
      </c>
      <c r="I473" s="11" t="s">
        <v>91</v>
      </c>
      <c r="J473" s="11" t="s">
        <v>130</v>
      </c>
      <c r="K473" s="8"/>
      <c r="L473" s="17"/>
      <c r="M473" s="17"/>
      <c r="N473" s="18"/>
      <c r="O473" s="19"/>
      <c r="P473" s="8"/>
      <c r="Q473" s="7"/>
      <c r="R473" s="7"/>
      <c r="S473" s="17"/>
    </row>
    <row r="474" ht="13.5" customHeight="1">
      <c r="A474" s="8" t="s">
        <v>33</v>
      </c>
      <c r="B474" s="8" t="s">
        <v>167</v>
      </c>
      <c r="C474" s="8" t="s">
        <v>48</v>
      </c>
      <c r="D474" s="8" t="s">
        <v>2224</v>
      </c>
      <c r="E474" s="9" t="s">
        <v>2260</v>
      </c>
      <c r="F474" s="8" t="s">
        <v>2226</v>
      </c>
      <c r="G474" s="8" t="s">
        <v>2261</v>
      </c>
      <c r="H474" s="11" t="s">
        <v>207</v>
      </c>
      <c r="I474" s="11" t="s">
        <v>91</v>
      </c>
      <c r="J474" s="11" t="s">
        <v>130</v>
      </c>
      <c r="K474" s="8"/>
      <c r="L474" s="17"/>
      <c r="M474" s="17"/>
      <c r="N474" s="18"/>
      <c r="O474" s="19"/>
      <c r="P474" s="8"/>
      <c r="Q474" s="7"/>
      <c r="R474" s="7"/>
      <c r="S474" s="17"/>
    </row>
    <row r="475" ht="13.5" customHeight="1">
      <c r="A475" s="8" t="s">
        <v>33</v>
      </c>
      <c r="B475" s="8" t="s">
        <v>132</v>
      </c>
      <c r="C475" s="8" t="s">
        <v>2232</v>
      </c>
      <c r="D475" s="8" t="s">
        <v>2262</v>
      </c>
      <c r="E475" s="9" t="s">
        <v>288</v>
      </c>
      <c r="F475" s="8" t="s">
        <v>2263</v>
      </c>
      <c r="G475" s="8" t="s">
        <v>2261</v>
      </c>
      <c r="H475" s="11" t="s">
        <v>207</v>
      </c>
      <c r="I475" s="11" t="s">
        <v>91</v>
      </c>
      <c r="J475" s="11" t="s">
        <v>130</v>
      </c>
      <c r="K475" s="8"/>
      <c r="L475" s="17"/>
      <c r="M475" s="17"/>
      <c r="N475" s="18"/>
      <c r="O475" s="19"/>
      <c r="P475" s="8"/>
      <c r="Q475" s="7"/>
      <c r="R475" s="7"/>
      <c r="S475" s="17"/>
    </row>
    <row r="476" ht="13.5" customHeight="1">
      <c r="A476" s="8" t="s">
        <v>33</v>
      </c>
      <c r="B476" s="8" t="s">
        <v>167</v>
      </c>
      <c r="C476" s="8" t="s">
        <v>296</v>
      </c>
      <c r="D476" s="8" t="s">
        <v>297</v>
      </c>
      <c r="E476" s="9" t="s">
        <v>2264</v>
      </c>
      <c r="F476" s="8" t="s">
        <v>2218</v>
      </c>
      <c r="G476" s="8" t="s">
        <v>2265</v>
      </c>
      <c r="H476" s="11" t="s">
        <v>143</v>
      </c>
      <c r="I476" s="11" t="s">
        <v>91</v>
      </c>
      <c r="J476" s="11" t="s">
        <v>130</v>
      </c>
      <c r="K476" s="8"/>
      <c r="L476" s="17"/>
      <c r="M476" s="17"/>
      <c r="N476" s="18"/>
      <c r="O476" s="19"/>
      <c r="P476" s="8"/>
      <c r="Q476" s="7"/>
      <c r="R476" s="7"/>
      <c r="S476" s="17"/>
    </row>
    <row r="477" ht="13.5" customHeight="1">
      <c r="A477" s="8" t="s">
        <v>33</v>
      </c>
      <c r="B477" s="8" t="s">
        <v>132</v>
      </c>
      <c r="C477" s="8" t="s">
        <v>296</v>
      </c>
      <c r="D477" s="8" t="s">
        <v>323</v>
      </c>
      <c r="E477" s="9" t="s">
        <v>2266</v>
      </c>
      <c r="F477" s="8" t="s">
        <v>2267</v>
      </c>
      <c r="G477" s="8" t="s">
        <v>2265</v>
      </c>
      <c r="H477" s="11" t="s">
        <v>143</v>
      </c>
      <c r="I477" s="11" t="s">
        <v>91</v>
      </c>
      <c r="J477" s="11" t="s">
        <v>130</v>
      </c>
      <c r="K477" s="8"/>
      <c r="L477" s="17"/>
      <c r="M477" s="17"/>
      <c r="N477" s="18"/>
      <c r="O477" s="19"/>
      <c r="P477" s="8"/>
      <c r="Q477" s="7"/>
      <c r="R477" s="7"/>
      <c r="S477" s="17"/>
    </row>
    <row r="478" ht="13.5" customHeight="1">
      <c r="A478" s="8" t="s">
        <v>33</v>
      </c>
      <c r="B478" s="8" t="s">
        <v>167</v>
      </c>
      <c r="C478" s="8" t="s">
        <v>48</v>
      </c>
      <c r="D478" s="8" t="s">
        <v>2235</v>
      </c>
      <c r="E478" s="9" t="s">
        <v>2268</v>
      </c>
      <c r="F478" s="8" t="s">
        <v>2237</v>
      </c>
      <c r="G478" s="8" t="s">
        <v>1154</v>
      </c>
      <c r="H478" s="11" t="s">
        <v>143</v>
      </c>
      <c r="I478" s="11" t="s">
        <v>91</v>
      </c>
      <c r="J478" s="11" t="s">
        <v>130</v>
      </c>
      <c r="K478" s="8"/>
      <c r="L478" s="17"/>
      <c r="M478" s="17"/>
      <c r="N478" s="18"/>
      <c r="O478" s="19"/>
      <c r="P478" s="8"/>
      <c r="Q478" s="7"/>
      <c r="R478" s="7"/>
      <c r="S478" s="17"/>
    </row>
    <row r="479" ht="13.5" customHeight="1">
      <c r="A479" s="8" t="s">
        <v>33</v>
      </c>
      <c r="B479" s="8" t="s">
        <v>132</v>
      </c>
      <c r="C479" s="8" t="s">
        <v>48</v>
      </c>
      <c r="D479" s="8" t="s">
        <v>2248</v>
      </c>
      <c r="E479" s="9" t="s">
        <v>2269</v>
      </c>
      <c r="F479" s="8" t="s">
        <v>2270</v>
      </c>
      <c r="G479" s="8" t="s">
        <v>1154</v>
      </c>
      <c r="H479" s="11" t="s">
        <v>143</v>
      </c>
      <c r="I479" s="11" t="s">
        <v>91</v>
      </c>
      <c r="J479" s="11" t="s">
        <v>130</v>
      </c>
      <c r="K479" s="8"/>
      <c r="L479" s="17"/>
      <c r="M479" s="17"/>
      <c r="N479" s="18"/>
      <c r="O479" s="19"/>
      <c r="P479" s="8"/>
      <c r="Q479" s="7"/>
      <c r="R479" s="7"/>
      <c r="S479" s="17"/>
    </row>
    <row r="480" ht="13.5" customHeight="1">
      <c r="A480" s="8" t="s">
        <v>33</v>
      </c>
      <c r="B480" s="8" t="s">
        <v>167</v>
      </c>
      <c r="C480" s="8" t="s">
        <v>197</v>
      </c>
      <c r="D480" s="8" t="s">
        <v>2271</v>
      </c>
      <c r="E480" s="9" t="s">
        <v>2272</v>
      </c>
      <c r="F480" s="8" t="s">
        <v>2273</v>
      </c>
      <c r="G480" s="8" t="s">
        <v>1147</v>
      </c>
      <c r="H480" s="11" t="s">
        <v>143</v>
      </c>
      <c r="I480" s="11" t="s">
        <v>91</v>
      </c>
      <c r="J480" s="11" t="s">
        <v>130</v>
      </c>
      <c r="K480" s="8"/>
      <c r="L480" s="17"/>
      <c r="M480" s="17"/>
      <c r="N480" s="18"/>
      <c r="O480" s="19"/>
      <c r="P480" s="8"/>
      <c r="Q480" s="7"/>
      <c r="R480" s="7"/>
      <c r="S480" s="17"/>
    </row>
    <row r="481" ht="13.5" customHeight="1">
      <c r="A481" s="8" t="s">
        <v>33</v>
      </c>
      <c r="B481" s="8" t="s">
        <v>132</v>
      </c>
      <c r="C481" s="8" t="s">
        <v>2274</v>
      </c>
      <c r="D481" s="9" t="s">
        <v>2275</v>
      </c>
      <c r="E481" s="9" t="s">
        <v>2276</v>
      </c>
      <c r="F481" s="8" t="s">
        <v>2277</v>
      </c>
      <c r="G481" s="8" t="s">
        <v>1147</v>
      </c>
      <c r="H481" s="11" t="s">
        <v>143</v>
      </c>
      <c r="I481" s="11" t="s">
        <v>91</v>
      </c>
      <c r="J481" s="11" t="s">
        <v>130</v>
      </c>
      <c r="K481" s="8"/>
      <c r="L481" s="17"/>
      <c r="M481" s="17"/>
      <c r="N481" s="18"/>
      <c r="O481" s="19"/>
      <c r="P481" s="8"/>
      <c r="Q481" s="7"/>
      <c r="R481" s="7"/>
      <c r="S481" s="17"/>
    </row>
    <row r="482" ht="13.5" customHeight="1">
      <c r="A482" s="8" t="s">
        <v>33</v>
      </c>
      <c r="B482" s="8" t="s">
        <v>167</v>
      </c>
      <c r="C482" s="8" t="s">
        <v>296</v>
      </c>
      <c r="D482" s="8" t="s">
        <v>297</v>
      </c>
      <c r="E482" s="9" t="s">
        <v>2278</v>
      </c>
      <c r="F482" s="8" t="s">
        <v>2218</v>
      </c>
      <c r="G482" s="8" t="s">
        <v>2279</v>
      </c>
      <c r="H482" s="11" t="s">
        <v>259</v>
      </c>
      <c r="I482" s="11" t="s">
        <v>91</v>
      </c>
      <c r="J482" s="11" t="s">
        <v>130</v>
      </c>
      <c r="K482" s="8"/>
      <c r="L482" s="17"/>
      <c r="M482" s="17"/>
      <c r="N482" s="18"/>
      <c r="O482" s="19"/>
      <c r="P482" s="8"/>
      <c r="Q482" s="7"/>
      <c r="R482" s="7"/>
      <c r="S482" s="17"/>
    </row>
    <row r="483" ht="13.5" customHeight="1">
      <c r="A483" s="8" t="s">
        <v>33</v>
      </c>
      <c r="B483" s="8" t="s">
        <v>132</v>
      </c>
      <c r="C483" s="8" t="s">
        <v>2280</v>
      </c>
      <c r="D483" s="8" t="s">
        <v>288</v>
      </c>
      <c r="E483" s="9" t="s">
        <v>288</v>
      </c>
      <c r="F483" s="8" t="s">
        <v>2263</v>
      </c>
      <c r="G483" s="8" t="s">
        <v>2279</v>
      </c>
      <c r="H483" s="11" t="s">
        <v>259</v>
      </c>
      <c r="I483" s="11" t="s">
        <v>91</v>
      </c>
      <c r="J483" s="11" t="s">
        <v>130</v>
      </c>
      <c r="K483" s="8"/>
      <c r="L483" s="17"/>
      <c r="M483" s="17"/>
      <c r="N483" s="18"/>
      <c r="O483" s="19"/>
      <c r="P483" s="8"/>
      <c r="Q483" s="7"/>
      <c r="R483" s="7"/>
      <c r="S483" s="17"/>
    </row>
    <row r="484" ht="13.5" customHeight="1">
      <c r="A484" s="8" t="s">
        <v>33</v>
      </c>
      <c r="B484" s="8" t="s">
        <v>167</v>
      </c>
      <c r="C484" s="8" t="s">
        <v>48</v>
      </c>
      <c r="D484" s="8" t="s">
        <v>2235</v>
      </c>
      <c r="E484" s="9" t="s">
        <v>2281</v>
      </c>
      <c r="F484" s="8" t="s">
        <v>2237</v>
      </c>
      <c r="G484" s="8" t="s">
        <v>1119</v>
      </c>
      <c r="H484" s="11" t="s">
        <v>259</v>
      </c>
      <c r="I484" s="11" t="s">
        <v>91</v>
      </c>
      <c r="J484" s="11" t="s">
        <v>130</v>
      </c>
      <c r="K484" s="8"/>
      <c r="L484" s="17"/>
      <c r="M484" s="17"/>
      <c r="N484" s="18"/>
      <c r="O484" s="19"/>
      <c r="P484" s="8"/>
      <c r="Q484" s="7"/>
      <c r="R484" s="7"/>
      <c r="S484" s="17"/>
    </row>
    <row r="485" ht="13.5" customHeight="1">
      <c r="A485" s="8" t="s">
        <v>33</v>
      </c>
      <c r="B485" s="8" t="s">
        <v>132</v>
      </c>
      <c r="C485" s="8" t="s">
        <v>48</v>
      </c>
      <c r="D485" s="8" t="s">
        <v>2239</v>
      </c>
      <c r="E485" s="9" t="s">
        <v>2282</v>
      </c>
      <c r="F485" s="8" t="s">
        <v>2283</v>
      </c>
      <c r="G485" s="8" t="s">
        <v>1119</v>
      </c>
      <c r="H485" s="11" t="s">
        <v>259</v>
      </c>
      <c r="I485" s="11" t="s">
        <v>91</v>
      </c>
      <c r="J485" s="11" t="s">
        <v>130</v>
      </c>
      <c r="K485" s="8"/>
      <c r="L485" s="17"/>
      <c r="M485" s="17"/>
      <c r="N485" s="18"/>
      <c r="O485" s="19"/>
      <c r="P485" s="8"/>
      <c r="Q485" s="7"/>
      <c r="R485" s="7"/>
      <c r="S485" s="17"/>
    </row>
    <row r="486" ht="13.5" customHeight="1">
      <c r="A486" s="8" t="s">
        <v>33</v>
      </c>
      <c r="B486" s="8" t="s">
        <v>167</v>
      </c>
      <c r="C486" s="8" t="s">
        <v>48</v>
      </c>
      <c r="D486" s="8" t="s">
        <v>2224</v>
      </c>
      <c r="E486" s="9" t="s">
        <v>2284</v>
      </c>
      <c r="F486" s="8" t="s">
        <v>2226</v>
      </c>
      <c r="G486" s="8" t="s">
        <v>1126</v>
      </c>
      <c r="H486" s="11" t="s">
        <v>259</v>
      </c>
      <c r="I486" s="11" t="s">
        <v>91</v>
      </c>
      <c r="J486" s="11" t="s">
        <v>130</v>
      </c>
      <c r="K486" s="8"/>
      <c r="L486" s="17"/>
      <c r="M486" s="17"/>
      <c r="N486" s="18"/>
      <c r="O486" s="19"/>
      <c r="P486" s="8"/>
      <c r="Q486" s="7"/>
      <c r="R486" s="7"/>
      <c r="S486" s="17"/>
    </row>
    <row r="487" ht="13.5" customHeight="1">
      <c r="A487" s="8" t="s">
        <v>33</v>
      </c>
      <c r="B487" s="8" t="s">
        <v>132</v>
      </c>
      <c r="C487" s="8" t="s">
        <v>48</v>
      </c>
      <c r="D487" s="8" t="s">
        <v>2248</v>
      </c>
      <c r="E487" s="9" t="s">
        <v>2285</v>
      </c>
      <c r="F487" s="8" t="s">
        <v>2255</v>
      </c>
      <c r="G487" s="8" t="s">
        <v>1126</v>
      </c>
      <c r="H487" s="11" t="s">
        <v>259</v>
      </c>
      <c r="I487" s="11" t="s">
        <v>91</v>
      </c>
      <c r="J487" s="11" t="s">
        <v>130</v>
      </c>
      <c r="K487" s="8"/>
      <c r="L487" s="17"/>
      <c r="M487" s="17"/>
      <c r="N487" s="18"/>
      <c r="O487" s="19"/>
      <c r="P487" s="8"/>
      <c r="Q487" s="7"/>
      <c r="R487" s="7"/>
      <c r="S487" s="17"/>
    </row>
    <row r="488" ht="13.5" customHeight="1">
      <c r="A488" s="8" t="s">
        <v>33</v>
      </c>
      <c r="B488" s="8" t="s">
        <v>167</v>
      </c>
      <c r="C488" s="8" t="s">
        <v>48</v>
      </c>
      <c r="D488" s="8" t="s">
        <v>2224</v>
      </c>
      <c r="E488" s="9" t="s">
        <v>2286</v>
      </c>
      <c r="F488" s="8" t="s">
        <v>2226</v>
      </c>
      <c r="G488" s="8" t="s">
        <v>1133</v>
      </c>
      <c r="H488" s="11" t="s">
        <v>259</v>
      </c>
      <c r="I488" s="11" t="s">
        <v>91</v>
      </c>
      <c r="J488" s="11" t="s">
        <v>130</v>
      </c>
      <c r="K488" s="8"/>
      <c r="L488" s="17"/>
      <c r="M488" s="17"/>
      <c r="N488" s="18"/>
      <c r="O488" s="19"/>
      <c r="P488" s="8"/>
      <c r="Q488" s="7"/>
      <c r="R488" s="7"/>
      <c r="S488" s="17"/>
    </row>
    <row r="489" ht="13.5" customHeight="1">
      <c r="A489" s="8" t="s">
        <v>33</v>
      </c>
      <c r="B489" s="8" t="s">
        <v>132</v>
      </c>
      <c r="C489" s="8" t="s">
        <v>2287</v>
      </c>
      <c r="D489" s="8" t="s">
        <v>2288</v>
      </c>
      <c r="E489" s="9" t="s">
        <v>2289</v>
      </c>
      <c r="F489" s="8" t="s">
        <v>2263</v>
      </c>
      <c r="G489" s="8" t="s">
        <v>1133</v>
      </c>
      <c r="H489" s="11" t="s">
        <v>259</v>
      </c>
      <c r="I489" s="11" t="s">
        <v>91</v>
      </c>
      <c r="J489" s="11" t="s">
        <v>130</v>
      </c>
      <c r="K489" s="8"/>
      <c r="L489" s="17"/>
      <c r="M489" s="17"/>
      <c r="N489" s="18"/>
      <c r="O489" s="19"/>
      <c r="P489" s="8"/>
      <c r="Q489" s="7"/>
      <c r="R489" s="7"/>
      <c r="S489" s="17"/>
    </row>
    <row r="490" ht="13.5" customHeight="1">
      <c r="A490" s="8" t="s">
        <v>33</v>
      </c>
      <c r="B490" s="8" t="s">
        <v>167</v>
      </c>
      <c r="C490" s="8" t="s">
        <v>296</v>
      </c>
      <c r="D490" s="8" t="s">
        <v>169</v>
      </c>
      <c r="E490" s="9" t="s">
        <v>2290</v>
      </c>
      <c r="F490" s="8" t="s">
        <v>168</v>
      </c>
      <c r="G490" s="8" t="s">
        <v>962</v>
      </c>
      <c r="H490" s="11" t="s">
        <v>259</v>
      </c>
      <c r="I490" s="11" t="s">
        <v>91</v>
      </c>
      <c r="J490" s="11" t="s">
        <v>130</v>
      </c>
      <c r="K490" s="8"/>
      <c r="L490" s="17"/>
      <c r="M490" s="17"/>
      <c r="N490" s="18"/>
      <c r="O490" s="19"/>
      <c r="P490" s="8"/>
      <c r="Q490" s="7"/>
      <c r="R490" s="7"/>
      <c r="S490" s="17"/>
    </row>
    <row r="491" ht="13.5" customHeight="1">
      <c r="A491" s="8" t="s">
        <v>33</v>
      </c>
      <c r="B491" s="8" t="s">
        <v>132</v>
      </c>
      <c r="C491" s="8" t="s">
        <v>197</v>
      </c>
      <c r="D491" s="8" t="s">
        <v>2288</v>
      </c>
      <c r="E491" s="9" t="s">
        <v>2291</v>
      </c>
      <c r="F491" s="8" t="s">
        <v>2263</v>
      </c>
      <c r="G491" s="8" t="s">
        <v>962</v>
      </c>
      <c r="H491" s="11" t="s">
        <v>259</v>
      </c>
      <c r="I491" s="11" t="s">
        <v>91</v>
      </c>
      <c r="J491" s="11" t="s">
        <v>130</v>
      </c>
      <c r="K491" s="8"/>
      <c r="L491" s="17"/>
      <c r="M491" s="17"/>
      <c r="N491" s="18"/>
      <c r="O491" s="19"/>
      <c r="P491" s="8"/>
      <c r="Q491" s="7"/>
      <c r="R491" s="7"/>
      <c r="S491" s="17"/>
    </row>
    <row r="492" ht="13.5" customHeight="1">
      <c r="A492" s="8" t="s">
        <v>33</v>
      </c>
      <c r="B492" s="8" t="s">
        <v>167</v>
      </c>
      <c r="C492" s="8" t="s">
        <v>296</v>
      </c>
      <c r="D492" s="8" t="s">
        <v>169</v>
      </c>
      <c r="E492" s="9" t="s">
        <v>170</v>
      </c>
      <c r="F492" s="8" t="s">
        <v>168</v>
      </c>
      <c r="G492" s="8" t="s">
        <v>148</v>
      </c>
      <c r="H492" s="11" t="s">
        <v>143</v>
      </c>
      <c r="I492" s="11" t="s">
        <v>27</v>
      </c>
      <c r="J492" s="11" t="s">
        <v>28</v>
      </c>
      <c r="K492" s="8"/>
      <c r="L492" s="17"/>
      <c r="M492" s="17"/>
      <c r="N492" s="18"/>
      <c r="O492" s="19"/>
      <c r="P492" s="8"/>
      <c r="Q492" s="7"/>
      <c r="R492" s="7"/>
      <c r="S492" s="17"/>
    </row>
    <row r="493" ht="13.5" customHeight="1">
      <c r="A493" s="8" t="s">
        <v>33</v>
      </c>
      <c r="B493" s="8" t="s">
        <v>132</v>
      </c>
      <c r="C493" s="8" t="s">
        <v>296</v>
      </c>
      <c r="D493" s="8" t="s">
        <v>174</v>
      </c>
      <c r="E493" s="9" t="s">
        <v>2292</v>
      </c>
      <c r="F493" s="8" t="s">
        <v>2283</v>
      </c>
      <c r="G493" s="8" t="s">
        <v>148</v>
      </c>
      <c r="H493" s="11" t="s">
        <v>143</v>
      </c>
      <c r="I493" s="11" t="s">
        <v>27</v>
      </c>
      <c r="J493" s="11" t="s">
        <v>28</v>
      </c>
      <c r="K493" s="8"/>
      <c r="L493" s="17"/>
      <c r="M493" s="17"/>
      <c r="N493" s="18"/>
      <c r="O493" s="19"/>
      <c r="P493" s="8"/>
      <c r="Q493" s="7"/>
      <c r="R493" s="7"/>
      <c r="S493" s="17"/>
    </row>
    <row r="494" ht="13.5" customHeight="1">
      <c r="A494" s="8" t="s">
        <v>33</v>
      </c>
      <c r="B494" s="8" t="s">
        <v>167</v>
      </c>
      <c r="C494" s="8" t="s">
        <v>296</v>
      </c>
      <c r="D494" s="8" t="s">
        <v>2293</v>
      </c>
      <c r="E494" s="9" t="s">
        <v>2294</v>
      </c>
      <c r="F494" s="8" t="s">
        <v>168</v>
      </c>
      <c r="G494" s="8" t="s">
        <v>1507</v>
      </c>
      <c r="H494" s="11" t="s">
        <v>103</v>
      </c>
      <c r="I494" s="11" t="s">
        <v>27</v>
      </c>
      <c r="J494" s="11" t="s">
        <v>28</v>
      </c>
      <c r="K494" s="8"/>
      <c r="L494" s="17"/>
      <c r="M494" s="17"/>
      <c r="N494" s="18"/>
      <c r="O494" s="19"/>
      <c r="P494" s="8"/>
      <c r="Q494" s="7"/>
      <c r="R494" s="7"/>
      <c r="S494" s="17"/>
    </row>
    <row r="495" ht="13.5" customHeight="1">
      <c r="A495" s="8" t="s">
        <v>33</v>
      </c>
      <c r="B495" s="8" t="s">
        <v>132</v>
      </c>
      <c r="C495" s="8" t="s">
        <v>296</v>
      </c>
      <c r="D495" s="8" t="s">
        <v>174</v>
      </c>
      <c r="E495" s="9" t="s">
        <v>2295</v>
      </c>
      <c r="F495" s="8" t="s">
        <v>2255</v>
      </c>
      <c r="G495" s="8" t="s">
        <v>1507</v>
      </c>
      <c r="H495" s="11" t="s">
        <v>103</v>
      </c>
      <c r="I495" s="11" t="s">
        <v>27</v>
      </c>
      <c r="J495" s="11" t="s">
        <v>28</v>
      </c>
      <c r="K495" s="8"/>
      <c r="L495" s="17"/>
      <c r="M495" s="17"/>
      <c r="N495" s="18"/>
      <c r="O495" s="19"/>
      <c r="P495" s="8"/>
      <c r="Q495" s="7"/>
      <c r="R495" s="7"/>
      <c r="S495" s="17"/>
    </row>
    <row r="496" ht="13.5" customHeight="1">
      <c r="A496" s="8" t="s">
        <v>33</v>
      </c>
      <c r="B496" s="8" t="s">
        <v>167</v>
      </c>
      <c r="C496" s="8" t="s">
        <v>296</v>
      </c>
      <c r="D496" s="8" t="s">
        <v>169</v>
      </c>
      <c r="E496" s="9" t="s">
        <v>2296</v>
      </c>
      <c r="F496" s="8" t="s">
        <v>168</v>
      </c>
      <c r="G496" s="8" t="s">
        <v>25</v>
      </c>
      <c r="H496" s="11" t="s">
        <v>26</v>
      </c>
      <c r="I496" s="11" t="s">
        <v>27</v>
      </c>
      <c r="J496" s="11" t="s">
        <v>28</v>
      </c>
      <c r="K496" s="8" t="s">
        <v>117</v>
      </c>
      <c r="L496" s="17"/>
      <c r="M496" s="17"/>
      <c r="N496" s="18"/>
      <c r="O496" s="19"/>
      <c r="P496" s="8"/>
      <c r="Q496" s="7"/>
      <c r="R496" s="7"/>
      <c r="S496" s="17"/>
    </row>
    <row r="497" ht="13.5" customHeight="1">
      <c r="A497" s="8" t="s">
        <v>33</v>
      </c>
      <c r="B497" s="8" t="s">
        <v>132</v>
      </c>
      <c r="C497" s="8" t="s">
        <v>296</v>
      </c>
      <c r="D497" s="8" t="s">
        <v>174</v>
      </c>
      <c r="E497" s="9" t="s">
        <v>2297</v>
      </c>
      <c r="F497" s="8" t="s">
        <v>2283</v>
      </c>
      <c r="G497" s="8" t="s">
        <v>25</v>
      </c>
      <c r="H497" s="11" t="s">
        <v>26</v>
      </c>
      <c r="I497" s="11" t="s">
        <v>27</v>
      </c>
      <c r="J497" s="11" t="s">
        <v>28</v>
      </c>
      <c r="K497" s="8" t="s">
        <v>29</v>
      </c>
      <c r="L497" s="17"/>
      <c r="M497" s="17"/>
      <c r="N497" s="18"/>
      <c r="O497" s="19"/>
      <c r="P497" s="8"/>
      <c r="Q497" s="7"/>
      <c r="R497" s="7"/>
      <c r="S497" s="17"/>
    </row>
    <row r="498" ht="13.5" customHeight="1">
      <c r="A498" s="8" t="s">
        <v>33</v>
      </c>
      <c r="B498" s="8" t="s">
        <v>167</v>
      </c>
      <c r="C498" s="8" t="s">
        <v>296</v>
      </c>
      <c r="D498" s="8" t="s">
        <v>169</v>
      </c>
      <c r="E498" s="9" t="s">
        <v>2298</v>
      </c>
      <c r="F498" s="8" t="s">
        <v>168</v>
      </c>
      <c r="G498" s="8" t="s">
        <v>2299</v>
      </c>
      <c r="H498" s="11" t="s">
        <v>26</v>
      </c>
      <c r="I498" s="11" t="s">
        <v>27</v>
      </c>
      <c r="J498" s="11" t="s">
        <v>28</v>
      </c>
      <c r="K498" s="8"/>
      <c r="L498" s="17"/>
      <c r="M498" s="17"/>
      <c r="N498" s="18"/>
      <c r="O498" s="19"/>
      <c r="P498" s="8"/>
      <c r="Q498" s="7"/>
      <c r="R498" s="7"/>
      <c r="S498" s="17"/>
    </row>
    <row r="499" ht="13.5" customHeight="1">
      <c r="A499" s="8" t="s">
        <v>33</v>
      </c>
      <c r="B499" s="8" t="s">
        <v>132</v>
      </c>
      <c r="C499" s="8" t="s">
        <v>296</v>
      </c>
      <c r="D499" s="8" t="s">
        <v>1324</v>
      </c>
      <c r="E499" s="9" t="s">
        <v>2300</v>
      </c>
      <c r="F499" s="8" t="s">
        <v>2283</v>
      </c>
      <c r="G499" s="8" t="s">
        <v>2299</v>
      </c>
      <c r="H499" s="11" t="s">
        <v>26</v>
      </c>
      <c r="I499" s="11" t="s">
        <v>27</v>
      </c>
      <c r="J499" s="11" t="s">
        <v>28</v>
      </c>
      <c r="K499" s="8"/>
      <c r="L499" s="17"/>
      <c r="M499" s="17"/>
      <c r="N499" s="18"/>
      <c r="O499" s="19"/>
      <c r="P499" s="8"/>
      <c r="Q499" s="7"/>
      <c r="R499" s="7"/>
      <c r="S499" s="17"/>
    </row>
    <row r="500" ht="13.5" customHeight="1">
      <c r="A500" s="8" t="s">
        <v>33</v>
      </c>
      <c r="B500" s="8" t="s">
        <v>167</v>
      </c>
      <c r="C500" s="8" t="s">
        <v>296</v>
      </c>
      <c r="D500" s="8" t="s">
        <v>169</v>
      </c>
      <c r="E500" s="9" t="s">
        <v>2301</v>
      </c>
      <c r="F500" s="8" t="s">
        <v>168</v>
      </c>
      <c r="G500" s="8" t="s">
        <v>211</v>
      </c>
      <c r="H500" s="11" t="s">
        <v>207</v>
      </c>
      <c r="I500" s="11" t="s">
        <v>27</v>
      </c>
      <c r="J500" s="11" t="s">
        <v>28</v>
      </c>
      <c r="K500" s="8"/>
      <c r="L500" s="17"/>
      <c r="M500" s="17"/>
      <c r="N500" s="18"/>
      <c r="O500" s="19"/>
      <c r="P500" s="8"/>
      <c r="Q500" s="7"/>
      <c r="R500" s="7"/>
      <c r="S500" s="17"/>
    </row>
    <row r="501" ht="13.5" customHeight="1">
      <c r="A501" s="8" t="s">
        <v>33</v>
      </c>
      <c r="B501" s="8" t="s">
        <v>132</v>
      </c>
      <c r="C501" s="8" t="s">
        <v>296</v>
      </c>
      <c r="D501" s="8" t="s">
        <v>174</v>
      </c>
      <c r="E501" s="9" t="s">
        <v>2302</v>
      </c>
      <c r="F501" s="8" t="s">
        <v>2283</v>
      </c>
      <c r="G501" s="8" t="s">
        <v>211</v>
      </c>
      <c r="H501" s="11" t="s">
        <v>207</v>
      </c>
      <c r="I501" s="11" t="s">
        <v>27</v>
      </c>
      <c r="J501" s="11" t="s">
        <v>28</v>
      </c>
      <c r="K501" s="8"/>
      <c r="L501" s="17"/>
      <c r="M501" s="17"/>
      <c r="N501" s="18"/>
      <c r="O501" s="19"/>
      <c r="P501" s="8"/>
      <c r="Q501" s="7"/>
      <c r="R501" s="7"/>
      <c r="S501" s="17"/>
    </row>
    <row r="502" ht="13.5" customHeight="1">
      <c r="A502" s="8" t="s">
        <v>33</v>
      </c>
      <c r="B502" s="8" t="s">
        <v>167</v>
      </c>
      <c r="C502" s="8" t="s">
        <v>296</v>
      </c>
      <c r="D502" s="8" t="s">
        <v>169</v>
      </c>
      <c r="E502" s="9" t="s">
        <v>2175</v>
      </c>
      <c r="F502" s="8" t="s">
        <v>168</v>
      </c>
      <c r="G502" s="8" t="s">
        <v>235</v>
      </c>
      <c r="H502" s="11" t="s">
        <v>207</v>
      </c>
      <c r="I502" s="11" t="s">
        <v>27</v>
      </c>
      <c r="J502" s="11" t="s">
        <v>28</v>
      </c>
      <c r="K502" s="8"/>
      <c r="L502" s="17"/>
      <c r="M502" s="17"/>
      <c r="N502" s="18"/>
      <c r="O502" s="19"/>
      <c r="P502" s="8"/>
      <c r="Q502" s="7"/>
      <c r="R502" s="7"/>
      <c r="S502" s="17"/>
    </row>
    <row r="503" ht="13.5" customHeight="1">
      <c r="A503" s="8" t="s">
        <v>33</v>
      </c>
      <c r="B503" s="8" t="s">
        <v>132</v>
      </c>
      <c r="C503" s="8" t="s">
        <v>296</v>
      </c>
      <c r="D503" s="8" t="s">
        <v>1324</v>
      </c>
      <c r="E503" s="9" t="s">
        <v>2177</v>
      </c>
      <c r="F503" s="8" t="s">
        <v>2283</v>
      </c>
      <c r="G503" s="8" t="s">
        <v>235</v>
      </c>
      <c r="H503" s="11" t="s">
        <v>207</v>
      </c>
      <c r="I503" s="11" t="s">
        <v>27</v>
      </c>
      <c r="J503" s="11" t="s">
        <v>28</v>
      </c>
      <c r="K503" s="8"/>
      <c r="L503" s="17"/>
      <c r="M503" s="17"/>
      <c r="N503" s="18"/>
      <c r="O503" s="19"/>
      <c r="P503" s="8"/>
      <c r="Q503" s="7"/>
      <c r="R503" s="7"/>
      <c r="S503" s="17"/>
    </row>
    <row r="504" ht="13.5" customHeight="1">
      <c r="A504" s="8" t="s">
        <v>33</v>
      </c>
      <c r="B504" s="8" t="s">
        <v>167</v>
      </c>
      <c r="C504" s="8" t="s">
        <v>296</v>
      </c>
      <c r="D504" s="8" t="s">
        <v>169</v>
      </c>
      <c r="E504" s="9" t="s">
        <v>2303</v>
      </c>
      <c r="F504" s="8" t="s">
        <v>168</v>
      </c>
      <c r="G504" s="8" t="s">
        <v>1494</v>
      </c>
      <c r="H504" s="11" t="s">
        <v>259</v>
      </c>
      <c r="I504" s="11" t="s">
        <v>27</v>
      </c>
      <c r="J504" s="11" t="s">
        <v>28</v>
      </c>
      <c r="K504" s="8"/>
      <c r="L504" s="17"/>
      <c r="M504" s="17"/>
      <c r="N504" s="18"/>
      <c r="O504" s="19"/>
      <c r="P504" s="8"/>
      <c r="Q504" s="7"/>
      <c r="R504" s="7"/>
      <c r="S504" s="17"/>
    </row>
    <row r="505" ht="13.5" customHeight="1">
      <c r="A505" s="8" t="s">
        <v>33</v>
      </c>
      <c r="B505" s="8" t="s">
        <v>132</v>
      </c>
      <c r="C505" s="8" t="s">
        <v>296</v>
      </c>
      <c r="D505" s="8" t="s">
        <v>174</v>
      </c>
      <c r="E505" s="9" t="s">
        <v>2304</v>
      </c>
      <c r="F505" s="8" t="s">
        <v>2283</v>
      </c>
      <c r="G505" s="8" t="s">
        <v>1494</v>
      </c>
      <c r="H505" s="11" t="s">
        <v>259</v>
      </c>
      <c r="I505" s="11" t="s">
        <v>27</v>
      </c>
      <c r="J505" s="11" t="s">
        <v>28</v>
      </c>
      <c r="K505" s="8"/>
      <c r="L505" s="17"/>
      <c r="M505" s="17"/>
      <c r="N505" s="18"/>
      <c r="O505" s="19"/>
      <c r="P505" s="8"/>
      <c r="Q505" s="7"/>
      <c r="R505" s="7"/>
      <c r="S505" s="17"/>
    </row>
    <row r="506" ht="13.5" customHeight="1">
      <c r="A506" s="8" t="s">
        <v>33</v>
      </c>
      <c r="B506" s="8" t="s">
        <v>167</v>
      </c>
      <c r="C506" s="8" t="s">
        <v>48</v>
      </c>
      <c r="D506" s="8" t="s">
        <v>2224</v>
      </c>
      <c r="E506" s="9" t="s">
        <v>2305</v>
      </c>
      <c r="F506" s="8" t="s">
        <v>2226</v>
      </c>
      <c r="G506" s="8" t="s">
        <v>1487</v>
      </c>
      <c r="H506" s="11" t="s">
        <v>259</v>
      </c>
      <c r="I506" s="11" t="s">
        <v>27</v>
      </c>
      <c r="J506" s="11" t="s">
        <v>28</v>
      </c>
      <c r="K506" s="8"/>
      <c r="L506" s="17"/>
      <c r="M506" s="17"/>
      <c r="N506" s="18"/>
      <c r="O506" s="19"/>
      <c r="P506" s="8"/>
      <c r="Q506" s="7"/>
      <c r="R506" s="7"/>
      <c r="S506" s="17"/>
    </row>
    <row r="507" ht="13.5" customHeight="1">
      <c r="A507" s="8" t="s">
        <v>33</v>
      </c>
      <c r="B507" s="8" t="s">
        <v>132</v>
      </c>
      <c r="C507" s="8" t="s">
        <v>722</v>
      </c>
      <c r="D507" s="8" t="s">
        <v>2306</v>
      </c>
      <c r="E507" s="9" t="s">
        <v>2307</v>
      </c>
      <c r="F507" s="8" t="s">
        <v>2263</v>
      </c>
      <c r="G507" s="8" t="s">
        <v>1487</v>
      </c>
      <c r="H507" s="11" t="s">
        <v>259</v>
      </c>
      <c r="I507" s="11" t="s">
        <v>27</v>
      </c>
      <c r="J507" s="11" t="s">
        <v>28</v>
      </c>
      <c r="K507" s="8" t="s">
        <v>55</v>
      </c>
      <c r="L507" s="17"/>
      <c r="M507" s="17"/>
      <c r="N507" s="18"/>
      <c r="O507" s="19"/>
      <c r="P507" s="8"/>
      <c r="Q507" s="7"/>
      <c r="R507" s="7"/>
      <c r="S507" s="17"/>
    </row>
    <row r="508" ht="13.5" customHeight="1">
      <c r="A508" s="8" t="s">
        <v>33</v>
      </c>
      <c r="B508" s="8" t="s">
        <v>167</v>
      </c>
      <c r="C508" s="8" t="s">
        <v>296</v>
      </c>
      <c r="D508" s="8" t="s">
        <v>169</v>
      </c>
      <c r="E508" s="9" t="s">
        <v>2191</v>
      </c>
      <c r="F508" s="8" t="s">
        <v>168</v>
      </c>
      <c r="G508" s="8" t="s">
        <v>508</v>
      </c>
      <c r="H508" s="11" t="s">
        <v>259</v>
      </c>
      <c r="I508" s="11" t="s">
        <v>91</v>
      </c>
      <c r="J508" s="11" t="s">
        <v>275</v>
      </c>
      <c r="K508" s="8"/>
      <c r="L508" s="17"/>
      <c r="M508" s="17"/>
      <c r="N508" s="18"/>
      <c r="O508" s="19"/>
      <c r="P508" s="8"/>
      <c r="Q508" s="7"/>
      <c r="R508" s="7"/>
      <c r="S508" s="17"/>
    </row>
    <row r="509" ht="13.5" customHeight="1">
      <c r="A509" s="8" t="s">
        <v>33</v>
      </c>
      <c r="B509" s="8" t="s">
        <v>301</v>
      </c>
      <c r="C509" s="8" t="s">
        <v>296</v>
      </c>
      <c r="D509" s="8" t="s">
        <v>174</v>
      </c>
      <c r="E509" s="9" t="s">
        <v>2192</v>
      </c>
      <c r="F509" s="8" t="s">
        <v>2255</v>
      </c>
      <c r="G509" s="8" t="s">
        <v>508</v>
      </c>
      <c r="H509" s="11" t="s">
        <v>259</v>
      </c>
      <c r="I509" s="11" t="s">
        <v>91</v>
      </c>
      <c r="J509" s="11" t="s">
        <v>275</v>
      </c>
      <c r="K509" s="8"/>
      <c r="L509" s="17"/>
      <c r="M509" s="17"/>
      <c r="N509" s="18"/>
      <c r="O509" s="19"/>
      <c r="P509" s="8"/>
      <c r="Q509" s="7"/>
      <c r="R509" s="7"/>
      <c r="S509" s="17"/>
    </row>
    <row r="510" ht="13.5" customHeight="1">
      <c r="A510" s="54" t="s">
        <v>33</v>
      </c>
      <c r="B510" s="54" t="s">
        <v>167</v>
      </c>
      <c r="C510" s="54" t="s">
        <v>48</v>
      </c>
      <c r="D510" s="54" t="s">
        <v>2224</v>
      </c>
      <c r="E510" s="55" t="s">
        <v>2308</v>
      </c>
      <c r="F510" s="54" t="s">
        <v>2226</v>
      </c>
      <c r="G510" s="8" t="s">
        <v>2309</v>
      </c>
      <c r="H510" s="11" t="s">
        <v>259</v>
      </c>
      <c r="I510" s="11" t="s">
        <v>91</v>
      </c>
      <c r="J510" s="11" t="s">
        <v>275</v>
      </c>
      <c r="K510" s="8"/>
      <c r="L510" s="17"/>
      <c r="M510" s="17"/>
      <c r="N510" s="18"/>
      <c r="O510" s="19"/>
      <c r="P510" s="8"/>
      <c r="Q510" s="7"/>
      <c r="R510" s="7"/>
      <c r="S510" s="17"/>
    </row>
    <row r="511" ht="13.5" customHeight="1">
      <c r="A511" s="54" t="s">
        <v>33</v>
      </c>
      <c r="B511" s="54" t="s">
        <v>132</v>
      </c>
      <c r="C511" s="54" t="s">
        <v>2310</v>
      </c>
      <c r="D511" s="54" t="s">
        <v>2311</v>
      </c>
      <c r="E511" s="55" t="s">
        <v>288</v>
      </c>
      <c r="F511" s="54" t="s">
        <v>2234</v>
      </c>
      <c r="G511" s="8" t="s">
        <v>2309</v>
      </c>
      <c r="H511" s="11" t="s">
        <v>259</v>
      </c>
      <c r="I511" s="11" t="s">
        <v>91</v>
      </c>
      <c r="J511" s="11" t="s">
        <v>275</v>
      </c>
      <c r="K511" s="8"/>
      <c r="L511" s="17"/>
      <c r="M511" s="17"/>
      <c r="N511" s="18"/>
      <c r="O511" s="19"/>
      <c r="P511" s="8"/>
      <c r="Q511" s="7"/>
      <c r="R511" s="7"/>
      <c r="S511" s="17"/>
    </row>
    <row r="512" ht="13.5" customHeight="1">
      <c r="A512" s="8" t="s">
        <v>33</v>
      </c>
      <c r="B512" s="8" t="s">
        <v>167</v>
      </c>
      <c r="C512" s="8" t="s">
        <v>197</v>
      </c>
      <c r="D512" s="8" t="s">
        <v>485</v>
      </c>
      <c r="E512" s="9" t="s">
        <v>486</v>
      </c>
      <c r="F512" s="8" t="s">
        <v>2174</v>
      </c>
      <c r="G512" s="8" t="s">
        <v>472</v>
      </c>
      <c r="H512" s="11" t="s">
        <v>259</v>
      </c>
      <c r="I512" s="11" t="s">
        <v>91</v>
      </c>
      <c r="J512" s="11" t="s">
        <v>400</v>
      </c>
      <c r="K512" s="8"/>
      <c r="L512" s="17"/>
      <c r="M512" s="17"/>
      <c r="N512" s="18"/>
      <c r="O512" s="19"/>
      <c r="P512" s="8"/>
      <c r="Q512" s="7"/>
      <c r="R512" s="7"/>
      <c r="S512" s="17"/>
    </row>
    <row r="513" ht="13.5" customHeight="1">
      <c r="A513" s="8" t="s">
        <v>33</v>
      </c>
      <c r="B513" s="8" t="s">
        <v>167</v>
      </c>
      <c r="C513" s="8" t="s">
        <v>48</v>
      </c>
      <c r="D513" s="8" t="s">
        <v>2312</v>
      </c>
      <c r="E513" s="9" t="s">
        <v>2313</v>
      </c>
      <c r="F513" s="8" t="s">
        <v>2314</v>
      </c>
      <c r="G513" s="8" t="s">
        <v>550</v>
      </c>
      <c r="H513" s="11" t="s">
        <v>259</v>
      </c>
      <c r="I513" s="11" t="s">
        <v>91</v>
      </c>
      <c r="J513" s="11" t="s">
        <v>275</v>
      </c>
      <c r="K513" s="8"/>
      <c r="L513" s="17"/>
      <c r="M513" s="17"/>
      <c r="N513" s="18"/>
      <c r="O513" s="19"/>
      <c r="P513" s="8"/>
      <c r="Q513" s="7"/>
      <c r="R513" s="7"/>
      <c r="S513" s="17"/>
    </row>
    <row r="514" ht="13.5" customHeight="1">
      <c r="A514" s="8" t="s">
        <v>33</v>
      </c>
      <c r="B514" s="8" t="s">
        <v>301</v>
      </c>
      <c r="C514" s="8" t="s">
        <v>296</v>
      </c>
      <c r="D514" s="8" t="s">
        <v>323</v>
      </c>
      <c r="E514" s="9" t="s">
        <v>2315</v>
      </c>
      <c r="F514" s="8" t="s">
        <v>2263</v>
      </c>
      <c r="G514" s="8" t="s">
        <v>550</v>
      </c>
      <c r="H514" s="11" t="s">
        <v>259</v>
      </c>
      <c r="I514" s="11" t="s">
        <v>91</v>
      </c>
      <c r="J514" s="11" t="s">
        <v>275</v>
      </c>
      <c r="K514" s="8"/>
      <c r="L514" s="17"/>
      <c r="M514" s="17"/>
      <c r="N514" s="18"/>
      <c r="O514" s="19"/>
      <c r="P514" s="8"/>
      <c r="Q514" s="7"/>
      <c r="R514" s="7"/>
      <c r="S514" s="17"/>
    </row>
    <row r="515" ht="13.5" customHeight="1">
      <c r="A515" s="8" t="s">
        <v>33</v>
      </c>
      <c r="B515" s="8" t="s">
        <v>167</v>
      </c>
      <c r="C515" s="8" t="s">
        <v>48</v>
      </c>
      <c r="D515" s="8" t="s">
        <v>2224</v>
      </c>
      <c r="E515" s="9" t="s">
        <v>2316</v>
      </c>
      <c r="F515" s="8" t="s">
        <v>2226</v>
      </c>
      <c r="G515" s="8" t="s">
        <v>1407</v>
      </c>
      <c r="H515" s="11" t="s">
        <v>259</v>
      </c>
      <c r="I515" s="11" t="s">
        <v>260</v>
      </c>
      <c r="J515" s="11" t="s">
        <v>490</v>
      </c>
      <c r="K515" s="8"/>
      <c r="L515" s="17"/>
      <c r="M515" s="17"/>
      <c r="N515" s="18"/>
      <c r="O515" s="19"/>
      <c r="P515" s="8"/>
      <c r="Q515" s="7"/>
      <c r="R515" s="7"/>
      <c r="S515" s="17"/>
    </row>
    <row r="516" ht="13.5" customHeight="1">
      <c r="A516" s="8" t="s">
        <v>33</v>
      </c>
      <c r="B516" s="8" t="s">
        <v>167</v>
      </c>
      <c r="C516" s="8" t="s">
        <v>48</v>
      </c>
      <c r="D516" s="8" t="s">
        <v>2224</v>
      </c>
      <c r="E516" s="9" t="s">
        <v>2317</v>
      </c>
      <c r="F516" s="8" t="s">
        <v>2226</v>
      </c>
      <c r="G516" s="8" t="s">
        <v>489</v>
      </c>
      <c r="H516" s="11" t="s">
        <v>259</v>
      </c>
      <c r="I516" s="11" t="s">
        <v>260</v>
      </c>
      <c r="J516" s="11" t="s">
        <v>490</v>
      </c>
      <c r="K516" s="8"/>
      <c r="L516" s="17"/>
      <c r="M516" s="17"/>
      <c r="N516" s="18"/>
      <c r="O516" s="19"/>
      <c r="P516" s="8"/>
      <c r="Q516" s="7"/>
      <c r="R516" s="7"/>
      <c r="S516" s="17"/>
    </row>
    <row r="517" ht="13.5" customHeight="1">
      <c r="A517" s="8" t="s">
        <v>33</v>
      </c>
      <c r="B517" s="8" t="s">
        <v>132</v>
      </c>
      <c r="C517" s="8" t="s">
        <v>99</v>
      </c>
      <c r="D517" s="8" t="s">
        <v>2318</v>
      </c>
      <c r="E517" s="9" t="s">
        <v>2319</v>
      </c>
      <c r="F517" s="8" t="s">
        <v>2263</v>
      </c>
      <c r="G517" s="8" t="s">
        <v>489</v>
      </c>
      <c r="H517" s="11" t="s">
        <v>259</v>
      </c>
      <c r="I517" s="11" t="s">
        <v>260</v>
      </c>
      <c r="J517" s="11" t="s">
        <v>490</v>
      </c>
      <c r="K517" s="8"/>
      <c r="L517" s="17"/>
      <c r="M517" s="17"/>
      <c r="N517" s="18"/>
      <c r="O517" s="19"/>
      <c r="P517" s="8"/>
      <c r="Q517" s="7"/>
      <c r="R517" s="7"/>
      <c r="S517" s="17"/>
    </row>
    <row r="518" ht="13.5" customHeight="1">
      <c r="A518" s="8" t="s">
        <v>33</v>
      </c>
      <c r="B518" s="8" t="s">
        <v>167</v>
      </c>
      <c r="C518" s="8" t="s">
        <v>48</v>
      </c>
      <c r="D518" s="8" t="s">
        <v>2235</v>
      </c>
      <c r="E518" s="9" t="s">
        <v>2320</v>
      </c>
      <c r="F518" s="8" t="s">
        <v>2237</v>
      </c>
      <c r="G518" s="8" t="s">
        <v>2321</v>
      </c>
      <c r="H518" s="11" t="s">
        <v>259</v>
      </c>
      <c r="I518" s="11" t="s">
        <v>27</v>
      </c>
      <c r="J518" s="11" t="s">
        <v>635</v>
      </c>
      <c r="K518" s="8"/>
      <c r="L518" s="17"/>
      <c r="M518" s="17"/>
      <c r="N518" s="18"/>
      <c r="O518" s="19"/>
      <c r="P518" s="8"/>
      <c r="Q518" s="7"/>
      <c r="R518" s="7"/>
      <c r="S518" s="17"/>
    </row>
    <row r="519" ht="13.5" customHeight="1">
      <c r="A519" s="8" t="s">
        <v>33</v>
      </c>
      <c r="B519" s="8" t="s">
        <v>132</v>
      </c>
      <c r="C519" s="8" t="s">
        <v>2245</v>
      </c>
      <c r="D519" s="8" t="s">
        <v>2322</v>
      </c>
      <c r="E519" s="9" t="s">
        <v>288</v>
      </c>
      <c r="F519" s="8" t="s">
        <v>2263</v>
      </c>
      <c r="G519" s="8" t="s">
        <v>2321</v>
      </c>
      <c r="H519" s="11" t="s">
        <v>259</v>
      </c>
      <c r="I519" s="11" t="s">
        <v>27</v>
      </c>
      <c r="J519" s="11" t="s">
        <v>635</v>
      </c>
      <c r="K519" s="8"/>
      <c r="L519" s="17"/>
      <c r="M519" s="17"/>
      <c r="N519" s="18"/>
      <c r="O519" s="19"/>
      <c r="P519" s="8"/>
      <c r="Q519" s="7"/>
      <c r="R519" s="7"/>
      <c r="S519" s="17"/>
    </row>
    <row r="520" ht="13.5" customHeight="1">
      <c r="A520" s="8" t="s">
        <v>33</v>
      </c>
      <c r="B520" s="8" t="s">
        <v>167</v>
      </c>
      <c r="C520" s="8" t="s">
        <v>48</v>
      </c>
      <c r="D520" s="8" t="s">
        <v>2235</v>
      </c>
      <c r="E520" s="9" t="s">
        <v>2323</v>
      </c>
      <c r="F520" s="8" t="s">
        <v>2237</v>
      </c>
      <c r="G520" s="8" t="s">
        <v>774</v>
      </c>
      <c r="H520" s="11" t="s">
        <v>259</v>
      </c>
      <c r="I520" s="11" t="s">
        <v>27</v>
      </c>
      <c r="J520" s="11" t="s">
        <v>635</v>
      </c>
      <c r="K520" s="8"/>
      <c r="L520" s="17"/>
      <c r="M520" s="17"/>
      <c r="N520" s="18"/>
      <c r="O520" s="19"/>
      <c r="P520" s="8"/>
      <c r="Q520" s="7"/>
      <c r="R520" s="7"/>
      <c r="S520" s="17"/>
    </row>
    <row r="521" ht="13.5" customHeight="1">
      <c r="A521" s="8" t="s">
        <v>33</v>
      </c>
      <c r="B521" s="8" t="s">
        <v>132</v>
      </c>
      <c r="C521" s="8" t="s">
        <v>48</v>
      </c>
      <c r="D521" s="8" t="s">
        <v>2239</v>
      </c>
      <c r="E521" s="9" t="s">
        <v>2324</v>
      </c>
      <c r="F521" s="8" t="s">
        <v>2255</v>
      </c>
      <c r="G521" s="8" t="s">
        <v>774</v>
      </c>
      <c r="H521" s="11" t="s">
        <v>259</v>
      </c>
      <c r="I521" s="11" t="s">
        <v>27</v>
      </c>
      <c r="J521" s="11" t="s">
        <v>635</v>
      </c>
      <c r="K521" s="8"/>
      <c r="L521" s="17"/>
      <c r="M521" s="17"/>
      <c r="N521" s="18"/>
      <c r="O521" s="19"/>
      <c r="P521" s="8"/>
      <c r="Q521" s="7"/>
      <c r="R521" s="7"/>
      <c r="S521" s="17"/>
    </row>
    <row r="522" ht="13.5" customHeight="1">
      <c r="A522" s="8" t="s">
        <v>33</v>
      </c>
      <c r="B522" s="8" t="s">
        <v>167</v>
      </c>
      <c r="C522" s="8" t="s">
        <v>48</v>
      </c>
      <c r="D522" s="8" t="s">
        <v>2224</v>
      </c>
      <c r="E522" s="9" t="s">
        <v>2325</v>
      </c>
      <c r="F522" s="8" t="s">
        <v>2226</v>
      </c>
      <c r="G522" s="8" t="s">
        <v>777</v>
      </c>
      <c r="H522" s="11" t="s">
        <v>259</v>
      </c>
      <c r="I522" s="11" t="s">
        <v>27</v>
      </c>
      <c r="J522" s="11" t="s">
        <v>635</v>
      </c>
      <c r="K522" s="8"/>
      <c r="L522" s="17"/>
      <c r="M522" s="17"/>
      <c r="N522" s="18"/>
      <c r="O522" s="19"/>
      <c r="P522" s="8"/>
      <c r="Q522" s="7"/>
      <c r="R522" s="7"/>
      <c r="S522" s="17"/>
    </row>
    <row r="523" ht="13.5" customHeight="1">
      <c r="A523" s="8" t="s">
        <v>33</v>
      </c>
      <c r="B523" s="8" t="s">
        <v>132</v>
      </c>
      <c r="C523" s="8" t="s">
        <v>197</v>
      </c>
      <c r="D523" s="8" t="s">
        <v>1889</v>
      </c>
      <c r="E523" s="9" t="s">
        <v>2326</v>
      </c>
      <c r="F523" s="8" t="s">
        <v>2263</v>
      </c>
      <c r="G523" s="8" t="s">
        <v>777</v>
      </c>
      <c r="H523" s="11" t="s">
        <v>259</v>
      </c>
      <c r="I523" s="11" t="s">
        <v>27</v>
      </c>
      <c r="J523" s="11" t="s">
        <v>635</v>
      </c>
      <c r="K523" s="8"/>
      <c r="L523" s="17"/>
      <c r="M523" s="17"/>
      <c r="N523" s="18"/>
      <c r="O523" s="19"/>
      <c r="P523" s="8"/>
      <c r="Q523" s="7"/>
      <c r="R523" s="7"/>
      <c r="S523" s="17"/>
    </row>
    <row r="524" ht="13.5" customHeight="1">
      <c r="A524" s="8" t="s">
        <v>33</v>
      </c>
      <c r="B524" s="8" t="s">
        <v>167</v>
      </c>
      <c r="C524" s="8" t="s">
        <v>48</v>
      </c>
      <c r="D524" s="8" t="s">
        <v>2235</v>
      </c>
      <c r="E524" s="9" t="s">
        <v>2327</v>
      </c>
      <c r="F524" s="8" t="s">
        <v>2237</v>
      </c>
      <c r="G524" s="8" t="s">
        <v>634</v>
      </c>
      <c r="H524" s="11" t="s">
        <v>259</v>
      </c>
      <c r="I524" s="11" t="s">
        <v>27</v>
      </c>
      <c r="J524" s="11" t="s">
        <v>635</v>
      </c>
      <c r="K524" s="8"/>
      <c r="L524" s="17"/>
      <c r="M524" s="17"/>
      <c r="N524" s="18"/>
      <c r="O524" s="19"/>
      <c r="P524" s="8"/>
      <c r="Q524" s="7"/>
      <c r="R524" s="7"/>
      <c r="S524" s="17"/>
    </row>
    <row r="525" ht="13.5" customHeight="1">
      <c r="A525" s="8" t="s">
        <v>33</v>
      </c>
      <c r="B525" s="56" t="s">
        <v>167</v>
      </c>
      <c r="C525" s="56" t="s">
        <v>48</v>
      </c>
      <c r="D525" s="56" t="s">
        <v>2328</v>
      </c>
      <c r="E525" s="56" t="s">
        <v>2329</v>
      </c>
      <c r="F525" s="56" t="s">
        <v>2330</v>
      </c>
      <c r="G525" s="56" t="s">
        <v>662</v>
      </c>
      <c r="H525" s="11" t="s">
        <v>259</v>
      </c>
      <c r="I525" s="11" t="s">
        <v>27</v>
      </c>
      <c r="J525" s="11" t="s">
        <v>635</v>
      </c>
      <c r="K525" s="8"/>
      <c r="L525" s="17"/>
      <c r="M525" s="17"/>
      <c r="N525" s="18"/>
      <c r="O525" s="19"/>
      <c r="P525" s="8"/>
      <c r="Q525" s="7"/>
      <c r="R525" s="7"/>
      <c r="S525" s="17"/>
    </row>
    <row r="526" ht="13.5" customHeight="1">
      <c r="A526" s="8" t="s">
        <v>33</v>
      </c>
      <c r="B526" s="56" t="s">
        <v>132</v>
      </c>
      <c r="C526" s="56" t="s">
        <v>2331</v>
      </c>
      <c r="D526" s="56" t="s">
        <v>288</v>
      </c>
      <c r="E526" s="56" t="s">
        <v>288</v>
      </c>
      <c r="F526" s="56" t="s">
        <v>2263</v>
      </c>
      <c r="G526" s="56" t="s">
        <v>662</v>
      </c>
      <c r="H526" s="11" t="s">
        <v>259</v>
      </c>
      <c r="I526" s="11" t="s">
        <v>27</v>
      </c>
      <c r="J526" s="11" t="s">
        <v>635</v>
      </c>
      <c r="K526" s="8"/>
      <c r="L526" s="17"/>
      <c r="M526" s="17"/>
      <c r="N526" s="18"/>
      <c r="O526" s="19"/>
      <c r="P526" s="8"/>
      <c r="Q526" s="7"/>
      <c r="R526" s="7"/>
      <c r="S526" s="17"/>
    </row>
    <row r="527" ht="13.5" customHeight="1">
      <c r="A527" s="8" t="s">
        <v>33</v>
      </c>
      <c r="B527" s="56" t="s">
        <v>167</v>
      </c>
      <c r="C527" s="56" t="s">
        <v>197</v>
      </c>
      <c r="D527" s="56" t="s">
        <v>2271</v>
      </c>
      <c r="E527" s="56" t="s">
        <v>2332</v>
      </c>
      <c r="F527" s="56" t="s">
        <v>2273</v>
      </c>
      <c r="G527" s="56" t="s">
        <v>771</v>
      </c>
      <c r="H527" s="11" t="s">
        <v>259</v>
      </c>
      <c r="I527" s="11" t="s">
        <v>27</v>
      </c>
      <c r="J527" s="11" t="s">
        <v>635</v>
      </c>
      <c r="K527" s="8"/>
      <c r="L527" s="17"/>
      <c r="M527" s="17"/>
      <c r="N527" s="18"/>
      <c r="O527" s="19"/>
      <c r="P527" s="8"/>
      <c r="Q527" s="7"/>
      <c r="R527" s="7"/>
      <c r="S527" s="17"/>
    </row>
    <row r="528" ht="13.5" customHeight="1">
      <c r="A528" s="8" t="s">
        <v>33</v>
      </c>
      <c r="B528" s="56" t="s">
        <v>132</v>
      </c>
      <c r="C528" s="56" t="s">
        <v>48</v>
      </c>
      <c r="D528" s="56" t="s">
        <v>2239</v>
      </c>
      <c r="E528" s="56" t="s">
        <v>2333</v>
      </c>
      <c r="F528" s="56" t="s">
        <v>2263</v>
      </c>
      <c r="G528" s="56" t="s">
        <v>771</v>
      </c>
      <c r="H528" s="11" t="s">
        <v>259</v>
      </c>
      <c r="I528" s="11" t="s">
        <v>27</v>
      </c>
      <c r="J528" s="11" t="s">
        <v>635</v>
      </c>
      <c r="K528" s="8"/>
      <c r="L528" s="17"/>
      <c r="M528" s="17"/>
      <c r="N528" s="18"/>
      <c r="O528" s="19"/>
      <c r="P528" s="8"/>
      <c r="Q528" s="7"/>
      <c r="R528" s="7"/>
      <c r="S528" s="17"/>
    </row>
    <row r="529" ht="13.5" customHeight="1">
      <c r="A529" s="8" t="s">
        <v>33</v>
      </c>
      <c r="B529" s="56" t="s">
        <v>167</v>
      </c>
      <c r="C529" s="56" t="s">
        <v>197</v>
      </c>
      <c r="D529" s="56" t="s">
        <v>2271</v>
      </c>
      <c r="E529" s="56" t="s">
        <v>2334</v>
      </c>
      <c r="F529" s="56" t="s">
        <v>2273</v>
      </c>
      <c r="G529" s="56" t="s">
        <v>2335</v>
      </c>
      <c r="H529" s="11" t="s">
        <v>259</v>
      </c>
      <c r="I529" s="11" t="s">
        <v>27</v>
      </c>
      <c r="J529" s="11" t="s">
        <v>635</v>
      </c>
      <c r="K529" s="8"/>
      <c r="L529" s="17"/>
      <c r="M529" s="17"/>
      <c r="N529" s="18"/>
      <c r="O529" s="19"/>
      <c r="P529" s="8"/>
      <c r="Q529" s="7"/>
      <c r="R529" s="7"/>
      <c r="S529" s="17"/>
    </row>
    <row r="530" ht="13.5" customHeight="1">
      <c r="A530" s="8" t="s">
        <v>33</v>
      </c>
      <c r="B530" s="56" t="s">
        <v>132</v>
      </c>
      <c r="C530" s="56" t="s">
        <v>48</v>
      </c>
      <c r="D530" s="56" t="s">
        <v>1913</v>
      </c>
      <c r="E530" s="56" t="s">
        <v>1914</v>
      </c>
      <c r="F530" s="56" t="s">
        <v>2263</v>
      </c>
      <c r="G530" s="56" t="s">
        <v>2335</v>
      </c>
      <c r="H530" s="11" t="s">
        <v>259</v>
      </c>
      <c r="I530" s="11" t="s">
        <v>27</v>
      </c>
      <c r="J530" s="11" t="s">
        <v>635</v>
      </c>
      <c r="K530" s="8"/>
      <c r="L530" s="17"/>
      <c r="M530" s="17"/>
      <c r="N530" s="18"/>
      <c r="O530" s="19"/>
      <c r="P530" s="8"/>
      <c r="Q530" s="7"/>
      <c r="R530" s="7"/>
      <c r="S530" s="17"/>
    </row>
    <row r="531" ht="13.5" customHeight="1">
      <c r="A531" s="8" t="s">
        <v>33</v>
      </c>
      <c r="B531" s="56" t="s">
        <v>167</v>
      </c>
      <c r="C531" s="56" t="s">
        <v>296</v>
      </c>
      <c r="D531" s="56" t="s">
        <v>391</v>
      </c>
      <c r="E531" s="56" t="s">
        <v>2336</v>
      </c>
      <c r="F531" s="56" t="s">
        <v>326</v>
      </c>
      <c r="G531" s="56" t="s">
        <v>759</v>
      </c>
      <c r="H531" s="11" t="s">
        <v>259</v>
      </c>
      <c r="I531" s="11" t="s">
        <v>27</v>
      </c>
      <c r="J531" s="11" t="s">
        <v>635</v>
      </c>
      <c r="K531" s="8"/>
      <c r="L531" s="17"/>
      <c r="M531" s="17"/>
      <c r="N531" s="18"/>
      <c r="O531" s="19"/>
      <c r="P531" s="8"/>
      <c r="Q531" s="7"/>
      <c r="R531" s="7"/>
      <c r="S531" s="17"/>
    </row>
    <row r="532" ht="13.5" customHeight="1">
      <c r="A532" s="8" t="s">
        <v>33</v>
      </c>
      <c r="B532" s="56" t="s">
        <v>167</v>
      </c>
      <c r="C532" s="56" t="s">
        <v>296</v>
      </c>
      <c r="D532" s="56" t="s">
        <v>297</v>
      </c>
      <c r="E532" s="56" t="s">
        <v>2337</v>
      </c>
      <c r="F532" s="56" t="s">
        <v>326</v>
      </c>
      <c r="G532" s="56" t="s">
        <v>641</v>
      </c>
      <c r="H532" s="11" t="s">
        <v>259</v>
      </c>
      <c r="I532" s="11" t="s">
        <v>27</v>
      </c>
      <c r="J532" s="11" t="s">
        <v>635</v>
      </c>
      <c r="K532" s="8"/>
      <c r="L532" s="17"/>
      <c r="M532" s="17"/>
      <c r="N532" s="18"/>
      <c r="O532" s="19"/>
      <c r="P532" s="8"/>
      <c r="Q532" s="7"/>
      <c r="R532" s="7"/>
      <c r="S532" s="17"/>
    </row>
    <row r="533" ht="13.5" customHeight="1">
      <c r="A533" s="8" t="s">
        <v>33</v>
      </c>
      <c r="B533" s="56" t="s">
        <v>167</v>
      </c>
      <c r="C533" s="56" t="s">
        <v>296</v>
      </c>
      <c r="D533" s="56" t="s">
        <v>537</v>
      </c>
      <c r="E533" s="56" t="s">
        <v>2338</v>
      </c>
      <c r="F533" s="56" t="s">
        <v>2339</v>
      </c>
      <c r="G533" s="56" t="s">
        <v>1049</v>
      </c>
      <c r="H533" s="11" t="s">
        <v>670</v>
      </c>
      <c r="I533" s="11" t="s">
        <v>27</v>
      </c>
      <c r="J533" s="11" t="s">
        <v>294</v>
      </c>
      <c r="K533" s="8" t="s">
        <v>1134</v>
      </c>
      <c r="L533" s="17"/>
      <c r="M533" s="17"/>
      <c r="N533" s="18"/>
      <c r="O533" s="19"/>
      <c r="P533" s="8"/>
      <c r="Q533" s="7"/>
      <c r="R533" s="7"/>
      <c r="S533" s="17"/>
    </row>
    <row r="534" ht="13.5" customHeight="1">
      <c r="A534" s="8" t="s">
        <v>33</v>
      </c>
      <c r="B534" s="56" t="s">
        <v>132</v>
      </c>
      <c r="C534" s="56" t="s">
        <v>296</v>
      </c>
      <c r="D534" s="56" t="s">
        <v>537</v>
      </c>
      <c r="E534" s="56" t="s">
        <v>2340</v>
      </c>
      <c r="F534" s="56" t="s">
        <v>2341</v>
      </c>
      <c r="G534" s="56" t="s">
        <v>1049</v>
      </c>
      <c r="H534" s="11" t="s">
        <v>670</v>
      </c>
      <c r="I534" s="11" t="s">
        <v>27</v>
      </c>
      <c r="J534" s="11" t="s">
        <v>294</v>
      </c>
      <c r="K534" s="8" t="s">
        <v>1134</v>
      </c>
      <c r="L534" s="17"/>
      <c r="M534" s="17"/>
      <c r="N534" s="18"/>
      <c r="O534" s="19"/>
      <c r="P534" s="8"/>
      <c r="Q534" s="7"/>
      <c r="R534" s="7"/>
      <c r="S534" s="17"/>
    </row>
    <row r="535" ht="13.5" customHeight="1">
      <c r="A535" s="8" t="s">
        <v>33</v>
      </c>
      <c r="B535" s="56" t="s">
        <v>167</v>
      </c>
      <c r="C535" s="56" t="s">
        <v>296</v>
      </c>
      <c r="D535" s="56" t="s">
        <v>297</v>
      </c>
      <c r="E535" s="56" t="s">
        <v>2342</v>
      </c>
      <c r="F535" s="56" t="s">
        <v>2343</v>
      </c>
      <c r="G535" s="56" t="s">
        <v>2344</v>
      </c>
      <c r="H535" s="12" t="s">
        <v>670</v>
      </c>
      <c r="I535" s="12" t="s">
        <v>260</v>
      </c>
      <c r="J535" s="12" t="s">
        <v>294</v>
      </c>
      <c r="K535" s="12" t="s">
        <v>29</v>
      </c>
      <c r="L535" s="57"/>
      <c r="M535" s="57"/>
      <c r="N535" s="58"/>
      <c r="O535" s="59"/>
      <c r="P535" s="60"/>
      <c r="Q535" s="61"/>
      <c r="R535" s="61"/>
      <c r="S535" s="57"/>
    </row>
    <row r="536" ht="13.5" customHeight="1">
      <c r="A536" s="8" t="s">
        <v>33</v>
      </c>
      <c r="B536" s="56" t="s">
        <v>172</v>
      </c>
      <c r="C536" s="56" t="s">
        <v>296</v>
      </c>
      <c r="D536" s="56" t="s">
        <v>323</v>
      </c>
      <c r="E536" s="56" t="s">
        <v>2345</v>
      </c>
      <c r="F536" s="56" t="s">
        <v>2346</v>
      </c>
      <c r="G536" s="56" t="s">
        <v>2344</v>
      </c>
      <c r="H536" s="12" t="s">
        <v>670</v>
      </c>
      <c r="I536" s="12" t="s">
        <v>260</v>
      </c>
      <c r="J536" s="12" t="s">
        <v>294</v>
      </c>
      <c r="K536" s="12" t="s">
        <v>29</v>
      </c>
      <c r="L536" s="57"/>
      <c r="M536" s="57"/>
      <c r="N536" s="58"/>
      <c r="O536" s="59"/>
      <c r="P536" s="60"/>
      <c r="Q536" s="61"/>
      <c r="R536" s="61"/>
      <c r="S536" s="57"/>
    </row>
    <row r="537" ht="13.5" customHeight="1">
      <c r="A537" s="8" t="s">
        <v>33</v>
      </c>
      <c r="B537" s="56" t="s">
        <v>167</v>
      </c>
      <c r="C537" s="56" t="s">
        <v>296</v>
      </c>
      <c r="D537" s="56" t="s">
        <v>2347</v>
      </c>
      <c r="E537" s="56" t="s">
        <v>2348</v>
      </c>
      <c r="F537" s="56" t="s">
        <v>2349</v>
      </c>
      <c r="G537" s="56" t="s">
        <v>2350</v>
      </c>
      <c r="H537" s="12" t="s">
        <v>670</v>
      </c>
      <c r="I537" s="12" t="s">
        <v>260</v>
      </c>
      <c r="J537" s="11" t="s">
        <v>1302</v>
      </c>
      <c r="K537" s="8"/>
      <c r="L537" s="17"/>
      <c r="M537" s="17"/>
      <c r="N537" s="18"/>
      <c r="O537" s="19"/>
      <c r="P537" s="8"/>
      <c r="Q537" s="7"/>
      <c r="R537" s="7"/>
      <c r="S537" s="17"/>
    </row>
    <row r="538" ht="13.5" customHeight="1">
      <c r="A538" s="8" t="s">
        <v>33</v>
      </c>
      <c r="B538" s="56" t="s">
        <v>132</v>
      </c>
      <c r="C538" s="56" t="s">
        <v>296</v>
      </c>
      <c r="D538" s="56" t="s">
        <v>302</v>
      </c>
      <c r="E538" s="56" t="s">
        <v>2351</v>
      </c>
      <c r="F538" s="56" t="s">
        <v>2352</v>
      </c>
      <c r="G538" s="56" t="s">
        <v>2350</v>
      </c>
      <c r="H538" s="12" t="s">
        <v>670</v>
      </c>
      <c r="I538" s="12" t="s">
        <v>260</v>
      </c>
      <c r="J538" s="11" t="s">
        <v>1302</v>
      </c>
      <c r="K538" s="8"/>
      <c r="L538" s="17"/>
      <c r="M538" s="17"/>
      <c r="N538" s="18"/>
      <c r="O538" s="19"/>
      <c r="P538" s="8"/>
      <c r="Q538" s="7"/>
      <c r="R538" s="7"/>
      <c r="S538" s="17"/>
    </row>
    <row r="539" ht="13.5" customHeight="1">
      <c r="A539" s="8" t="s">
        <v>33</v>
      </c>
      <c r="B539" s="56" t="s">
        <v>167</v>
      </c>
      <c r="C539" s="56" t="s">
        <v>48</v>
      </c>
      <c r="D539" s="56" t="s">
        <v>2235</v>
      </c>
      <c r="E539" s="56" t="s">
        <v>2353</v>
      </c>
      <c r="F539" s="56" t="s">
        <v>2237</v>
      </c>
      <c r="G539" s="56" t="s">
        <v>1228</v>
      </c>
      <c r="H539" s="12" t="s">
        <v>670</v>
      </c>
      <c r="I539" s="11" t="s">
        <v>91</v>
      </c>
      <c r="J539" s="11" t="s">
        <v>1079</v>
      </c>
      <c r="K539" s="8"/>
      <c r="L539" s="17"/>
      <c r="M539" s="17"/>
      <c r="N539" s="18"/>
      <c r="O539" s="19"/>
      <c r="P539" s="8"/>
      <c r="Q539" s="7"/>
      <c r="R539" s="7"/>
      <c r="S539" s="17"/>
    </row>
    <row r="540" ht="13.5" customHeight="1">
      <c r="A540" s="8" t="s">
        <v>33</v>
      </c>
      <c r="B540" s="56" t="s">
        <v>132</v>
      </c>
      <c r="C540" s="56" t="s">
        <v>296</v>
      </c>
      <c r="D540" s="56" t="s">
        <v>302</v>
      </c>
      <c r="E540" s="56" t="s">
        <v>2354</v>
      </c>
      <c r="F540" s="56" t="s">
        <v>2263</v>
      </c>
      <c r="G540" s="56" t="s">
        <v>1228</v>
      </c>
      <c r="H540" s="12" t="s">
        <v>670</v>
      </c>
      <c r="I540" s="11" t="s">
        <v>91</v>
      </c>
      <c r="J540" s="11" t="s">
        <v>1079</v>
      </c>
      <c r="K540" s="8"/>
      <c r="L540" s="17"/>
      <c r="M540" s="17"/>
      <c r="N540" s="18"/>
      <c r="O540" s="19"/>
      <c r="P540" s="8"/>
      <c r="Q540" s="7"/>
      <c r="R540" s="7"/>
      <c r="S540" s="17"/>
    </row>
    <row r="541" ht="13.5" customHeight="1">
      <c r="A541" s="8" t="s">
        <v>33</v>
      </c>
      <c r="B541" s="56" t="s">
        <v>167</v>
      </c>
      <c r="C541" s="56" t="s">
        <v>48</v>
      </c>
      <c r="D541" s="56" t="s">
        <v>2235</v>
      </c>
      <c r="E541" s="56" t="s">
        <v>2355</v>
      </c>
      <c r="F541" s="56" t="s">
        <v>2237</v>
      </c>
      <c r="G541" s="56" t="s">
        <v>1071</v>
      </c>
      <c r="H541" s="12" t="s">
        <v>670</v>
      </c>
      <c r="I541" s="11" t="s">
        <v>91</v>
      </c>
      <c r="J541" s="11" t="s">
        <v>490</v>
      </c>
      <c r="K541" s="8"/>
      <c r="L541" s="17"/>
      <c r="M541" s="17"/>
      <c r="N541" s="18"/>
      <c r="O541" s="19"/>
      <c r="P541" s="8"/>
      <c r="Q541" s="7"/>
      <c r="R541" s="7"/>
      <c r="S541" s="17"/>
    </row>
    <row r="542" ht="13.5" customHeight="1">
      <c r="A542" s="8" t="s">
        <v>33</v>
      </c>
      <c r="B542" s="56" t="s">
        <v>132</v>
      </c>
      <c r="C542" s="56" t="s">
        <v>296</v>
      </c>
      <c r="D542" s="56" t="s">
        <v>2239</v>
      </c>
      <c r="E542" s="62" t="s">
        <v>2356</v>
      </c>
      <c r="F542" s="56" t="s">
        <v>2283</v>
      </c>
      <c r="G542" s="56" t="s">
        <v>1071</v>
      </c>
      <c r="H542" s="12" t="s">
        <v>670</v>
      </c>
      <c r="I542" s="11" t="s">
        <v>91</v>
      </c>
      <c r="J542" s="11" t="s">
        <v>490</v>
      </c>
      <c r="K542" s="8"/>
      <c r="L542" s="17"/>
      <c r="M542" s="17"/>
      <c r="N542" s="18"/>
      <c r="O542" s="19"/>
      <c r="P542" s="8"/>
      <c r="Q542" s="7"/>
      <c r="R542" s="7"/>
      <c r="S542" s="17"/>
    </row>
    <row r="543" ht="13.5" customHeight="1">
      <c r="A543" s="8" t="s">
        <v>33</v>
      </c>
      <c r="B543" s="56" t="s">
        <v>167</v>
      </c>
      <c r="C543" s="56" t="s">
        <v>48</v>
      </c>
      <c r="D543" s="56" t="s">
        <v>2224</v>
      </c>
      <c r="E543" s="62" t="s">
        <v>2357</v>
      </c>
      <c r="F543" s="56" t="s">
        <v>2226</v>
      </c>
      <c r="G543" s="56" t="s">
        <v>2358</v>
      </c>
      <c r="H543" s="12" t="s">
        <v>670</v>
      </c>
      <c r="I543" s="12" t="s">
        <v>260</v>
      </c>
      <c r="J543" s="12" t="s">
        <v>294</v>
      </c>
      <c r="K543" s="8"/>
      <c r="L543" s="17"/>
      <c r="M543" s="17"/>
      <c r="N543" s="18"/>
      <c r="O543" s="19"/>
      <c r="P543" s="8"/>
      <c r="Q543" s="7"/>
      <c r="R543" s="7"/>
      <c r="S543" s="17"/>
    </row>
    <row r="544" ht="13.5" customHeight="1">
      <c r="A544" s="8" t="s">
        <v>33</v>
      </c>
      <c r="B544" s="56" t="s">
        <v>132</v>
      </c>
      <c r="C544" s="56" t="s">
        <v>2359</v>
      </c>
      <c r="D544" s="56" t="s">
        <v>288</v>
      </c>
      <c r="E544" s="62" t="s">
        <v>288</v>
      </c>
      <c r="F544" s="56" t="s">
        <v>2263</v>
      </c>
      <c r="G544" s="56" t="s">
        <v>2358</v>
      </c>
      <c r="H544" s="12" t="s">
        <v>670</v>
      </c>
      <c r="I544" s="12" t="s">
        <v>260</v>
      </c>
      <c r="J544" s="12" t="s">
        <v>294</v>
      </c>
      <c r="K544" s="8" t="s">
        <v>55</v>
      </c>
      <c r="L544" s="17"/>
      <c r="M544" s="17"/>
      <c r="N544" s="18"/>
      <c r="O544" s="19"/>
      <c r="P544" s="8"/>
      <c r="Q544" s="7"/>
      <c r="R544" s="7"/>
      <c r="S544" s="17"/>
    </row>
    <row r="545" ht="13.5" customHeight="1">
      <c r="A545" s="8" t="s">
        <v>33</v>
      </c>
      <c r="B545" s="56" t="s">
        <v>167</v>
      </c>
      <c r="C545" s="56" t="s">
        <v>296</v>
      </c>
      <c r="D545" s="56" t="s">
        <v>297</v>
      </c>
      <c r="E545" s="62" t="s">
        <v>2360</v>
      </c>
      <c r="F545" s="56" t="s">
        <v>2361</v>
      </c>
      <c r="G545" s="56" t="s">
        <v>2362</v>
      </c>
      <c r="H545" s="11" t="s">
        <v>670</v>
      </c>
      <c r="I545" s="11" t="s">
        <v>27</v>
      </c>
      <c r="J545" s="11" t="s">
        <v>684</v>
      </c>
      <c r="K545" s="8"/>
      <c r="L545" s="17"/>
      <c r="M545" s="17"/>
      <c r="N545" s="18"/>
      <c r="O545" s="19"/>
      <c r="P545" s="8"/>
      <c r="Q545" s="7"/>
      <c r="R545" s="7"/>
      <c r="S545" s="17"/>
    </row>
    <row r="546" ht="13.5" customHeight="1">
      <c r="A546" s="8" t="s">
        <v>33</v>
      </c>
      <c r="B546" s="56" t="s">
        <v>132</v>
      </c>
      <c r="C546" s="56" t="s">
        <v>296</v>
      </c>
      <c r="D546" s="56" t="s">
        <v>2363</v>
      </c>
      <c r="E546" s="62"/>
      <c r="F546" s="56"/>
      <c r="G546" s="56" t="s">
        <v>2362</v>
      </c>
      <c r="H546" s="11" t="s">
        <v>670</v>
      </c>
      <c r="I546" s="11" t="s">
        <v>27</v>
      </c>
      <c r="J546" s="11" t="s">
        <v>684</v>
      </c>
      <c r="K546" s="8"/>
      <c r="L546" s="17"/>
      <c r="M546" s="17"/>
      <c r="N546" s="18"/>
      <c r="O546" s="19"/>
      <c r="P546" s="8"/>
      <c r="Q546" s="7"/>
      <c r="R546" s="7"/>
      <c r="S546" s="17"/>
    </row>
    <row r="547" ht="13.5" customHeight="1">
      <c r="A547" s="8" t="s">
        <v>33</v>
      </c>
      <c r="B547" s="56" t="s">
        <v>167</v>
      </c>
      <c r="C547" s="56" t="s">
        <v>296</v>
      </c>
      <c r="D547" s="56" t="s">
        <v>391</v>
      </c>
      <c r="E547" s="62" t="s">
        <v>2364</v>
      </c>
      <c r="F547" s="56" t="s">
        <v>2365</v>
      </c>
      <c r="G547" s="56" t="s">
        <v>749</v>
      </c>
      <c r="H547" s="11" t="s">
        <v>670</v>
      </c>
      <c r="I547" s="11" t="s">
        <v>27</v>
      </c>
      <c r="J547" s="11" t="s">
        <v>684</v>
      </c>
      <c r="K547" s="8"/>
      <c r="L547" s="17"/>
      <c r="M547" s="17"/>
      <c r="N547" s="18"/>
      <c r="O547" s="19"/>
      <c r="P547" s="8"/>
      <c r="Q547" s="7"/>
      <c r="R547" s="7"/>
      <c r="S547" s="17"/>
    </row>
    <row r="548" ht="13.5" customHeight="1">
      <c r="A548" s="8" t="s">
        <v>33</v>
      </c>
      <c r="B548" s="56" t="s">
        <v>132</v>
      </c>
      <c r="C548" s="56" t="s">
        <v>488</v>
      </c>
      <c r="D548" s="56" t="s">
        <v>2366</v>
      </c>
      <c r="E548" s="62" t="s">
        <v>2367</v>
      </c>
      <c r="F548" s="56"/>
      <c r="G548" s="56" t="s">
        <v>749</v>
      </c>
      <c r="H548" s="11" t="s">
        <v>670</v>
      </c>
      <c r="I548" s="11" t="s">
        <v>27</v>
      </c>
      <c r="J548" s="11" t="s">
        <v>684</v>
      </c>
      <c r="K548" s="8"/>
      <c r="L548" s="17"/>
      <c r="M548" s="17"/>
      <c r="N548" s="18"/>
      <c r="O548" s="19"/>
      <c r="P548" s="8"/>
      <c r="Q548" s="7"/>
      <c r="R548" s="7"/>
      <c r="S548" s="17"/>
    </row>
    <row r="549" ht="13.5" customHeight="1">
      <c r="A549" s="8" t="s">
        <v>33</v>
      </c>
      <c r="B549" s="56" t="s">
        <v>167</v>
      </c>
      <c r="C549" s="56" t="s">
        <v>296</v>
      </c>
      <c r="D549" s="56" t="s">
        <v>297</v>
      </c>
      <c r="E549" s="62" t="s">
        <v>2368</v>
      </c>
      <c r="F549" s="56" t="s">
        <v>2369</v>
      </c>
      <c r="G549" s="56" t="s">
        <v>756</v>
      </c>
      <c r="H549" s="11" t="s">
        <v>670</v>
      </c>
      <c r="I549" s="11" t="s">
        <v>27</v>
      </c>
      <c r="J549" s="11" t="s">
        <v>684</v>
      </c>
      <c r="K549" s="8"/>
      <c r="L549" s="17"/>
      <c r="M549" s="17"/>
      <c r="N549" s="18"/>
      <c r="O549" s="19"/>
      <c r="P549" s="8"/>
      <c r="Q549" s="7"/>
      <c r="R549" s="7"/>
      <c r="S549" s="17"/>
    </row>
    <row r="550" ht="13.5" customHeight="1">
      <c r="A550" s="8" t="s">
        <v>33</v>
      </c>
      <c r="B550" s="56" t="s">
        <v>132</v>
      </c>
      <c r="C550" s="56" t="s">
        <v>296</v>
      </c>
      <c r="D550" s="56" t="s">
        <v>2370</v>
      </c>
      <c r="E550" s="62" t="s">
        <v>2371</v>
      </c>
      <c r="F550" s="56"/>
      <c r="G550" s="56" t="s">
        <v>756</v>
      </c>
      <c r="H550" s="11" t="s">
        <v>670</v>
      </c>
      <c r="I550" s="11" t="s">
        <v>27</v>
      </c>
      <c r="J550" s="11" t="s">
        <v>684</v>
      </c>
      <c r="K550" s="8"/>
      <c r="L550" s="17"/>
      <c r="M550" s="17"/>
      <c r="N550" s="18"/>
      <c r="O550" s="19"/>
      <c r="P550" s="8"/>
      <c r="Q550" s="7"/>
      <c r="R550" s="7"/>
      <c r="S550" s="17"/>
    </row>
    <row r="551" ht="13.5" customHeight="1">
      <c r="A551" s="8" t="s">
        <v>33</v>
      </c>
      <c r="B551" s="56" t="s">
        <v>167</v>
      </c>
      <c r="C551" s="56" t="s">
        <v>296</v>
      </c>
      <c r="D551" s="56" t="s">
        <v>2372</v>
      </c>
      <c r="E551" s="56" t="s">
        <v>2373</v>
      </c>
      <c r="F551" s="56" t="s">
        <v>2374</v>
      </c>
      <c r="G551" s="56" t="s">
        <v>709</v>
      </c>
      <c r="H551" s="11" t="s">
        <v>670</v>
      </c>
      <c r="I551" s="11" t="s">
        <v>260</v>
      </c>
      <c r="J551" s="11" t="s">
        <v>684</v>
      </c>
      <c r="K551" s="8" t="s">
        <v>1134</v>
      </c>
      <c r="L551" s="17"/>
      <c r="M551" s="17"/>
      <c r="N551" s="18"/>
      <c r="O551" s="19"/>
      <c r="P551" s="8"/>
      <c r="Q551" s="7"/>
      <c r="R551" s="7"/>
      <c r="S551" s="17"/>
    </row>
    <row r="552" ht="13.5" customHeight="1">
      <c r="A552" s="8" t="s">
        <v>33</v>
      </c>
      <c r="B552" s="56" t="s">
        <v>132</v>
      </c>
      <c r="C552" s="56" t="s">
        <v>296</v>
      </c>
      <c r="D552" s="56" t="s">
        <v>302</v>
      </c>
      <c r="E552" s="56" t="s">
        <v>2375</v>
      </c>
      <c r="F552" s="56"/>
      <c r="G552" s="56" t="s">
        <v>709</v>
      </c>
      <c r="H552" s="11" t="s">
        <v>670</v>
      </c>
      <c r="I552" s="11" t="s">
        <v>260</v>
      </c>
      <c r="J552" s="11" t="s">
        <v>684</v>
      </c>
      <c r="K552" s="8" t="s">
        <v>1134</v>
      </c>
      <c r="L552" s="17"/>
      <c r="M552" s="17"/>
      <c r="N552" s="18"/>
      <c r="O552" s="19"/>
      <c r="P552" s="8"/>
      <c r="Q552" s="7"/>
      <c r="R552" s="7"/>
      <c r="S552" s="17"/>
    </row>
    <row r="553" ht="13.5" customHeight="1">
      <c r="A553" s="8" t="s">
        <v>33</v>
      </c>
      <c r="B553" s="56" t="s">
        <v>167</v>
      </c>
      <c r="C553" s="56" t="s">
        <v>296</v>
      </c>
      <c r="D553" s="56" t="s">
        <v>391</v>
      </c>
      <c r="E553" s="56" t="s">
        <v>2376</v>
      </c>
      <c r="F553" s="56" t="s">
        <v>2377</v>
      </c>
      <c r="G553" s="56" t="s">
        <v>294</v>
      </c>
      <c r="H553" s="11" t="s">
        <v>670</v>
      </c>
      <c r="I553" s="11" t="s">
        <v>91</v>
      </c>
      <c r="J553" s="11" t="s">
        <v>92</v>
      </c>
      <c r="K553" s="8" t="s">
        <v>1134</v>
      </c>
      <c r="L553" s="17"/>
      <c r="M553" s="17"/>
      <c r="N553" s="18"/>
      <c r="O553" s="19"/>
      <c r="P553" s="8"/>
      <c r="Q553" s="7"/>
      <c r="R553" s="7"/>
      <c r="S553" s="17"/>
    </row>
    <row r="554" ht="13.5" customHeight="1">
      <c r="A554" s="8" t="s">
        <v>33</v>
      </c>
      <c r="B554" s="56" t="s">
        <v>132</v>
      </c>
      <c r="C554" s="56" t="s">
        <v>2378</v>
      </c>
      <c r="D554" s="56" t="s">
        <v>2379</v>
      </c>
      <c r="E554" s="56" t="s">
        <v>2380</v>
      </c>
      <c r="F554" s="63"/>
      <c r="G554" s="56" t="s">
        <v>294</v>
      </c>
      <c r="H554" s="11" t="s">
        <v>670</v>
      </c>
      <c r="I554" s="11" t="s">
        <v>91</v>
      </c>
      <c r="J554" s="11" t="s">
        <v>92</v>
      </c>
      <c r="K554" s="8" t="s">
        <v>1134</v>
      </c>
      <c r="L554" s="17"/>
      <c r="M554" s="17"/>
      <c r="N554" s="18"/>
      <c r="O554" s="19"/>
      <c r="P554" s="8"/>
      <c r="Q554" s="7"/>
      <c r="R554" s="7"/>
      <c r="S554" s="17"/>
    </row>
    <row r="555" ht="13.5" customHeight="1">
      <c r="A555" s="8" t="s">
        <v>33</v>
      </c>
      <c r="B555" s="56" t="s">
        <v>167</v>
      </c>
      <c r="C555" s="56" t="s">
        <v>296</v>
      </c>
      <c r="D555" s="56" t="s">
        <v>297</v>
      </c>
      <c r="E555" s="56" t="s">
        <v>2381</v>
      </c>
      <c r="F555" s="56" t="s">
        <v>2382</v>
      </c>
      <c r="G555" s="56" t="s">
        <v>2383</v>
      </c>
      <c r="H555" s="11" t="s">
        <v>670</v>
      </c>
      <c r="I555" s="11" t="s">
        <v>260</v>
      </c>
      <c r="J555" s="11" t="s">
        <v>1302</v>
      </c>
      <c r="K555" s="8"/>
      <c r="L555" s="17"/>
      <c r="M555" s="17"/>
      <c r="N555" s="18"/>
      <c r="O555" s="19"/>
      <c r="P555" s="8"/>
      <c r="Q555" s="7"/>
      <c r="R555" s="7"/>
      <c r="S555" s="17"/>
    </row>
    <row r="556" ht="13.5" customHeight="1">
      <c r="A556" s="8" t="s">
        <v>33</v>
      </c>
      <c r="B556" s="56" t="s">
        <v>132</v>
      </c>
      <c r="C556" s="56" t="s">
        <v>296</v>
      </c>
      <c r="D556" s="56" t="s">
        <v>2384</v>
      </c>
      <c r="E556" s="56" t="s">
        <v>2385</v>
      </c>
      <c r="F556" s="56"/>
      <c r="G556" s="56" t="s">
        <v>2383</v>
      </c>
      <c r="H556" s="11" t="s">
        <v>670</v>
      </c>
      <c r="I556" s="11" t="s">
        <v>260</v>
      </c>
      <c r="J556" s="11" t="s">
        <v>1302</v>
      </c>
      <c r="K556" s="8"/>
      <c r="L556" s="17"/>
      <c r="M556" s="17"/>
      <c r="N556" s="18"/>
      <c r="O556" s="19"/>
      <c r="P556" s="8"/>
      <c r="Q556" s="7"/>
      <c r="R556" s="7"/>
      <c r="S556" s="17"/>
    </row>
    <row r="557" ht="13.5" customHeight="1">
      <c r="A557" s="8"/>
      <c r="B557" s="8"/>
      <c r="C557" s="8"/>
      <c r="D557" s="8"/>
      <c r="E557" s="9"/>
      <c r="F557" s="8"/>
      <c r="G557" s="8"/>
      <c r="H557" s="11"/>
      <c r="I557" s="11"/>
      <c r="J557" s="11"/>
      <c r="K557" s="8"/>
      <c r="L557" s="17"/>
      <c r="M557" s="17"/>
      <c r="N557" s="18"/>
      <c r="O557" s="19"/>
      <c r="P557" s="8"/>
      <c r="Q557" s="7"/>
      <c r="R557" s="7"/>
      <c r="S557" s="17"/>
    </row>
    <row r="559" ht="13.5" customHeight="1">
      <c r="A559" s="8" t="s">
        <v>2386</v>
      </c>
      <c r="B559" s="8" t="s">
        <v>118</v>
      </c>
      <c r="C559" s="8" t="s">
        <v>156</v>
      </c>
      <c r="D559" s="8" t="s">
        <v>537</v>
      </c>
      <c r="E559" s="9" t="s">
        <v>537</v>
      </c>
      <c r="F559" s="8" t="s">
        <v>2387</v>
      </c>
      <c r="G559" s="8" t="s">
        <v>878</v>
      </c>
      <c r="H559" s="11" t="s">
        <v>670</v>
      </c>
      <c r="I559" s="11" t="s">
        <v>260</v>
      </c>
      <c r="J559" s="11" t="s">
        <v>490</v>
      </c>
      <c r="K559" s="8" t="s">
        <v>2388</v>
      </c>
      <c r="L559" s="17"/>
      <c r="M559" s="17"/>
      <c r="N559" s="18"/>
      <c r="O559" s="19"/>
      <c r="P559" s="8" t="s">
        <v>2389</v>
      </c>
      <c r="Q559" s="7"/>
      <c r="R559" s="7"/>
      <c r="S559" s="17"/>
    </row>
    <row r="560" ht="13.5" customHeight="1">
      <c r="A560" s="8" t="s">
        <v>33</v>
      </c>
      <c r="B560" s="8" t="s">
        <v>98</v>
      </c>
      <c r="C560" s="8" t="s">
        <v>99</v>
      </c>
      <c r="D560" s="8" t="s">
        <v>2390</v>
      </c>
      <c r="E560" s="9" t="s">
        <v>2391</v>
      </c>
      <c r="F560" s="8" t="s">
        <v>537</v>
      </c>
      <c r="G560" s="8" t="s">
        <v>878</v>
      </c>
      <c r="H560" s="11" t="s">
        <v>670</v>
      </c>
      <c r="I560" s="11" t="s">
        <v>260</v>
      </c>
      <c r="J560" s="11" t="s">
        <v>490</v>
      </c>
      <c r="K560" s="8" t="s">
        <v>29</v>
      </c>
      <c r="L560" s="17"/>
      <c r="M560" s="17"/>
      <c r="N560" s="18"/>
      <c r="O560" s="19"/>
      <c r="P560" s="8" t="s">
        <v>2392</v>
      </c>
      <c r="Q560" s="7"/>
      <c r="R560" s="7"/>
      <c r="S560" s="17"/>
    </row>
    <row r="561" ht="13.5" customHeight="1">
      <c r="A561" s="8" t="s">
        <v>2393</v>
      </c>
      <c r="B561" s="8" t="s">
        <v>34</v>
      </c>
      <c r="C561" s="8" t="s">
        <v>125</v>
      </c>
      <c r="D561" s="8" t="s">
        <v>492</v>
      </c>
      <c r="E561" s="9" t="s">
        <v>2394</v>
      </c>
      <c r="F561" s="8" t="s">
        <v>537</v>
      </c>
      <c r="G561" s="8" t="s">
        <v>878</v>
      </c>
      <c r="H561" s="11" t="s">
        <v>670</v>
      </c>
      <c r="I561" s="11" t="s">
        <v>260</v>
      </c>
      <c r="J561" s="11" t="s">
        <v>490</v>
      </c>
      <c r="K561" s="8" t="s">
        <v>29</v>
      </c>
      <c r="L561" s="17"/>
      <c r="M561" s="17"/>
      <c r="N561" s="18"/>
      <c r="O561" s="19"/>
      <c r="P561" s="7"/>
      <c r="Q561" s="7"/>
      <c r="R561" s="7"/>
      <c r="S561" s="17"/>
    </row>
    <row r="562" ht="13.5" customHeight="1">
      <c r="A562" s="8" t="s">
        <v>2395</v>
      </c>
      <c r="B562" s="8" t="s">
        <v>41</v>
      </c>
      <c r="C562" s="8" t="s">
        <v>153</v>
      </c>
      <c r="D562" s="8" t="s">
        <v>2396</v>
      </c>
      <c r="E562" s="9" t="s">
        <v>2397</v>
      </c>
      <c r="F562" s="8" t="s">
        <v>537</v>
      </c>
      <c r="G562" s="8" t="s">
        <v>878</v>
      </c>
      <c r="H562" s="11" t="s">
        <v>670</v>
      </c>
      <c r="I562" s="11" t="s">
        <v>260</v>
      </c>
      <c r="J562" s="11" t="s">
        <v>490</v>
      </c>
      <c r="K562" s="8" t="s">
        <v>29</v>
      </c>
      <c r="L562" s="17"/>
      <c r="M562" s="17"/>
      <c r="N562" s="18"/>
      <c r="O562" s="19"/>
      <c r="P562" s="7"/>
      <c r="Q562" s="7"/>
      <c r="R562" s="7"/>
      <c r="S562" s="17"/>
    </row>
    <row r="563" ht="13.5" customHeight="1">
      <c r="A563" s="8" t="s">
        <v>2398</v>
      </c>
      <c r="B563" s="8" t="s">
        <v>2399</v>
      </c>
      <c r="C563" s="8" t="s">
        <v>378</v>
      </c>
      <c r="D563" s="8" t="s">
        <v>2400</v>
      </c>
      <c r="E563" s="9" t="s">
        <v>2401</v>
      </c>
      <c r="F563" s="8" t="s">
        <v>537</v>
      </c>
      <c r="G563" s="8" t="s">
        <v>878</v>
      </c>
      <c r="H563" s="11" t="s">
        <v>670</v>
      </c>
      <c r="I563" s="11" t="s">
        <v>260</v>
      </c>
      <c r="J563" s="11" t="s">
        <v>490</v>
      </c>
      <c r="K563" s="8" t="s">
        <v>29</v>
      </c>
      <c r="L563" s="17"/>
      <c r="M563" s="17"/>
      <c r="N563" s="18"/>
      <c r="O563" s="19"/>
      <c r="P563" s="7"/>
      <c r="Q563" s="7"/>
      <c r="R563" s="7"/>
      <c r="S563" s="17"/>
    </row>
    <row r="564" ht="13.5" customHeight="1">
      <c r="A564" s="8" t="s">
        <v>33</v>
      </c>
      <c r="B564" s="8" t="s">
        <v>167</v>
      </c>
      <c r="C564" s="8" t="s">
        <v>2402</v>
      </c>
      <c r="D564" s="8" t="s">
        <v>2224</v>
      </c>
      <c r="E564" s="9" t="s">
        <v>2357</v>
      </c>
      <c r="F564" s="8" t="s">
        <v>2403</v>
      </c>
      <c r="G564" s="8" t="s">
        <v>84</v>
      </c>
      <c r="H564" s="11" t="s">
        <v>670</v>
      </c>
      <c r="I564" s="11" t="s">
        <v>260</v>
      </c>
      <c r="J564" s="11" t="s">
        <v>294</v>
      </c>
      <c r="K564" s="8" t="s">
        <v>212</v>
      </c>
      <c r="L564" s="17"/>
      <c r="M564" s="17"/>
      <c r="N564" s="18"/>
      <c r="O564" s="19"/>
      <c r="P564" s="7"/>
      <c r="Q564" s="7"/>
      <c r="R564" s="7"/>
      <c r="S564" s="17"/>
    </row>
    <row r="565" ht="13.5" customHeight="1">
      <c r="A565" s="8" t="s">
        <v>2404</v>
      </c>
      <c r="B565" s="8" t="s">
        <v>132</v>
      </c>
      <c r="C565" s="8" t="s">
        <v>2359</v>
      </c>
      <c r="D565" s="8" t="s">
        <v>1899</v>
      </c>
      <c r="E565" s="9" t="s">
        <v>537</v>
      </c>
      <c r="F565" s="8" t="s">
        <v>537</v>
      </c>
      <c r="G565" s="8" t="s">
        <v>84</v>
      </c>
      <c r="H565" s="11" t="s">
        <v>670</v>
      </c>
      <c r="I565" s="11" t="s">
        <v>260</v>
      </c>
      <c r="J565" s="11" t="s">
        <v>294</v>
      </c>
      <c r="K565" s="8" t="s">
        <v>212</v>
      </c>
      <c r="L565" s="17"/>
      <c r="M565" s="17"/>
      <c r="N565" s="18"/>
      <c r="O565" s="19"/>
      <c r="P565" s="7"/>
      <c r="Q565" s="7"/>
      <c r="R565" s="7"/>
      <c r="S565" s="17"/>
    </row>
    <row r="566" ht="13.5" customHeight="1">
      <c r="A566" s="8" t="s">
        <v>2405</v>
      </c>
      <c r="B566" s="8" t="s">
        <v>67</v>
      </c>
      <c r="C566" s="8" t="s">
        <v>270</v>
      </c>
      <c r="D566" s="8" t="s">
        <v>2406</v>
      </c>
      <c r="E566" s="9" t="s">
        <v>2407</v>
      </c>
      <c r="F566" s="8" t="s">
        <v>553</v>
      </c>
      <c r="G566" s="8" t="s">
        <v>2408</v>
      </c>
      <c r="H566" s="11" t="s">
        <v>670</v>
      </c>
      <c r="I566" s="11" t="s">
        <v>91</v>
      </c>
      <c r="J566" s="11" t="s">
        <v>2409</v>
      </c>
      <c r="K566" s="8" t="s">
        <v>29</v>
      </c>
      <c r="L566" s="17"/>
      <c r="M566" s="17"/>
      <c r="N566" s="18"/>
      <c r="O566" s="19"/>
      <c r="P566" s="8" t="s">
        <v>2410</v>
      </c>
      <c r="Q566" s="7"/>
      <c r="R566" s="7"/>
      <c r="S566" s="17"/>
    </row>
    <row r="567" ht="13.5" customHeight="1">
      <c r="A567" s="8" t="s">
        <v>2411</v>
      </c>
      <c r="B567" s="8" t="s">
        <v>98</v>
      </c>
      <c r="C567" s="8" t="s">
        <v>48</v>
      </c>
      <c r="D567" s="8" t="s">
        <v>2412</v>
      </c>
      <c r="E567" s="9" t="s">
        <v>2413</v>
      </c>
      <c r="F567" s="8" t="s">
        <v>537</v>
      </c>
      <c r="G567" s="8" t="s">
        <v>2408</v>
      </c>
      <c r="H567" s="11" t="s">
        <v>670</v>
      </c>
      <c r="I567" s="11" t="s">
        <v>91</v>
      </c>
      <c r="J567" s="11" t="s">
        <v>2409</v>
      </c>
      <c r="K567" s="8" t="s">
        <v>29</v>
      </c>
      <c r="L567" s="17"/>
      <c r="M567" s="17"/>
      <c r="N567" s="18"/>
      <c r="O567" s="19"/>
      <c r="P567" s="7"/>
      <c r="Q567" s="7"/>
      <c r="R567" s="7"/>
      <c r="S567" s="17"/>
    </row>
    <row r="568" ht="13.5" customHeight="1">
      <c r="A568" s="8" t="s">
        <v>2414</v>
      </c>
      <c r="B568" s="8" t="s">
        <v>132</v>
      </c>
      <c r="C568" s="8" t="s">
        <v>270</v>
      </c>
      <c r="D568" s="8" t="s">
        <v>556</v>
      </c>
      <c r="E568" s="9" t="s">
        <v>557</v>
      </c>
      <c r="F568" s="8" t="s">
        <v>537</v>
      </c>
      <c r="G568" s="8" t="s">
        <v>2408</v>
      </c>
      <c r="H568" s="11" t="s">
        <v>670</v>
      </c>
      <c r="I568" s="11" t="s">
        <v>91</v>
      </c>
      <c r="J568" s="11" t="s">
        <v>2409</v>
      </c>
      <c r="K568" s="8" t="s">
        <v>29</v>
      </c>
      <c r="L568" s="17"/>
      <c r="M568" s="17"/>
      <c r="N568" s="18"/>
      <c r="O568" s="19"/>
      <c r="P568" s="7"/>
      <c r="Q568" s="7"/>
      <c r="R568" s="7"/>
      <c r="S568" s="17"/>
    </row>
    <row r="569" ht="13.5" customHeight="1">
      <c r="A569" s="8" t="s">
        <v>2415</v>
      </c>
      <c r="B569" s="8" t="s">
        <v>34</v>
      </c>
      <c r="C569" s="8" t="s">
        <v>2416</v>
      </c>
      <c r="D569" s="8" t="s">
        <v>2417</v>
      </c>
      <c r="E569" s="9" t="s">
        <v>2418</v>
      </c>
      <c r="F569" s="8" t="s">
        <v>537</v>
      </c>
      <c r="G569" s="8" t="s">
        <v>2408</v>
      </c>
      <c r="H569" s="11" t="s">
        <v>670</v>
      </c>
      <c r="I569" s="11" t="s">
        <v>91</v>
      </c>
      <c r="J569" s="11" t="s">
        <v>2409</v>
      </c>
      <c r="K569" s="8" t="s">
        <v>29</v>
      </c>
      <c r="L569" s="17"/>
      <c r="M569" s="17"/>
      <c r="N569" s="18"/>
      <c r="O569" s="19"/>
      <c r="P569" s="7"/>
      <c r="Q569" s="7"/>
      <c r="R569" s="7"/>
      <c r="S569" s="17"/>
    </row>
    <row r="570" ht="13.5" customHeight="1">
      <c r="A570" s="8" t="s">
        <v>2419</v>
      </c>
      <c r="B570" s="8" t="s">
        <v>253</v>
      </c>
      <c r="C570" s="8" t="s">
        <v>254</v>
      </c>
      <c r="D570" s="8" t="s">
        <v>2420</v>
      </c>
      <c r="E570" s="9" t="s">
        <v>2421</v>
      </c>
      <c r="F570" s="8" t="s">
        <v>537</v>
      </c>
      <c r="G570" s="8" t="s">
        <v>2408</v>
      </c>
      <c r="H570" s="11" t="s">
        <v>670</v>
      </c>
      <c r="I570" s="11" t="s">
        <v>91</v>
      </c>
      <c r="J570" s="11" t="s">
        <v>2409</v>
      </c>
      <c r="K570" s="8" t="s">
        <v>29</v>
      </c>
      <c r="L570" s="17"/>
      <c r="M570" s="17"/>
      <c r="N570" s="18"/>
      <c r="O570" s="19"/>
      <c r="P570" s="7"/>
      <c r="Q570" s="7"/>
      <c r="R570" s="7"/>
      <c r="S570" s="17"/>
    </row>
    <row r="571" ht="13.5" customHeight="1">
      <c r="A571" s="8" t="s">
        <v>124</v>
      </c>
      <c r="B571" s="8" t="s">
        <v>67</v>
      </c>
      <c r="C571" s="8" t="s">
        <v>270</v>
      </c>
      <c r="D571" s="8" t="s">
        <v>2422</v>
      </c>
      <c r="E571" s="9" t="s">
        <v>2423</v>
      </c>
      <c r="F571" s="8" t="s">
        <v>2424</v>
      </c>
      <c r="G571" s="8" t="s">
        <v>950</v>
      </c>
      <c r="H571" s="11" t="s">
        <v>670</v>
      </c>
      <c r="I571" s="11" t="s">
        <v>91</v>
      </c>
      <c r="J571" s="11" t="s">
        <v>1079</v>
      </c>
      <c r="K571" s="8" t="s">
        <v>537</v>
      </c>
      <c r="L571" s="17"/>
      <c r="M571" s="17"/>
      <c r="N571" s="18"/>
      <c r="O571" s="19"/>
      <c r="P571" s="7"/>
      <c r="Q571" s="7"/>
      <c r="R571" s="7"/>
      <c r="S571" s="17"/>
    </row>
    <row r="572" ht="13.5" customHeight="1">
      <c r="A572" s="8" t="s">
        <v>33</v>
      </c>
      <c r="B572" s="8" t="s">
        <v>132</v>
      </c>
      <c r="C572" s="8" t="s">
        <v>473</v>
      </c>
      <c r="D572" s="8" t="s">
        <v>1783</v>
      </c>
      <c r="E572" s="9" t="s">
        <v>2425</v>
      </c>
      <c r="F572" s="8" t="s">
        <v>537</v>
      </c>
      <c r="G572" s="8" t="s">
        <v>950</v>
      </c>
      <c r="H572" s="11" t="s">
        <v>670</v>
      </c>
      <c r="I572" s="11" t="s">
        <v>91</v>
      </c>
      <c r="J572" s="11" t="s">
        <v>1079</v>
      </c>
      <c r="K572" s="8" t="s">
        <v>537</v>
      </c>
      <c r="L572" s="17"/>
      <c r="M572" s="17"/>
      <c r="N572" s="18"/>
      <c r="O572" s="19"/>
      <c r="P572" s="7"/>
      <c r="Q572" s="7"/>
      <c r="R572" s="7"/>
      <c r="S572" s="17"/>
    </row>
    <row r="573" ht="13.5" customHeight="1">
      <c r="A573" s="8" t="s">
        <v>33</v>
      </c>
      <c r="B573" s="8" t="s">
        <v>34</v>
      </c>
      <c r="C573" s="8" t="s">
        <v>153</v>
      </c>
      <c r="D573" s="8" t="s">
        <v>1763</v>
      </c>
      <c r="E573" s="9" t="s">
        <v>537</v>
      </c>
      <c r="F573" s="8" t="s">
        <v>537</v>
      </c>
      <c r="G573" s="8" t="s">
        <v>950</v>
      </c>
      <c r="H573" s="11" t="s">
        <v>670</v>
      </c>
      <c r="I573" s="11" t="s">
        <v>91</v>
      </c>
      <c r="J573" s="11" t="s">
        <v>1079</v>
      </c>
      <c r="K573" s="8" t="s">
        <v>675</v>
      </c>
      <c r="L573" s="17"/>
      <c r="M573" s="17"/>
      <c r="N573" s="18"/>
      <c r="O573" s="19"/>
      <c r="P573" s="7"/>
      <c r="Q573" s="7"/>
      <c r="R573" s="7"/>
      <c r="S573" s="17"/>
    </row>
    <row r="574" ht="13.5" customHeight="1">
      <c r="A574" s="8" t="s">
        <v>2426</v>
      </c>
      <c r="B574" s="8" t="s">
        <v>34</v>
      </c>
      <c r="C574" s="8" t="s">
        <v>139</v>
      </c>
      <c r="D574" s="8" t="s">
        <v>245</v>
      </c>
      <c r="E574" s="9" t="s">
        <v>2427</v>
      </c>
      <c r="F574" s="8" t="s">
        <v>537</v>
      </c>
      <c r="G574" s="8" t="s">
        <v>950</v>
      </c>
      <c r="H574" s="11" t="s">
        <v>670</v>
      </c>
      <c r="I574" s="11" t="s">
        <v>91</v>
      </c>
      <c r="J574" s="11" t="s">
        <v>1079</v>
      </c>
      <c r="K574" s="8" t="s">
        <v>2428</v>
      </c>
      <c r="L574" s="17"/>
      <c r="M574" s="17"/>
      <c r="N574" s="18"/>
      <c r="O574" s="19"/>
      <c r="P574" s="8" t="s">
        <v>2429</v>
      </c>
      <c r="Q574" s="7"/>
      <c r="R574" s="7"/>
      <c r="S574" s="17"/>
    </row>
    <row r="575" ht="13.5" customHeight="1">
      <c r="A575" s="8" t="s">
        <v>33</v>
      </c>
      <c r="B575" s="8" t="s">
        <v>167</v>
      </c>
      <c r="C575" s="8" t="s">
        <v>296</v>
      </c>
      <c r="D575" s="8" t="s">
        <v>391</v>
      </c>
      <c r="E575" s="9" t="s">
        <v>2430</v>
      </c>
      <c r="F575" s="8" t="s">
        <v>2431</v>
      </c>
      <c r="G575" s="8" t="s">
        <v>950</v>
      </c>
      <c r="H575" s="11" t="s">
        <v>670</v>
      </c>
      <c r="I575" s="11" t="s">
        <v>91</v>
      </c>
      <c r="J575" s="11" t="s">
        <v>1079</v>
      </c>
      <c r="K575" s="8" t="s">
        <v>537</v>
      </c>
      <c r="L575" s="17"/>
      <c r="M575" s="17"/>
      <c r="N575" s="18"/>
      <c r="O575" s="19"/>
      <c r="P575" s="7"/>
      <c r="Q575" s="7"/>
      <c r="R575" s="7"/>
      <c r="S575" s="17"/>
    </row>
    <row r="576" ht="13.5" customHeight="1">
      <c r="A576" s="8" t="s">
        <v>33</v>
      </c>
      <c r="B576" s="8" t="s">
        <v>132</v>
      </c>
      <c r="C576" s="8" t="s">
        <v>296</v>
      </c>
      <c r="D576" s="8" t="s">
        <v>323</v>
      </c>
      <c r="E576" s="9" t="s">
        <v>2432</v>
      </c>
      <c r="F576" s="8" t="s">
        <v>537</v>
      </c>
      <c r="G576" s="8" t="s">
        <v>950</v>
      </c>
      <c r="H576" s="11" t="s">
        <v>670</v>
      </c>
      <c r="I576" s="11" t="s">
        <v>91</v>
      </c>
      <c r="J576" s="11" t="s">
        <v>1079</v>
      </c>
      <c r="K576" s="8" t="s">
        <v>537</v>
      </c>
      <c r="L576" s="17"/>
      <c r="M576" s="17"/>
      <c r="N576" s="18"/>
      <c r="O576" s="19"/>
      <c r="P576" s="7"/>
      <c r="Q576" s="7"/>
      <c r="R576" s="7"/>
      <c r="S576" s="17"/>
    </row>
    <row r="577" ht="13.5" customHeight="1">
      <c r="A577" s="8" t="s">
        <v>33</v>
      </c>
      <c r="B577" s="8" t="s">
        <v>118</v>
      </c>
      <c r="C577" s="8" t="s">
        <v>2433</v>
      </c>
      <c r="D577" s="8" t="s">
        <v>537</v>
      </c>
      <c r="E577" s="9" t="s">
        <v>537</v>
      </c>
      <c r="F577" s="8" t="s">
        <v>2434</v>
      </c>
      <c r="G577" s="8" t="s">
        <v>84</v>
      </c>
      <c r="H577" s="11" t="s">
        <v>670</v>
      </c>
      <c r="I577" s="11" t="s">
        <v>91</v>
      </c>
      <c r="J577" s="11" t="s">
        <v>275</v>
      </c>
      <c r="K577" s="8" t="s">
        <v>675</v>
      </c>
      <c r="L577" s="17"/>
      <c r="M577" s="17"/>
      <c r="N577" s="18"/>
      <c r="O577" s="19"/>
      <c r="P577" s="7"/>
      <c r="Q577" s="7"/>
      <c r="R577" s="7"/>
      <c r="S577" s="17"/>
    </row>
    <row r="578" ht="13.5" customHeight="1">
      <c r="A578" s="8" t="s">
        <v>33</v>
      </c>
      <c r="B578" s="8" t="s">
        <v>98</v>
      </c>
      <c r="C578" s="8" t="s">
        <v>99</v>
      </c>
      <c r="D578" s="8" t="s">
        <v>2390</v>
      </c>
      <c r="E578" s="9" t="s">
        <v>2435</v>
      </c>
      <c r="F578" s="8" t="s">
        <v>537</v>
      </c>
      <c r="G578" s="8" t="s">
        <v>84</v>
      </c>
      <c r="H578" s="11" t="s">
        <v>670</v>
      </c>
      <c r="I578" s="11" t="s">
        <v>91</v>
      </c>
      <c r="J578" s="11" t="s">
        <v>275</v>
      </c>
      <c r="K578" s="8" t="s">
        <v>675</v>
      </c>
      <c r="L578" s="17"/>
      <c r="M578" s="17"/>
      <c r="N578" s="18"/>
      <c r="O578" s="19"/>
      <c r="P578" s="7"/>
      <c r="Q578" s="7"/>
      <c r="R578" s="7"/>
      <c r="S578" s="17"/>
    </row>
    <row r="579" ht="13.5" customHeight="1">
      <c r="A579" s="8" t="s">
        <v>33</v>
      </c>
      <c r="B579" s="8" t="s">
        <v>41</v>
      </c>
      <c r="C579" s="8" t="s">
        <v>153</v>
      </c>
      <c r="D579" s="8" t="s">
        <v>348</v>
      </c>
      <c r="E579" s="9" t="s">
        <v>1859</v>
      </c>
      <c r="F579" s="8" t="s">
        <v>537</v>
      </c>
      <c r="G579" s="8" t="s">
        <v>1389</v>
      </c>
      <c r="H579" s="11" t="s">
        <v>670</v>
      </c>
      <c r="I579" s="11" t="s">
        <v>27</v>
      </c>
      <c r="J579" s="11" t="s">
        <v>684</v>
      </c>
      <c r="K579" s="8" t="s">
        <v>675</v>
      </c>
      <c r="L579" s="17"/>
      <c r="M579" s="17"/>
      <c r="N579" s="18"/>
      <c r="O579" s="19"/>
      <c r="P579" s="7"/>
      <c r="Q579" s="7"/>
      <c r="R579" s="7"/>
      <c r="S579" s="17"/>
    </row>
    <row r="580" ht="13.5" customHeight="1">
      <c r="A580" s="8" t="s">
        <v>33</v>
      </c>
      <c r="B580" s="8" t="s">
        <v>34</v>
      </c>
      <c r="C580" s="8" t="s">
        <v>153</v>
      </c>
      <c r="D580" s="8" t="s">
        <v>1763</v>
      </c>
      <c r="E580" s="9" t="s">
        <v>537</v>
      </c>
      <c r="F580" s="8" t="s">
        <v>537</v>
      </c>
      <c r="G580" s="8" t="s">
        <v>84</v>
      </c>
      <c r="H580" s="11" t="s">
        <v>670</v>
      </c>
      <c r="I580" s="11" t="s">
        <v>91</v>
      </c>
      <c r="J580" s="11" t="s">
        <v>275</v>
      </c>
      <c r="K580" s="8" t="s">
        <v>675</v>
      </c>
      <c r="L580" s="17"/>
      <c r="M580" s="17"/>
      <c r="N580" s="18"/>
      <c r="O580" s="19"/>
      <c r="P580" s="7"/>
      <c r="Q580" s="7"/>
      <c r="R580" s="7"/>
      <c r="S580" s="17"/>
    </row>
    <row r="581" ht="13.5" customHeight="1">
      <c r="A581" s="8" t="s">
        <v>33</v>
      </c>
      <c r="B581" s="8" t="s">
        <v>290</v>
      </c>
      <c r="C581" s="8" t="s">
        <v>2436</v>
      </c>
      <c r="D581" s="8" t="s">
        <v>537</v>
      </c>
      <c r="E581" s="9" t="s">
        <v>537</v>
      </c>
      <c r="F581" s="8" t="s">
        <v>537</v>
      </c>
      <c r="G581" s="8" t="s">
        <v>84</v>
      </c>
      <c r="H581" s="8" t="s">
        <v>670</v>
      </c>
      <c r="I581" s="8" t="s">
        <v>91</v>
      </c>
      <c r="J581" s="8" t="s">
        <v>275</v>
      </c>
      <c r="K581" s="8" t="s">
        <v>675</v>
      </c>
      <c r="L581" s="17"/>
      <c r="M581" s="17"/>
      <c r="N581" s="18"/>
      <c r="O581" s="19"/>
      <c r="P581" s="7"/>
      <c r="Q581" s="7"/>
      <c r="R581" s="7"/>
      <c r="S581" s="17"/>
    </row>
    <row r="582" ht="13.5" customHeight="1">
      <c r="A582" s="8" t="s">
        <v>33</v>
      </c>
      <c r="B582" s="8" t="s">
        <v>118</v>
      </c>
      <c r="C582" s="8" t="s">
        <v>2433</v>
      </c>
      <c r="D582" s="8" t="s">
        <v>537</v>
      </c>
      <c r="E582" s="9" t="s">
        <v>537</v>
      </c>
      <c r="F582" s="8" t="s">
        <v>2434</v>
      </c>
      <c r="G582" s="8" t="s">
        <v>84</v>
      </c>
      <c r="H582" s="11" t="s">
        <v>670</v>
      </c>
      <c r="I582" s="11" t="s">
        <v>91</v>
      </c>
      <c r="J582" s="11" t="s">
        <v>275</v>
      </c>
      <c r="K582" s="8" t="s">
        <v>675</v>
      </c>
      <c r="L582" s="17"/>
      <c r="M582" s="17"/>
      <c r="N582" s="18"/>
      <c r="O582" s="19"/>
      <c r="P582" s="7"/>
      <c r="Q582" s="7"/>
      <c r="R582" s="7"/>
      <c r="S582" s="17"/>
    </row>
    <row r="583" ht="13.5" customHeight="1">
      <c r="A583" s="8" t="s">
        <v>2437</v>
      </c>
      <c r="B583" s="8" t="s">
        <v>98</v>
      </c>
      <c r="C583" s="8" t="s">
        <v>48</v>
      </c>
      <c r="D583" s="8" t="s">
        <v>2438</v>
      </c>
      <c r="E583" s="9" t="s">
        <v>2439</v>
      </c>
      <c r="F583" s="8" t="s">
        <v>537</v>
      </c>
      <c r="G583" s="8" t="s">
        <v>84</v>
      </c>
      <c r="H583" s="11" t="s">
        <v>670</v>
      </c>
      <c r="I583" s="11" t="s">
        <v>91</v>
      </c>
      <c r="J583" s="11" t="s">
        <v>275</v>
      </c>
      <c r="K583" s="8" t="s">
        <v>675</v>
      </c>
      <c r="L583" s="17"/>
      <c r="M583" s="17"/>
      <c r="N583" s="18"/>
      <c r="O583" s="19"/>
      <c r="P583" s="7"/>
      <c r="Q583" s="7"/>
      <c r="R583" s="7"/>
      <c r="S583" s="17"/>
    </row>
    <row r="584" ht="13.5" customHeight="1">
      <c r="A584" s="8" t="s">
        <v>33</v>
      </c>
      <c r="B584" s="8" t="s">
        <v>41</v>
      </c>
      <c r="C584" s="8" t="s">
        <v>153</v>
      </c>
      <c r="D584" s="8" t="s">
        <v>348</v>
      </c>
      <c r="E584" s="9" t="s">
        <v>2440</v>
      </c>
      <c r="F584" s="8" t="s">
        <v>537</v>
      </c>
      <c r="G584" s="8" t="s">
        <v>84</v>
      </c>
      <c r="H584" s="11" t="s">
        <v>670</v>
      </c>
      <c r="I584" s="11" t="s">
        <v>91</v>
      </c>
      <c r="J584" s="11" t="s">
        <v>275</v>
      </c>
      <c r="K584" s="8" t="s">
        <v>675</v>
      </c>
      <c r="L584" s="17"/>
      <c r="M584" s="17"/>
      <c r="N584" s="18"/>
      <c r="O584" s="19"/>
      <c r="P584" s="7"/>
      <c r="Q584" s="7"/>
      <c r="R584" s="7"/>
      <c r="S584" s="17"/>
    </row>
    <row r="585" ht="13.5" customHeight="1">
      <c r="A585" s="8" t="s">
        <v>33</v>
      </c>
      <c r="B585" s="8" t="s">
        <v>34</v>
      </c>
      <c r="C585" s="8" t="s">
        <v>153</v>
      </c>
      <c r="D585" s="8" t="s">
        <v>1763</v>
      </c>
      <c r="E585" s="9" t="s">
        <v>537</v>
      </c>
      <c r="F585" s="8" t="s">
        <v>537</v>
      </c>
      <c r="G585" s="8" t="s">
        <v>84</v>
      </c>
      <c r="H585" s="11" t="s">
        <v>670</v>
      </c>
      <c r="I585" s="11" t="s">
        <v>91</v>
      </c>
      <c r="J585" s="11" t="s">
        <v>275</v>
      </c>
      <c r="K585" s="8" t="s">
        <v>675</v>
      </c>
      <c r="L585" s="17"/>
      <c r="M585" s="17"/>
      <c r="N585" s="18"/>
      <c r="O585" s="19"/>
      <c r="P585" s="7"/>
      <c r="Q585" s="7"/>
      <c r="R585" s="7"/>
      <c r="S585" s="17"/>
    </row>
    <row r="586" ht="13.5" customHeight="1">
      <c r="A586" s="8" t="s">
        <v>33</v>
      </c>
      <c r="B586" s="8" t="s">
        <v>290</v>
      </c>
      <c r="C586" s="8" t="s">
        <v>2436</v>
      </c>
      <c r="D586" s="8" t="s">
        <v>537</v>
      </c>
      <c r="E586" s="9" t="s">
        <v>537</v>
      </c>
      <c r="F586" s="8" t="s">
        <v>537</v>
      </c>
      <c r="G586" s="8" t="s">
        <v>84</v>
      </c>
      <c r="H586" s="8" t="s">
        <v>670</v>
      </c>
      <c r="I586" s="8" t="s">
        <v>91</v>
      </c>
      <c r="J586" s="8" t="s">
        <v>275</v>
      </c>
      <c r="K586" s="8" t="s">
        <v>675</v>
      </c>
      <c r="L586" s="17"/>
      <c r="M586" s="17"/>
      <c r="N586" s="18"/>
      <c r="O586" s="19"/>
      <c r="P586" s="7"/>
      <c r="Q586" s="7"/>
      <c r="R586" s="7"/>
      <c r="S586" s="17"/>
    </row>
    <row r="587" ht="13.5" customHeight="1">
      <c r="A587" s="8" t="s">
        <v>33</v>
      </c>
      <c r="B587" s="8" t="s">
        <v>79</v>
      </c>
      <c r="C587" s="8" t="s">
        <v>21</v>
      </c>
      <c r="D587" s="8" t="s">
        <v>664</v>
      </c>
      <c r="E587" s="9" t="s">
        <v>2441</v>
      </c>
      <c r="F587" s="8" t="s">
        <v>2442</v>
      </c>
      <c r="G587" s="8" t="s">
        <v>84</v>
      </c>
      <c r="H587" s="11" t="s">
        <v>670</v>
      </c>
      <c r="I587" s="11" t="s">
        <v>260</v>
      </c>
      <c r="J587" s="11" t="s">
        <v>490</v>
      </c>
      <c r="K587" s="8" t="s">
        <v>29</v>
      </c>
      <c r="L587" s="17"/>
      <c r="M587" s="17"/>
      <c r="N587" s="18"/>
      <c r="O587" s="19"/>
      <c r="P587" s="7"/>
      <c r="Q587" s="7"/>
      <c r="R587" s="7"/>
      <c r="S587" s="17"/>
    </row>
    <row r="588" ht="13.5" customHeight="1">
      <c r="A588" s="8" t="s">
        <v>33</v>
      </c>
      <c r="B588" s="8" t="s">
        <v>2443</v>
      </c>
      <c r="C588" s="8" t="s">
        <v>223</v>
      </c>
      <c r="D588" s="8" t="s">
        <v>2444</v>
      </c>
      <c r="E588" s="9" t="s">
        <v>2445</v>
      </c>
      <c r="F588" s="8" t="s">
        <v>537</v>
      </c>
      <c r="G588" s="8" t="s">
        <v>84</v>
      </c>
      <c r="H588" s="11" t="s">
        <v>670</v>
      </c>
      <c r="I588" s="11" t="s">
        <v>260</v>
      </c>
      <c r="J588" s="11" t="s">
        <v>490</v>
      </c>
      <c r="K588" s="8" t="s">
        <v>29</v>
      </c>
      <c r="L588" s="17"/>
      <c r="M588" s="17"/>
      <c r="N588" s="18"/>
      <c r="O588" s="19"/>
      <c r="P588" s="7"/>
      <c r="Q588" s="7"/>
      <c r="R588" s="7"/>
      <c r="S588" s="17"/>
    </row>
    <row r="589" ht="13.5" customHeight="1">
      <c r="A589" s="8" t="s">
        <v>33</v>
      </c>
      <c r="B589" s="8" t="s">
        <v>34</v>
      </c>
      <c r="C589" s="8" t="s">
        <v>2130</v>
      </c>
      <c r="D589" s="8" t="s">
        <v>2446</v>
      </c>
      <c r="E589" s="9" t="s">
        <v>537</v>
      </c>
      <c r="F589" s="8" t="s">
        <v>537</v>
      </c>
      <c r="G589" s="8" t="s">
        <v>84</v>
      </c>
      <c r="H589" s="11" t="s">
        <v>670</v>
      </c>
      <c r="I589" s="11" t="s">
        <v>260</v>
      </c>
      <c r="J589" s="11" t="s">
        <v>294</v>
      </c>
      <c r="K589" s="8" t="s">
        <v>675</v>
      </c>
      <c r="L589" s="17"/>
      <c r="M589" s="17"/>
      <c r="N589" s="18"/>
      <c r="O589" s="19"/>
      <c r="P589" s="7"/>
      <c r="Q589" s="7"/>
      <c r="R589" s="7"/>
      <c r="S589" s="17"/>
    </row>
    <row r="590" ht="13.5" customHeight="1">
      <c r="A590" s="8" t="s">
        <v>33</v>
      </c>
      <c r="B590" s="8" t="s">
        <v>1930</v>
      </c>
      <c r="C590" s="8" t="s">
        <v>287</v>
      </c>
      <c r="D590" s="8" t="s">
        <v>2447</v>
      </c>
      <c r="E590" s="9" t="s">
        <v>2448</v>
      </c>
      <c r="F590" s="8" t="s">
        <v>537</v>
      </c>
      <c r="G590" s="8" t="s">
        <v>84</v>
      </c>
      <c r="H590" s="11" t="s">
        <v>670</v>
      </c>
      <c r="I590" s="11" t="s">
        <v>260</v>
      </c>
      <c r="J590" s="11" t="s">
        <v>261</v>
      </c>
      <c r="K590" s="8" t="s">
        <v>675</v>
      </c>
      <c r="L590" s="17"/>
      <c r="M590" s="17"/>
      <c r="N590" s="18"/>
      <c r="O590" s="19"/>
      <c r="P590" s="7"/>
      <c r="Q590" s="7"/>
      <c r="R590" s="7"/>
      <c r="S590" s="17"/>
    </row>
    <row r="591" ht="13.5" customHeight="1">
      <c r="A591" s="8" t="s">
        <v>33</v>
      </c>
      <c r="B591" s="8" t="s">
        <v>34</v>
      </c>
      <c r="C591" s="8" t="s">
        <v>2130</v>
      </c>
      <c r="D591" s="8" t="s">
        <v>2446</v>
      </c>
      <c r="E591" s="9" t="s">
        <v>537</v>
      </c>
      <c r="F591" s="8" t="s">
        <v>537</v>
      </c>
      <c r="G591" s="8" t="s">
        <v>2449</v>
      </c>
      <c r="H591" s="11" t="s">
        <v>670</v>
      </c>
      <c r="I591" s="11" t="s">
        <v>27</v>
      </c>
      <c r="J591" s="11" t="s">
        <v>691</v>
      </c>
      <c r="K591" s="8" t="s">
        <v>675</v>
      </c>
      <c r="L591" s="17"/>
      <c r="M591" s="17"/>
      <c r="N591" s="18"/>
      <c r="O591" s="19"/>
      <c r="P591" s="7"/>
      <c r="Q591" s="7"/>
      <c r="R591" s="7"/>
      <c r="S591" s="17"/>
    </row>
    <row r="592" ht="13.5" customHeight="1">
      <c r="A592" s="8" t="s">
        <v>33</v>
      </c>
      <c r="B592" s="8" t="s">
        <v>1930</v>
      </c>
      <c r="C592" s="8" t="s">
        <v>287</v>
      </c>
      <c r="D592" s="8" t="s">
        <v>2447</v>
      </c>
      <c r="E592" s="9" t="s">
        <v>2450</v>
      </c>
      <c r="F592" s="8" t="s">
        <v>537</v>
      </c>
      <c r="G592" s="8" t="s">
        <v>2449</v>
      </c>
      <c r="H592" s="11" t="s">
        <v>670</v>
      </c>
      <c r="I592" s="11" t="s">
        <v>27</v>
      </c>
      <c r="J592" s="11" t="s">
        <v>691</v>
      </c>
      <c r="K592" s="8" t="s">
        <v>675</v>
      </c>
      <c r="L592" s="17"/>
      <c r="M592" s="17"/>
      <c r="N592" s="18"/>
      <c r="O592" s="19"/>
      <c r="P592" s="7"/>
      <c r="Q592" s="7"/>
      <c r="R592" s="7"/>
      <c r="S592" s="17"/>
    </row>
    <row r="593" ht="13.5" customHeight="1">
      <c r="A593" s="8" t="s">
        <v>2451</v>
      </c>
      <c r="B593" s="8" t="s">
        <v>67</v>
      </c>
      <c r="C593" s="8" t="s">
        <v>125</v>
      </c>
      <c r="D593" s="8" t="s">
        <v>2452</v>
      </c>
      <c r="E593" s="9" t="s">
        <v>127</v>
      </c>
      <c r="F593" s="8" t="s">
        <v>537</v>
      </c>
      <c r="G593" s="8" t="s">
        <v>1343</v>
      </c>
      <c r="H593" s="11" t="s">
        <v>670</v>
      </c>
      <c r="I593" s="11" t="s">
        <v>27</v>
      </c>
      <c r="J593" s="11" t="s">
        <v>1344</v>
      </c>
      <c r="K593" s="8" t="s">
        <v>1397</v>
      </c>
      <c r="L593" s="17"/>
      <c r="M593" s="17"/>
      <c r="N593" s="18"/>
      <c r="O593" s="19"/>
      <c r="P593" s="7"/>
      <c r="Q593" s="7"/>
      <c r="R593" s="7"/>
      <c r="S593" s="17"/>
    </row>
    <row r="594" ht="13.5" customHeight="1">
      <c r="A594" s="8" t="s">
        <v>33</v>
      </c>
      <c r="B594" s="8" t="s">
        <v>132</v>
      </c>
      <c r="C594" s="8" t="s">
        <v>125</v>
      </c>
      <c r="D594" s="8" t="s">
        <v>460</v>
      </c>
      <c r="E594" s="9" t="s">
        <v>2453</v>
      </c>
      <c r="F594" s="8" t="s">
        <v>2454</v>
      </c>
      <c r="G594" s="8" t="s">
        <v>1343</v>
      </c>
      <c r="H594" s="11" t="s">
        <v>670</v>
      </c>
      <c r="I594" s="11" t="s">
        <v>27</v>
      </c>
      <c r="J594" s="11" t="s">
        <v>1344</v>
      </c>
      <c r="K594" s="8" t="s">
        <v>1397</v>
      </c>
      <c r="L594" s="17"/>
      <c r="M594" s="17"/>
      <c r="N594" s="18"/>
      <c r="O594" s="19"/>
      <c r="P594" s="7"/>
      <c r="Q594" s="7"/>
      <c r="R594" s="7"/>
      <c r="S594" s="17"/>
    </row>
    <row r="595" ht="13.5" customHeight="1">
      <c r="A595" s="25" t="s">
        <v>2455</v>
      </c>
      <c r="B595" s="25" t="s">
        <v>253</v>
      </c>
      <c r="C595" s="25" t="s">
        <v>254</v>
      </c>
      <c r="D595" s="25" t="s">
        <v>2420</v>
      </c>
      <c r="E595" s="26" t="s">
        <v>2456</v>
      </c>
      <c r="F595" s="25" t="s">
        <v>537</v>
      </c>
      <c r="G595" s="25" t="s">
        <v>878</v>
      </c>
      <c r="H595" s="25" t="s">
        <v>2457</v>
      </c>
      <c r="I595" s="25"/>
      <c r="J595" s="25" t="s">
        <v>635</v>
      </c>
      <c r="K595" s="25" t="s">
        <v>1397</v>
      </c>
      <c r="L595" s="32"/>
      <c r="M595" s="32"/>
      <c r="N595" s="44"/>
      <c r="O595" s="45"/>
      <c r="P595" s="31"/>
      <c r="Q595" s="31"/>
      <c r="R595" s="31"/>
      <c r="S595" s="32"/>
    </row>
    <row r="596" ht="13.5" customHeight="1">
      <c r="A596" s="25" t="s">
        <v>33</v>
      </c>
      <c r="B596" s="25" t="s">
        <v>167</v>
      </c>
      <c r="C596" s="25" t="s">
        <v>48</v>
      </c>
      <c r="D596" s="25" t="s">
        <v>2235</v>
      </c>
      <c r="E596" s="26" t="s">
        <v>2327</v>
      </c>
      <c r="F596" s="25" t="s">
        <v>537</v>
      </c>
      <c r="G596" s="25" t="s">
        <v>878</v>
      </c>
      <c r="H596" s="25" t="s">
        <v>2457</v>
      </c>
      <c r="I596" s="25"/>
      <c r="J596" s="25" t="s">
        <v>635</v>
      </c>
      <c r="K596" s="25" t="s">
        <v>1397</v>
      </c>
      <c r="L596" s="32"/>
      <c r="M596" s="32"/>
      <c r="N596" s="44"/>
      <c r="O596" s="45"/>
      <c r="P596" s="31"/>
      <c r="Q596" s="31"/>
      <c r="R596" s="31"/>
      <c r="S596" s="32"/>
    </row>
    <row r="597" ht="13.5" customHeight="1">
      <c r="A597" s="25" t="s">
        <v>33</v>
      </c>
      <c r="B597" s="25" t="s">
        <v>132</v>
      </c>
      <c r="C597" s="25" t="s">
        <v>48</v>
      </c>
      <c r="D597" s="25" t="s">
        <v>2239</v>
      </c>
      <c r="E597" s="26" t="s">
        <v>537</v>
      </c>
      <c r="F597" s="25" t="s">
        <v>537</v>
      </c>
      <c r="G597" s="25" t="s">
        <v>878</v>
      </c>
      <c r="H597" s="25" t="s">
        <v>2457</v>
      </c>
      <c r="I597" s="25"/>
      <c r="J597" s="25" t="s">
        <v>635</v>
      </c>
      <c r="K597" s="25" t="s">
        <v>1397</v>
      </c>
      <c r="L597" s="32"/>
      <c r="M597" s="32"/>
      <c r="N597" s="44"/>
      <c r="O597" s="45"/>
      <c r="P597" s="31"/>
      <c r="Q597" s="31"/>
      <c r="R597" s="31"/>
      <c r="S597" s="32"/>
    </row>
    <row r="598" ht="13.5" customHeight="1">
      <c r="A598" s="25" t="s">
        <v>2458</v>
      </c>
      <c r="B598" s="25" t="s">
        <v>74</v>
      </c>
      <c r="C598" s="25" t="s">
        <v>615</v>
      </c>
      <c r="D598" s="25" t="s">
        <v>537</v>
      </c>
      <c r="E598" s="26" t="s">
        <v>537</v>
      </c>
      <c r="F598" s="25" t="s">
        <v>537</v>
      </c>
      <c r="G598" s="25" t="s">
        <v>878</v>
      </c>
      <c r="H598" s="25" t="s">
        <v>2457</v>
      </c>
      <c r="I598" s="25"/>
      <c r="J598" s="25" t="s">
        <v>635</v>
      </c>
      <c r="K598" s="25" t="s">
        <v>1397</v>
      </c>
      <c r="L598" s="32"/>
      <c r="M598" s="32"/>
      <c r="N598" s="44"/>
      <c r="O598" s="45"/>
      <c r="P598" s="31"/>
      <c r="Q598" s="31"/>
      <c r="R598" s="31"/>
      <c r="S598" s="32"/>
    </row>
    <row r="599" ht="13.5" customHeight="1">
      <c r="A599" s="25" t="s">
        <v>33</v>
      </c>
      <c r="B599" s="25" t="s">
        <v>34</v>
      </c>
      <c r="C599" s="25" t="s">
        <v>153</v>
      </c>
      <c r="D599" s="25" t="s">
        <v>154</v>
      </c>
      <c r="E599" s="26" t="s">
        <v>1830</v>
      </c>
      <c r="F599" s="25" t="s">
        <v>2459</v>
      </c>
      <c r="G599" s="25" t="s">
        <v>878</v>
      </c>
      <c r="H599" s="25" t="s">
        <v>2457</v>
      </c>
      <c r="I599" s="25"/>
      <c r="J599" s="25" t="s">
        <v>635</v>
      </c>
      <c r="K599" s="25" t="s">
        <v>1397</v>
      </c>
      <c r="L599" s="32"/>
      <c r="M599" s="32"/>
      <c r="N599" s="44"/>
      <c r="O599" s="45"/>
      <c r="P599" s="31"/>
      <c r="Q599" s="31"/>
      <c r="R599" s="31"/>
      <c r="S599" s="32"/>
    </row>
    <row r="600" ht="13.5" customHeight="1">
      <c r="A600" s="7" t="s">
        <v>33</v>
      </c>
      <c r="B600" s="8" t="s">
        <v>67</v>
      </c>
      <c r="C600" s="8" t="s">
        <v>125</v>
      </c>
      <c r="D600" s="8" t="s">
        <v>1776</v>
      </c>
      <c r="E600" s="9" t="s">
        <v>2460</v>
      </c>
      <c r="F600" s="8" t="s">
        <v>413</v>
      </c>
      <c r="G600" s="8" t="s">
        <v>762</v>
      </c>
      <c r="H600" s="11" t="s">
        <v>670</v>
      </c>
      <c r="I600" s="11" t="s">
        <v>27</v>
      </c>
      <c r="J600" s="11" t="s">
        <v>684</v>
      </c>
      <c r="K600" s="8" t="s">
        <v>2461</v>
      </c>
      <c r="L600" s="17"/>
      <c r="M600" s="17"/>
      <c r="N600" s="18"/>
      <c r="O600" s="19"/>
      <c r="P600" s="7"/>
      <c r="Q600" s="7"/>
      <c r="R600" s="7"/>
      <c r="S600" s="17"/>
    </row>
    <row r="601" ht="13.5" customHeight="1">
      <c r="A601" s="7" t="s">
        <v>33</v>
      </c>
      <c r="B601" s="8" t="s">
        <v>132</v>
      </c>
      <c r="C601" s="8" t="s">
        <v>125</v>
      </c>
      <c r="D601" s="8" t="s">
        <v>1842</v>
      </c>
      <c r="E601" s="9" t="s">
        <v>1843</v>
      </c>
      <c r="F601" s="8" t="s">
        <v>2462</v>
      </c>
      <c r="G601" s="8" t="s">
        <v>762</v>
      </c>
      <c r="H601" s="11" t="s">
        <v>670</v>
      </c>
      <c r="I601" s="11" t="s">
        <v>27</v>
      </c>
      <c r="J601" s="11" t="s">
        <v>684</v>
      </c>
      <c r="K601" s="8" t="s">
        <v>2461</v>
      </c>
      <c r="L601" s="17"/>
      <c r="M601" s="17"/>
      <c r="N601" s="18"/>
      <c r="O601" s="19"/>
      <c r="P601" s="7"/>
      <c r="Q601" s="7"/>
      <c r="R601" s="7"/>
      <c r="S601" s="17"/>
    </row>
    <row r="602" ht="13.5" customHeight="1">
      <c r="A602" s="8" t="s">
        <v>1845</v>
      </c>
      <c r="B602" s="8" t="s">
        <v>34</v>
      </c>
      <c r="C602" s="8" t="s">
        <v>125</v>
      </c>
      <c r="D602" s="8" t="s">
        <v>492</v>
      </c>
      <c r="E602" s="9" t="s">
        <v>2463</v>
      </c>
      <c r="F602" s="8" t="s">
        <v>2464</v>
      </c>
      <c r="G602" s="8" t="s">
        <v>762</v>
      </c>
      <c r="H602" s="11" t="s">
        <v>670</v>
      </c>
      <c r="I602" s="11" t="s">
        <v>27</v>
      </c>
      <c r="J602" s="11" t="s">
        <v>684</v>
      </c>
      <c r="K602" s="8" t="s">
        <v>2461</v>
      </c>
      <c r="L602" s="17"/>
      <c r="M602" s="17"/>
      <c r="N602" s="18"/>
      <c r="O602" s="19"/>
      <c r="P602" s="7"/>
      <c r="Q602" s="7"/>
      <c r="R602" s="7"/>
      <c r="S602" s="17"/>
    </row>
    <row r="603" ht="13.5" customHeight="1">
      <c r="A603" s="8" t="s">
        <v>2465</v>
      </c>
      <c r="B603" s="8" t="s">
        <v>74</v>
      </c>
      <c r="C603" s="8" t="s">
        <v>615</v>
      </c>
      <c r="D603" s="8" t="s">
        <v>537</v>
      </c>
      <c r="E603" s="9" t="s">
        <v>537</v>
      </c>
      <c r="F603" s="8" t="s">
        <v>2466</v>
      </c>
      <c r="G603" s="8" t="s">
        <v>762</v>
      </c>
      <c r="H603" s="11" t="s">
        <v>670</v>
      </c>
      <c r="I603" s="11" t="s">
        <v>27</v>
      </c>
      <c r="J603" s="11" t="s">
        <v>684</v>
      </c>
      <c r="K603" s="8" t="s">
        <v>2461</v>
      </c>
      <c r="L603" s="17"/>
      <c r="M603" s="17"/>
      <c r="N603" s="18"/>
      <c r="O603" s="19"/>
      <c r="P603" s="7"/>
      <c r="Q603" s="7"/>
      <c r="R603" s="7"/>
      <c r="S603" s="17"/>
    </row>
    <row r="604" ht="13.5" customHeight="1">
      <c r="A604" s="7" t="s">
        <v>33</v>
      </c>
      <c r="B604" s="8" t="s">
        <v>167</v>
      </c>
      <c r="C604" s="8" t="s">
        <v>48</v>
      </c>
      <c r="D604" s="8" t="s">
        <v>2224</v>
      </c>
      <c r="E604" s="9" t="s">
        <v>2467</v>
      </c>
      <c r="F604" s="8" t="s">
        <v>2403</v>
      </c>
      <c r="G604" s="8" t="s">
        <v>84</v>
      </c>
      <c r="H604" s="11" t="s">
        <v>670</v>
      </c>
      <c r="I604" s="11" t="s">
        <v>260</v>
      </c>
      <c r="J604" s="11" t="s">
        <v>294</v>
      </c>
      <c r="K604" s="8" t="s">
        <v>212</v>
      </c>
      <c r="L604" s="17"/>
      <c r="M604" s="17"/>
      <c r="N604" s="18"/>
      <c r="O604" s="19"/>
      <c r="P604" s="7"/>
      <c r="Q604" s="7"/>
      <c r="R604" s="7"/>
      <c r="S604" s="17"/>
    </row>
    <row r="605" ht="13.5" customHeight="1">
      <c r="A605" s="7" t="s">
        <v>33</v>
      </c>
      <c r="B605" s="8" t="s">
        <v>132</v>
      </c>
      <c r="C605" s="8" t="s">
        <v>48</v>
      </c>
      <c r="D605" s="8" t="s">
        <v>2248</v>
      </c>
      <c r="E605" s="9" t="s">
        <v>2468</v>
      </c>
      <c r="F605" s="8" t="s">
        <v>2469</v>
      </c>
      <c r="G605" s="8" t="s">
        <v>84</v>
      </c>
      <c r="H605" s="11" t="s">
        <v>670</v>
      </c>
      <c r="I605" s="11" t="s">
        <v>260</v>
      </c>
      <c r="J605" s="11" t="s">
        <v>294</v>
      </c>
      <c r="K605" s="8" t="s">
        <v>212</v>
      </c>
      <c r="L605" s="17"/>
      <c r="M605" s="17"/>
      <c r="N605" s="18"/>
      <c r="O605" s="19"/>
      <c r="P605" s="7"/>
      <c r="Q605" s="7"/>
      <c r="R605" s="7"/>
      <c r="S605" s="17"/>
    </row>
    <row r="606" ht="13.5" customHeight="1">
      <c r="A606" s="25" t="s">
        <v>33</v>
      </c>
      <c r="B606" s="25" t="s">
        <v>132</v>
      </c>
      <c r="C606" s="25" t="s">
        <v>473</v>
      </c>
      <c r="D606" s="25" t="s">
        <v>1783</v>
      </c>
      <c r="E606" s="26" t="s">
        <v>2180</v>
      </c>
      <c r="F606" s="25" t="s">
        <v>187</v>
      </c>
      <c r="G606" s="25" t="s">
        <v>690</v>
      </c>
      <c r="H606" s="25" t="s">
        <v>2457</v>
      </c>
      <c r="I606" s="25"/>
      <c r="J606" s="25" t="s">
        <v>2470</v>
      </c>
      <c r="K606" s="25" t="s">
        <v>537</v>
      </c>
      <c r="L606" s="32"/>
      <c r="M606" s="32"/>
      <c r="N606" s="44"/>
      <c r="O606" s="45"/>
      <c r="P606" s="31"/>
      <c r="Q606" s="31"/>
      <c r="R606" s="31"/>
      <c r="S606" s="32"/>
    </row>
    <row r="607" ht="13.5" customHeight="1">
      <c r="A607" s="8" t="s">
        <v>33</v>
      </c>
      <c r="B607" s="8" t="s">
        <v>2471</v>
      </c>
      <c r="C607" s="8" t="s">
        <v>2472</v>
      </c>
      <c r="D607" s="8" t="s">
        <v>2473</v>
      </c>
      <c r="E607" s="9" t="s">
        <v>2474</v>
      </c>
      <c r="F607" s="8" t="s">
        <v>537</v>
      </c>
      <c r="G607" s="8" t="s">
        <v>84</v>
      </c>
      <c r="H607" s="11" t="s">
        <v>670</v>
      </c>
      <c r="I607" s="11" t="s">
        <v>260</v>
      </c>
      <c r="J607" s="11" t="s">
        <v>294</v>
      </c>
      <c r="K607" s="8" t="s">
        <v>675</v>
      </c>
      <c r="L607" s="17"/>
      <c r="M607" s="17"/>
      <c r="N607" s="18"/>
      <c r="O607" s="19"/>
      <c r="P607" s="7"/>
      <c r="Q607" s="7"/>
      <c r="R607" s="7"/>
      <c r="S607" s="17"/>
    </row>
    <row r="608" ht="13.5" customHeight="1">
      <c r="A608" s="8" t="s">
        <v>33</v>
      </c>
      <c r="B608" s="8" t="s">
        <v>2475</v>
      </c>
      <c r="C608" s="8" t="s">
        <v>2476</v>
      </c>
      <c r="D608" s="8" t="s">
        <v>2477</v>
      </c>
      <c r="E608" s="9" t="s">
        <v>288</v>
      </c>
      <c r="F608" s="8" t="s">
        <v>2478</v>
      </c>
      <c r="G608" s="8" t="s">
        <v>84</v>
      </c>
      <c r="H608" s="11" t="s">
        <v>670</v>
      </c>
      <c r="I608" s="11" t="s">
        <v>260</v>
      </c>
      <c r="J608" s="11" t="s">
        <v>294</v>
      </c>
      <c r="K608" s="8" t="s">
        <v>675</v>
      </c>
      <c r="L608" s="17"/>
      <c r="M608" s="17"/>
      <c r="N608" s="18"/>
      <c r="O608" s="19"/>
      <c r="P608" s="7"/>
      <c r="Q608" s="7"/>
      <c r="R608" s="7"/>
      <c r="S608" s="17"/>
    </row>
    <row r="609" ht="13.5" customHeight="1">
      <c r="A609" s="8" t="s">
        <v>33</v>
      </c>
      <c r="B609" s="8" t="s">
        <v>2479</v>
      </c>
      <c r="C609" s="8" t="s">
        <v>288</v>
      </c>
      <c r="D609" s="8" t="s">
        <v>288</v>
      </c>
      <c r="E609" s="9" t="s">
        <v>288</v>
      </c>
      <c r="F609" s="8" t="s">
        <v>2480</v>
      </c>
      <c r="G609" s="8" t="s">
        <v>84</v>
      </c>
      <c r="H609" s="11" t="s">
        <v>670</v>
      </c>
      <c r="I609" s="11" t="s">
        <v>260</v>
      </c>
      <c r="J609" s="11" t="s">
        <v>294</v>
      </c>
      <c r="K609" s="8" t="s">
        <v>675</v>
      </c>
      <c r="L609" s="17"/>
      <c r="M609" s="17"/>
      <c r="N609" s="18"/>
      <c r="O609" s="19"/>
      <c r="P609" s="7"/>
      <c r="Q609" s="7"/>
      <c r="R609" s="7"/>
      <c r="S609" s="17"/>
    </row>
    <row r="610" ht="13.5" customHeight="1">
      <c r="A610" s="8" t="s">
        <v>2481</v>
      </c>
      <c r="B610" s="8" t="s">
        <v>253</v>
      </c>
      <c r="C610" s="8" t="s">
        <v>2482</v>
      </c>
      <c r="D610" s="8" t="s">
        <v>255</v>
      </c>
      <c r="E610" s="9" t="s">
        <v>564</v>
      </c>
      <c r="F610" s="8" t="s">
        <v>33</v>
      </c>
      <c r="G610" s="8" t="s">
        <v>1343</v>
      </c>
      <c r="H610" s="11" t="s">
        <v>670</v>
      </c>
      <c r="I610" s="11" t="s">
        <v>27</v>
      </c>
      <c r="J610" s="11" t="s">
        <v>1344</v>
      </c>
      <c r="K610" s="8" t="s">
        <v>29</v>
      </c>
      <c r="L610" s="35"/>
      <c r="M610" s="35"/>
      <c r="N610" s="64"/>
      <c r="O610" s="65"/>
      <c r="P610" s="34"/>
      <c r="Q610" s="34"/>
      <c r="R610" s="34"/>
      <c r="S610" s="35"/>
    </row>
    <row r="611" ht="13.5" customHeight="1">
      <c r="A611" s="8" t="s">
        <v>2483</v>
      </c>
      <c r="B611" s="8" t="s">
        <v>34</v>
      </c>
      <c r="C611" s="8" t="s">
        <v>153</v>
      </c>
      <c r="D611" s="8" t="s">
        <v>154</v>
      </c>
      <c r="E611" s="9" t="s">
        <v>2484</v>
      </c>
      <c r="F611" s="8" t="s">
        <v>537</v>
      </c>
      <c r="G611" s="8" t="s">
        <v>1343</v>
      </c>
      <c r="H611" s="11" t="s">
        <v>670</v>
      </c>
      <c r="I611" s="11" t="s">
        <v>27</v>
      </c>
      <c r="J611" s="11" t="s">
        <v>1344</v>
      </c>
      <c r="K611" s="8" t="s">
        <v>29</v>
      </c>
      <c r="L611" s="17"/>
      <c r="M611" s="17"/>
      <c r="N611" s="18"/>
      <c r="O611" s="19"/>
      <c r="P611" s="7"/>
      <c r="Q611" s="7"/>
      <c r="R611" s="7"/>
      <c r="S611" s="17"/>
    </row>
    <row r="612" ht="13.5" customHeight="1">
      <c r="A612" s="8" t="s">
        <v>2485</v>
      </c>
      <c r="B612" s="8" t="s">
        <v>290</v>
      </c>
      <c r="C612" s="8" t="s">
        <v>291</v>
      </c>
      <c r="D612" s="8" t="s">
        <v>292</v>
      </c>
      <c r="E612" s="9" t="s">
        <v>2486</v>
      </c>
      <c r="F612" s="8" t="s">
        <v>293</v>
      </c>
      <c r="G612" s="8" t="s">
        <v>1343</v>
      </c>
      <c r="H612" s="8" t="s">
        <v>670</v>
      </c>
      <c r="I612" s="8" t="s">
        <v>27</v>
      </c>
      <c r="J612" s="8" t="s">
        <v>1344</v>
      </c>
      <c r="K612" s="8" t="s">
        <v>212</v>
      </c>
      <c r="L612" s="17"/>
      <c r="M612" s="17"/>
      <c r="N612" s="18"/>
      <c r="O612" s="19"/>
      <c r="P612" s="7"/>
      <c r="Q612" s="7"/>
      <c r="R612" s="7"/>
      <c r="S612" s="17"/>
    </row>
    <row r="613" ht="13.5" customHeight="1">
      <c r="A613" s="8" t="s">
        <v>33</v>
      </c>
      <c r="B613" s="8" t="s">
        <v>74</v>
      </c>
      <c r="C613" s="8" t="s">
        <v>136</v>
      </c>
      <c r="D613" s="8" t="s">
        <v>537</v>
      </c>
      <c r="E613" s="9" t="s">
        <v>537</v>
      </c>
      <c r="F613" s="8" t="s">
        <v>537</v>
      </c>
      <c r="G613" s="8" t="s">
        <v>1343</v>
      </c>
      <c r="H613" s="11" t="s">
        <v>670</v>
      </c>
      <c r="I613" s="11" t="s">
        <v>27</v>
      </c>
      <c r="J613" s="11" t="s">
        <v>1344</v>
      </c>
      <c r="K613" s="8" t="s">
        <v>29</v>
      </c>
      <c r="L613" s="17"/>
      <c r="M613" s="17"/>
      <c r="N613" s="18"/>
      <c r="O613" s="19"/>
      <c r="P613" s="7"/>
      <c r="Q613" s="7"/>
      <c r="R613" s="7"/>
      <c r="S613" s="17"/>
    </row>
    <row r="614" ht="13.5" customHeight="1">
      <c r="A614" s="25"/>
      <c r="B614" s="25" t="s">
        <v>67</v>
      </c>
      <c r="C614" s="25" t="s">
        <v>270</v>
      </c>
      <c r="D614" s="25" t="s">
        <v>1851</v>
      </c>
      <c r="E614" s="26" t="s">
        <v>2487</v>
      </c>
      <c r="F614" s="25" t="s">
        <v>537</v>
      </c>
      <c r="G614" s="25" t="s">
        <v>537</v>
      </c>
      <c r="H614" s="25"/>
      <c r="I614" s="25"/>
      <c r="J614" s="25"/>
      <c r="K614" s="25" t="s">
        <v>537</v>
      </c>
      <c r="L614" s="32"/>
      <c r="M614" s="32"/>
      <c r="N614" s="44"/>
      <c r="O614" s="45"/>
      <c r="P614" s="31"/>
      <c r="Q614" s="31"/>
      <c r="R614" s="31"/>
      <c r="S614" s="32"/>
    </row>
    <row r="615" ht="13.5" customHeight="1">
      <c r="A615" s="8" t="s">
        <v>33</v>
      </c>
      <c r="B615" s="8" t="s">
        <v>2488</v>
      </c>
      <c r="C615" s="8" t="s">
        <v>2489</v>
      </c>
      <c r="D615" s="8" t="s">
        <v>2490</v>
      </c>
      <c r="E615" s="9" t="s">
        <v>2491</v>
      </c>
      <c r="F615" s="8" t="s">
        <v>33</v>
      </c>
      <c r="G615" s="8" t="s">
        <v>84</v>
      </c>
      <c r="H615" s="11" t="s">
        <v>670</v>
      </c>
      <c r="I615" s="11" t="s">
        <v>260</v>
      </c>
      <c r="J615" s="11" t="s">
        <v>667</v>
      </c>
      <c r="K615" s="8" t="s">
        <v>675</v>
      </c>
      <c r="L615" s="8"/>
      <c r="M615" s="17"/>
      <c r="N615" s="18"/>
      <c r="O615" s="19"/>
      <c r="P615" s="8"/>
      <c r="Q615" s="7"/>
      <c r="R615" s="7"/>
      <c r="S615" s="17"/>
    </row>
    <row r="616" ht="13.5" customHeight="1">
      <c r="A616" s="8" t="s">
        <v>33</v>
      </c>
      <c r="B616" s="8" t="s">
        <v>2492</v>
      </c>
      <c r="C616" s="8" t="s">
        <v>2493</v>
      </c>
      <c r="D616" s="8" t="s">
        <v>2494</v>
      </c>
      <c r="E616" s="9" t="s">
        <v>2495</v>
      </c>
      <c r="F616" s="8" t="s">
        <v>33</v>
      </c>
      <c r="G616" s="8" t="s">
        <v>84</v>
      </c>
      <c r="H616" s="11" t="s">
        <v>670</v>
      </c>
      <c r="I616" s="11" t="s">
        <v>260</v>
      </c>
      <c r="J616" s="11" t="s">
        <v>667</v>
      </c>
      <c r="K616" s="8" t="s">
        <v>675</v>
      </c>
      <c r="L616" s="8"/>
      <c r="M616" s="17"/>
      <c r="N616" s="18"/>
      <c r="O616" s="19"/>
      <c r="P616" s="8"/>
      <c r="Q616" s="7"/>
      <c r="R616" s="7"/>
      <c r="S616" s="17"/>
    </row>
    <row r="617" ht="13.5" customHeight="1">
      <c r="A617" s="13"/>
      <c r="B617" s="8" t="s">
        <v>167</v>
      </c>
      <c r="C617" s="8" t="s">
        <v>296</v>
      </c>
      <c r="D617" s="8" t="s">
        <v>1061</v>
      </c>
      <c r="E617" s="9" t="s">
        <v>2496</v>
      </c>
      <c r="F617" s="8" t="s">
        <v>2497</v>
      </c>
      <c r="G617" s="8" t="s">
        <v>1049</v>
      </c>
      <c r="H617" s="11" t="s">
        <v>670</v>
      </c>
      <c r="I617" s="11" t="s">
        <v>27</v>
      </c>
      <c r="J617" s="11" t="s">
        <v>884</v>
      </c>
      <c r="K617" s="8" t="s">
        <v>675</v>
      </c>
      <c r="L617" s="8"/>
      <c r="M617" s="17"/>
      <c r="N617" s="18"/>
      <c r="O617" s="19"/>
      <c r="P617" s="8" t="s">
        <v>2498</v>
      </c>
      <c r="Q617" s="7"/>
      <c r="R617" s="7"/>
      <c r="S617" s="17"/>
    </row>
    <row r="618" ht="13.5" customHeight="1">
      <c r="A618" s="13"/>
      <c r="B618" s="8" t="s">
        <v>172</v>
      </c>
      <c r="C618" s="8" t="s">
        <v>296</v>
      </c>
      <c r="D618" s="8" t="s">
        <v>1065</v>
      </c>
      <c r="E618" s="9" t="s">
        <v>2499</v>
      </c>
      <c r="F618" s="8" t="s">
        <v>2500</v>
      </c>
      <c r="G618" s="8" t="s">
        <v>1049</v>
      </c>
      <c r="H618" s="11" t="s">
        <v>670</v>
      </c>
      <c r="I618" s="11" t="s">
        <v>27</v>
      </c>
      <c r="J618" s="11" t="s">
        <v>884</v>
      </c>
      <c r="K618" s="8" t="s">
        <v>675</v>
      </c>
      <c r="L618" s="8"/>
      <c r="M618" s="17"/>
      <c r="N618" s="18"/>
      <c r="O618" s="19"/>
      <c r="P618" s="8" t="s">
        <v>2498</v>
      </c>
      <c r="Q618" s="7"/>
      <c r="R618" s="7"/>
      <c r="S618" s="17"/>
    </row>
    <row r="619" ht="13.5" customHeight="1">
      <c r="A619" s="13"/>
      <c r="B619" s="8" t="s">
        <v>167</v>
      </c>
      <c r="C619" s="8" t="s">
        <v>296</v>
      </c>
      <c r="D619" s="8" t="s">
        <v>2347</v>
      </c>
      <c r="E619" s="9" t="s">
        <v>2501</v>
      </c>
      <c r="F619" s="8" t="s">
        <v>2502</v>
      </c>
      <c r="G619" s="8" t="s">
        <v>2503</v>
      </c>
      <c r="H619" s="11" t="s">
        <v>670</v>
      </c>
      <c r="I619" s="11" t="s">
        <v>91</v>
      </c>
      <c r="J619" s="11" t="s">
        <v>130</v>
      </c>
      <c r="K619" s="8" t="s">
        <v>29</v>
      </c>
      <c r="L619" s="8"/>
      <c r="M619" s="17"/>
      <c r="N619" s="18"/>
      <c r="O619" s="19"/>
      <c r="P619" s="8"/>
      <c r="Q619" s="7"/>
      <c r="R619" s="7"/>
      <c r="S619" s="17"/>
    </row>
    <row r="620" ht="13.5" customHeight="1">
      <c r="A620" s="13"/>
      <c r="B620" s="8" t="s">
        <v>172</v>
      </c>
      <c r="C620" s="8" t="s">
        <v>296</v>
      </c>
      <c r="D620" s="8" t="s">
        <v>537</v>
      </c>
      <c r="E620" s="9" t="s">
        <v>537</v>
      </c>
      <c r="F620" s="8" t="s">
        <v>2504</v>
      </c>
      <c r="G620" s="8" t="s">
        <v>2503</v>
      </c>
      <c r="H620" s="11" t="s">
        <v>670</v>
      </c>
      <c r="I620" s="11" t="s">
        <v>91</v>
      </c>
      <c r="J620" s="11" t="s">
        <v>130</v>
      </c>
      <c r="K620" s="8" t="s">
        <v>29</v>
      </c>
      <c r="L620" s="8"/>
      <c r="M620" s="17"/>
      <c r="N620" s="18"/>
      <c r="O620" s="19"/>
      <c r="P620" s="8"/>
      <c r="Q620" s="7"/>
      <c r="R620" s="7"/>
      <c r="S620" s="17"/>
    </row>
    <row r="621" ht="13.5" customHeight="1">
      <c r="A621" s="8" t="s">
        <v>33</v>
      </c>
      <c r="B621" s="8" t="s">
        <v>167</v>
      </c>
      <c r="C621" s="8" t="s">
        <v>296</v>
      </c>
      <c r="D621" s="8" t="s">
        <v>2347</v>
      </c>
      <c r="E621" s="14" t="s">
        <v>2505</v>
      </c>
      <c r="F621" s="8" t="s">
        <v>2349</v>
      </c>
      <c r="G621" s="8" t="s">
        <v>2506</v>
      </c>
      <c r="H621" s="11" t="s">
        <v>259</v>
      </c>
      <c r="I621" s="11" t="s">
        <v>260</v>
      </c>
      <c r="J621" s="11" t="s">
        <v>294</v>
      </c>
      <c r="K621" s="8" t="s">
        <v>29</v>
      </c>
      <c r="L621" s="8"/>
      <c r="M621" s="17"/>
      <c r="N621" s="18"/>
      <c r="O621" s="19"/>
      <c r="P621" s="8"/>
      <c r="Q621" s="7"/>
      <c r="R621" s="7"/>
      <c r="S621" s="17"/>
    </row>
    <row r="622" ht="13.5" customHeight="1">
      <c r="A622" s="8" t="s">
        <v>33</v>
      </c>
      <c r="B622" s="8" t="s">
        <v>132</v>
      </c>
      <c r="C622" s="8" t="s">
        <v>296</v>
      </c>
      <c r="D622" s="8" t="s">
        <v>302</v>
      </c>
      <c r="E622" s="14" t="s">
        <v>2507</v>
      </c>
      <c r="F622" s="8" t="s">
        <v>2508</v>
      </c>
      <c r="G622" s="8" t="s">
        <v>2506</v>
      </c>
      <c r="H622" s="11" t="s">
        <v>259</v>
      </c>
      <c r="I622" s="11" t="s">
        <v>260</v>
      </c>
      <c r="J622" s="11" t="s">
        <v>294</v>
      </c>
      <c r="K622" s="8" t="s">
        <v>29</v>
      </c>
      <c r="L622" s="8"/>
      <c r="M622" s="17"/>
      <c r="N622" s="18"/>
      <c r="O622" s="19"/>
      <c r="P622" s="8"/>
      <c r="Q622" s="7"/>
      <c r="R622" s="7"/>
      <c r="S622" s="17"/>
    </row>
    <row r="623" ht="13.5" customHeight="1">
      <c r="A623" s="8" t="s">
        <v>33</v>
      </c>
      <c r="B623" s="8" t="s">
        <v>167</v>
      </c>
      <c r="C623" s="8" t="s">
        <v>296</v>
      </c>
      <c r="D623" s="8" t="s">
        <v>2347</v>
      </c>
      <c r="E623" s="14" t="s">
        <v>2509</v>
      </c>
      <c r="F623" s="8" t="s">
        <v>2349</v>
      </c>
      <c r="G623" s="8" t="s">
        <v>2510</v>
      </c>
      <c r="H623" s="11" t="s">
        <v>259</v>
      </c>
      <c r="I623" s="11" t="s">
        <v>260</v>
      </c>
      <c r="J623" s="11" t="s">
        <v>294</v>
      </c>
      <c r="K623" s="8" t="s">
        <v>29</v>
      </c>
      <c r="L623" s="8"/>
      <c r="M623" s="17"/>
      <c r="N623" s="18"/>
      <c r="O623" s="19"/>
      <c r="P623" s="8"/>
      <c r="Q623" s="7"/>
      <c r="R623" s="7"/>
      <c r="S623" s="17"/>
    </row>
    <row r="624" ht="13.5" customHeight="1">
      <c r="A624" s="8" t="s">
        <v>33</v>
      </c>
      <c r="B624" s="8" t="s">
        <v>167</v>
      </c>
      <c r="C624" s="8" t="s">
        <v>296</v>
      </c>
      <c r="D624" s="8" t="s">
        <v>297</v>
      </c>
      <c r="E624" s="14" t="s">
        <v>2511</v>
      </c>
      <c r="F624" s="8" t="s">
        <v>2512</v>
      </c>
      <c r="G624" s="8" t="s">
        <v>84</v>
      </c>
      <c r="H624" s="11" t="s">
        <v>259</v>
      </c>
      <c r="I624" s="11" t="s">
        <v>260</v>
      </c>
      <c r="J624" s="11" t="s">
        <v>294</v>
      </c>
      <c r="K624" s="8" t="s">
        <v>117</v>
      </c>
      <c r="L624" s="8"/>
      <c r="M624" s="17"/>
      <c r="N624" s="18"/>
      <c r="O624" s="19"/>
      <c r="P624" s="8"/>
      <c r="Q624" s="7"/>
      <c r="R624" s="7"/>
      <c r="S624" s="17"/>
    </row>
    <row r="625" ht="13.5" customHeight="1">
      <c r="B625" s="8" t="s">
        <v>167</v>
      </c>
      <c r="C625" s="8" t="s">
        <v>296</v>
      </c>
      <c r="D625" s="8" t="s">
        <v>297</v>
      </c>
      <c r="E625" s="9" t="s">
        <v>2513</v>
      </c>
      <c r="F625" s="8" t="s">
        <v>299</v>
      </c>
      <c r="G625" s="8" t="s">
        <v>258</v>
      </c>
      <c r="H625" s="11" t="s">
        <v>259</v>
      </c>
      <c r="I625" s="11" t="s">
        <v>260</v>
      </c>
      <c r="J625" s="11" t="s">
        <v>294</v>
      </c>
      <c r="K625" s="8" t="s">
        <v>29</v>
      </c>
      <c r="L625" s="17"/>
      <c r="M625" s="17"/>
      <c r="N625" s="18"/>
      <c r="O625" s="19"/>
      <c r="P625" s="7"/>
      <c r="Q625" s="7"/>
      <c r="R625" s="7"/>
      <c r="S625" s="17"/>
    </row>
    <row r="626" ht="13.5" customHeight="1">
      <c r="B626" s="8" t="s">
        <v>132</v>
      </c>
      <c r="C626" s="8" t="s">
        <v>296</v>
      </c>
      <c r="D626" s="8" t="s">
        <v>323</v>
      </c>
      <c r="E626" s="9" t="s">
        <v>2514</v>
      </c>
      <c r="F626" s="8" t="s">
        <v>304</v>
      </c>
      <c r="G626" s="8" t="s">
        <v>258</v>
      </c>
      <c r="H626" s="8" t="s">
        <v>259</v>
      </c>
      <c r="I626" s="11" t="s">
        <v>260</v>
      </c>
      <c r="J626" s="11" t="s">
        <v>294</v>
      </c>
      <c r="K626" s="8" t="s">
        <v>29</v>
      </c>
      <c r="L626" s="17"/>
      <c r="M626" s="17"/>
      <c r="N626" s="18"/>
      <c r="O626" s="19"/>
      <c r="P626" s="7"/>
      <c r="Q626" s="7"/>
      <c r="R626" s="7"/>
      <c r="S626" s="17"/>
    </row>
    <row r="627" ht="13.5" customHeight="1">
      <c r="A627" s="13"/>
      <c r="B627" s="8"/>
      <c r="C627" s="8"/>
      <c r="D627" s="8"/>
      <c r="E627" s="8"/>
      <c r="F627" s="14"/>
      <c r="G627" s="8"/>
      <c r="H627" s="8"/>
      <c r="I627" s="13"/>
      <c r="J627" s="13"/>
      <c r="K627" s="8"/>
      <c r="L627" s="8"/>
      <c r="M627" s="17"/>
      <c r="N627" s="18"/>
      <c r="O627" s="19"/>
      <c r="P627" s="8"/>
      <c r="Q627" s="7"/>
      <c r="R627" s="7"/>
      <c r="S627" s="17"/>
    </row>
    <row r="628" ht="13.5" customHeight="1">
      <c r="A628" s="13" t="s">
        <v>671</v>
      </c>
      <c r="B628" s="8" t="s">
        <v>67</v>
      </c>
      <c r="C628" s="8" t="s">
        <v>68</v>
      </c>
      <c r="D628" s="8" t="s">
        <v>672</v>
      </c>
      <c r="E628" s="9" t="s">
        <v>673</v>
      </c>
      <c r="F628" s="8" t="s">
        <v>674</v>
      </c>
      <c r="G628" s="8" t="s">
        <v>258</v>
      </c>
      <c r="H628" s="11" t="s">
        <v>259</v>
      </c>
      <c r="I628" s="11" t="s">
        <v>260</v>
      </c>
      <c r="J628" s="11" t="s">
        <v>261</v>
      </c>
      <c r="K628" s="8" t="s">
        <v>675</v>
      </c>
      <c r="L628" s="8" t="s">
        <v>676</v>
      </c>
      <c r="M628" s="20">
        <v>45310.0</v>
      </c>
      <c r="N628" s="21">
        <v>2965.5</v>
      </c>
      <c r="O628" s="22">
        <v>3200.0</v>
      </c>
      <c r="P628" s="8"/>
      <c r="Q628" s="7"/>
      <c r="R628" s="7"/>
      <c r="S628" s="17"/>
    </row>
    <row r="629" ht="13.5" customHeight="1">
      <c r="A629" s="13" t="s">
        <v>677</v>
      </c>
      <c r="B629" s="8" t="s">
        <v>132</v>
      </c>
      <c r="C629" s="8" t="s">
        <v>68</v>
      </c>
      <c r="D629" s="8" t="s">
        <v>678</v>
      </c>
      <c r="E629" s="9" t="s">
        <v>679</v>
      </c>
      <c r="F629" s="8" t="s">
        <v>187</v>
      </c>
      <c r="G629" s="8" t="s">
        <v>258</v>
      </c>
      <c r="H629" s="11" t="s">
        <v>259</v>
      </c>
      <c r="I629" s="11" t="s">
        <v>260</v>
      </c>
      <c r="J629" s="11" t="s">
        <v>261</v>
      </c>
      <c r="K629" s="8" t="s">
        <v>675</v>
      </c>
      <c r="L629" s="8" t="s">
        <v>676</v>
      </c>
      <c r="M629" s="20">
        <v>45310.0</v>
      </c>
      <c r="N629" s="21">
        <v>250.0</v>
      </c>
      <c r="O629" s="22">
        <v>250.0</v>
      </c>
      <c r="P629" s="8"/>
      <c r="Q629" s="7"/>
      <c r="R629" s="7"/>
      <c r="S629" s="17"/>
    </row>
    <row r="630" ht="13.5" customHeight="1">
      <c r="A630" s="13" t="s">
        <v>680</v>
      </c>
      <c r="B630" s="8" t="s">
        <v>67</v>
      </c>
      <c r="C630" s="8" t="s">
        <v>68</v>
      </c>
      <c r="D630" s="8" t="s">
        <v>672</v>
      </c>
      <c r="E630" s="9" t="s">
        <v>681</v>
      </c>
      <c r="F630" s="8" t="s">
        <v>682</v>
      </c>
      <c r="G630" s="8" t="s">
        <v>683</v>
      </c>
      <c r="H630" s="11" t="s">
        <v>670</v>
      </c>
      <c r="I630" s="11" t="s">
        <v>27</v>
      </c>
      <c r="J630" s="11" t="s">
        <v>684</v>
      </c>
      <c r="K630" s="8" t="s">
        <v>675</v>
      </c>
      <c r="L630" s="8" t="s">
        <v>676</v>
      </c>
      <c r="M630" s="20">
        <v>45310.0</v>
      </c>
      <c r="N630" s="21">
        <v>2965.5</v>
      </c>
      <c r="O630" s="22">
        <v>3200.0</v>
      </c>
      <c r="P630" s="8"/>
      <c r="Q630" s="7"/>
      <c r="R630" s="7"/>
      <c r="S630" s="17"/>
    </row>
    <row r="631" ht="13.5" customHeight="1">
      <c r="A631" s="13" t="s">
        <v>685</v>
      </c>
      <c r="B631" s="8" t="s">
        <v>132</v>
      </c>
      <c r="C631" s="8" t="s">
        <v>68</v>
      </c>
      <c r="D631" s="8" t="s">
        <v>678</v>
      </c>
      <c r="E631" s="9" t="s">
        <v>686</v>
      </c>
      <c r="F631" s="8" t="s">
        <v>187</v>
      </c>
      <c r="G631" s="8" t="s">
        <v>683</v>
      </c>
      <c r="H631" s="11" t="s">
        <v>670</v>
      </c>
      <c r="I631" s="11" t="s">
        <v>27</v>
      </c>
      <c r="J631" s="11" t="s">
        <v>684</v>
      </c>
      <c r="K631" s="8" t="s">
        <v>675</v>
      </c>
      <c r="L631" s="8" t="s">
        <v>676</v>
      </c>
      <c r="M631" s="20">
        <v>45310.0</v>
      </c>
      <c r="N631" s="21">
        <v>250.0</v>
      </c>
      <c r="O631" s="22">
        <v>250.0</v>
      </c>
      <c r="P631" s="8"/>
      <c r="Q631" s="7"/>
      <c r="R631" s="7"/>
      <c r="S631" s="17"/>
    </row>
    <row r="632" ht="13.5" customHeight="1">
      <c r="A632" s="13" t="s">
        <v>687</v>
      </c>
      <c r="B632" s="8" t="s">
        <v>67</v>
      </c>
      <c r="C632" s="8" t="s">
        <v>68</v>
      </c>
      <c r="D632" s="8" t="s">
        <v>672</v>
      </c>
      <c r="E632" s="9" t="s">
        <v>688</v>
      </c>
      <c r="F632" s="8" t="s">
        <v>689</v>
      </c>
      <c r="G632" s="8" t="s">
        <v>690</v>
      </c>
      <c r="H632" s="11" t="s">
        <v>670</v>
      </c>
      <c r="I632" s="11" t="s">
        <v>27</v>
      </c>
      <c r="J632" s="11" t="s">
        <v>691</v>
      </c>
      <c r="K632" s="8" t="s">
        <v>675</v>
      </c>
      <c r="L632" s="8" t="s">
        <v>676</v>
      </c>
      <c r="M632" s="20">
        <v>45310.0</v>
      </c>
      <c r="N632" s="21">
        <v>2965.5</v>
      </c>
      <c r="O632" s="22">
        <v>3360.0</v>
      </c>
      <c r="P632" s="8" t="s">
        <v>692</v>
      </c>
      <c r="Q632" s="7"/>
      <c r="R632" s="7"/>
      <c r="S632" s="17"/>
    </row>
    <row r="633" ht="13.5" customHeight="1">
      <c r="A633" s="13" t="s">
        <v>693</v>
      </c>
      <c r="B633" s="8" t="s">
        <v>132</v>
      </c>
      <c r="C633" s="8" t="s">
        <v>68</v>
      </c>
      <c r="D633" s="8" t="s">
        <v>678</v>
      </c>
      <c r="E633" s="9" t="s">
        <v>694</v>
      </c>
      <c r="F633" s="8" t="s">
        <v>187</v>
      </c>
      <c r="G633" s="8" t="s">
        <v>690</v>
      </c>
      <c r="H633" s="11" t="s">
        <v>670</v>
      </c>
      <c r="I633" s="11" t="s">
        <v>27</v>
      </c>
      <c r="J633" s="11" t="s">
        <v>691</v>
      </c>
      <c r="K633" s="8" t="s">
        <v>675</v>
      </c>
      <c r="L633" s="8" t="s">
        <v>676</v>
      </c>
      <c r="M633" s="20">
        <v>45310.0</v>
      </c>
      <c r="N633" s="21">
        <v>250.0</v>
      </c>
      <c r="O633" s="22">
        <v>250.0</v>
      </c>
      <c r="P633" s="8"/>
      <c r="Q633" s="7"/>
      <c r="R633" s="7"/>
      <c r="S633" s="17"/>
    </row>
    <row r="634" ht="13.5" customHeight="1">
      <c r="A634" s="13" t="s">
        <v>695</v>
      </c>
      <c r="B634" s="8" t="s">
        <v>67</v>
      </c>
      <c r="C634" s="8" t="s">
        <v>68</v>
      </c>
      <c r="D634" s="8" t="s">
        <v>672</v>
      </c>
      <c r="E634" s="9" t="s">
        <v>696</v>
      </c>
      <c r="F634" s="8" t="s">
        <v>682</v>
      </c>
      <c r="G634" s="8" t="s">
        <v>2147</v>
      </c>
      <c r="H634" s="11" t="s">
        <v>259</v>
      </c>
      <c r="I634" s="11" t="s">
        <v>260</v>
      </c>
      <c r="J634" s="11" t="s">
        <v>261</v>
      </c>
      <c r="K634" s="8" t="s">
        <v>675</v>
      </c>
      <c r="L634" s="8" t="s">
        <v>676</v>
      </c>
      <c r="M634" s="20">
        <v>45310.0</v>
      </c>
      <c r="N634" s="21">
        <v>2965.5</v>
      </c>
      <c r="O634" s="22">
        <v>3200.0</v>
      </c>
      <c r="P634" s="8"/>
      <c r="Q634" s="7"/>
      <c r="R634" s="7"/>
      <c r="S634" s="17"/>
    </row>
    <row r="635" ht="13.5" customHeight="1">
      <c r="A635" s="13" t="s">
        <v>697</v>
      </c>
      <c r="B635" s="8" t="s">
        <v>132</v>
      </c>
      <c r="C635" s="8" t="s">
        <v>68</v>
      </c>
      <c r="D635" s="8" t="s">
        <v>678</v>
      </c>
      <c r="E635" s="9" t="s">
        <v>698</v>
      </c>
      <c r="F635" s="8" t="s">
        <v>187</v>
      </c>
      <c r="G635" s="8" t="s">
        <v>2147</v>
      </c>
      <c r="H635" s="11" t="s">
        <v>259</v>
      </c>
      <c r="I635" s="11" t="s">
        <v>260</v>
      </c>
      <c r="J635" s="11" t="s">
        <v>261</v>
      </c>
      <c r="K635" s="8" t="s">
        <v>675</v>
      </c>
      <c r="L635" s="8" t="s">
        <v>676</v>
      </c>
      <c r="M635" s="20">
        <v>45310.0</v>
      </c>
      <c r="N635" s="21">
        <v>250.0</v>
      </c>
      <c r="O635" s="22">
        <v>250.0</v>
      </c>
      <c r="P635" s="8"/>
      <c r="Q635" s="7"/>
      <c r="R635" s="7"/>
      <c r="S635" s="17"/>
    </row>
    <row r="636" ht="13.5" customHeight="1">
      <c r="A636" s="13" t="s">
        <v>699</v>
      </c>
      <c r="B636" s="8" t="s">
        <v>67</v>
      </c>
      <c r="C636" s="8" t="s">
        <v>68</v>
      </c>
      <c r="D636" s="8" t="s">
        <v>672</v>
      </c>
      <c r="E636" s="9" t="s">
        <v>700</v>
      </c>
      <c r="F636" s="8" t="s">
        <v>682</v>
      </c>
      <c r="G636" s="8" t="s">
        <v>878</v>
      </c>
      <c r="H636" s="11" t="s">
        <v>670</v>
      </c>
      <c r="I636" s="11" t="s">
        <v>260</v>
      </c>
      <c r="J636" s="11" t="s">
        <v>294</v>
      </c>
      <c r="K636" s="8" t="s">
        <v>675</v>
      </c>
      <c r="L636" s="8" t="s">
        <v>676</v>
      </c>
      <c r="M636" s="20">
        <v>45310.0</v>
      </c>
      <c r="N636" s="21">
        <v>2965.5</v>
      </c>
      <c r="O636" s="22">
        <v>3200.0</v>
      </c>
      <c r="P636" s="8" t="s">
        <v>703</v>
      </c>
      <c r="Q636" s="7"/>
      <c r="R636" s="7"/>
      <c r="S636" s="17"/>
    </row>
    <row r="637" ht="13.5" customHeight="1">
      <c r="A637" s="13" t="s">
        <v>704</v>
      </c>
      <c r="B637" s="8" t="s">
        <v>132</v>
      </c>
      <c r="C637" s="8" t="s">
        <v>68</v>
      </c>
      <c r="D637" s="8" t="s">
        <v>678</v>
      </c>
      <c r="E637" s="9" t="s">
        <v>705</v>
      </c>
      <c r="F637" s="8" t="s">
        <v>187</v>
      </c>
      <c r="G637" s="8" t="s">
        <v>878</v>
      </c>
      <c r="H637" s="11" t="s">
        <v>670</v>
      </c>
      <c r="I637" s="11" t="s">
        <v>260</v>
      </c>
      <c r="J637" s="11" t="s">
        <v>294</v>
      </c>
      <c r="K637" s="8" t="s">
        <v>675</v>
      </c>
      <c r="L637" s="8" t="s">
        <v>676</v>
      </c>
      <c r="M637" s="20">
        <v>45310.0</v>
      </c>
      <c r="N637" s="21">
        <v>250.0</v>
      </c>
      <c r="O637" s="22">
        <v>250.0</v>
      </c>
      <c r="P637" s="8" t="s">
        <v>703</v>
      </c>
      <c r="Q637" s="7"/>
      <c r="R637" s="7"/>
      <c r="S637" s="17"/>
    </row>
    <row r="638" ht="13.5" customHeight="1">
      <c r="A638" s="13" t="s">
        <v>706</v>
      </c>
      <c r="B638" s="8" t="s">
        <v>67</v>
      </c>
      <c r="C638" s="8" t="s">
        <v>68</v>
      </c>
      <c r="D638" s="8" t="s">
        <v>672</v>
      </c>
      <c r="E638" s="9" t="s">
        <v>707</v>
      </c>
      <c r="F638" s="8" t="s">
        <v>674</v>
      </c>
      <c r="G638" s="8" t="s">
        <v>709</v>
      </c>
      <c r="H638" s="11" t="s">
        <v>259</v>
      </c>
      <c r="I638" s="11" t="s">
        <v>260</v>
      </c>
      <c r="J638" s="11" t="s">
        <v>261</v>
      </c>
      <c r="K638" s="8" t="s">
        <v>675</v>
      </c>
      <c r="L638" s="8" t="s">
        <v>676</v>
      </c>
      <c r="M638" s="20">
        <v>45310.0</v>
      </c>
      <c r="N638" s="21">
        <v>2965.5</v>
      </c>
      <c r="O638" s="22">
        <v>3200.0</v>
      </c>
      <c r="P638" s="8"/>
      <c r="Q638" s="7"/>
      <c r="R638" s="7"/>
      <c r="S638" s="17"/>
    </row>
    <row r="639" ht="13.5" customHeight="1">
      <c r="A639" s="13" t="s">
        <v>710</v>
      </c>
      <c r="B639" s="8" t="s">
        <v>132</v>
      </c>
      <c r="C639" s="8" t="s">
        <v>68</v>
      </c>
      <c r="D639" s="8" t="s">
        <v>678</v>
      </c>
      <c r="E639" s="9" t="s">
        <v>711</v>
      </c>
      <c r="F639" s="8" t="s">
        <v>187</v>
      </c>
      <c r="G639" s="8" t="s">
        <v>709</v>
      </c>
      <c r="H639" s="11" t="s">
        <v>259</v>
      </c>
      <c r="I639" s="11" t="s">
        <v>260</v>
      </c>
      <c r="J639" s="11" t="s">
        <v>261</v>
      </c>
      <c r="K639" s="8" t="s">
        <v>675</v>
      </c>
      <c r="L639" s="8" t="s">
        <v>676</v>
      </c>
      <c r="M639" s="20">
        <v>45310.0</v>
      </c>
      <c r="N639" s="21">
        <v>250.0</v>
      </c>
      <c r="O639" s="22">
        <v>250.0</v>
      </c>
      <c r="P639" s="8"/>
      <c r="Q639" s="7"/>
      <c r="R639" s="7"/>
      <c r="S639" s="17"/>
    </row>
    <row r="640" ht="13.5" customHeight="1">
      <c r="A640" s="13" t="s">
        <v>712</v>
      </c>
      <c r="B640" s="8" t="s">
        <v>196</v>
      </c>
      <c r="C640" s="8" t="s">
        <v>197</v>
      </c>
      <c r="D640" s="8" t="s">
        <v>198</v>
      </c>
      <c r="E640" s="9" t="s">
        <v>713</v>
      </c>
      <c r="F640" s="8" t="s">
        <v>714</v>
      </c>
      <c r="G640" s="8" t="s">
        <v>84</v>
      </c>
      <c r="H640" s="11" t="s">
        <v>259</v>
      </c>
      <c r="I640" s="11" t="s">
        <v>27</v>
      </c>
      <c r="J640" s="11" t="s">
        <v>28</v>
      </c>
      <c r="K640" s="8" t="s">
        <v>675</v>
      </c>
      <c r="L640" s="8" t="s">
        <v>676</v>
      </c>
      <c r="M640" s="20">
        <v>45310.0</v>
      </c>
      <c r="N640" s="21">
        <v>212.4</v>
      </c>
      <c r="O640" s="19"/>
      <c r="P640" s="8"/>
      <c r="Q640" s="7"/>
      <c r="R640" s="7"/>
      <c r="S640" s="17"/>
    </row>
    <row r="641" ht="13.5" customHeight="1">
      <c r="A641" s="13" t="s">
        <v>715</v>
      </c>
      <c r="B641" s="8" t="s">
        <v>93</v>
      </c>
      <c r="C641" s="8" t="s">
        <v>86</v>
      </c>
      <c r="D641" s="8" t="s">
        <v>716</v>
      </c>
      <c r="E641" s="9" t="s">
        <v>717</v>
      </c>
      <c r="F641" s="8" t="s">
        <v>718</v>
      </c>
      <c r="G641" s="8" t="s">
        <v>84</v>
      </c>
      <c r="H641" s="11" t="s">
        <v>670</v>
      </c>
      <c r="I641" s="11" t="s">
        <v>260</v>
      </c>
      <c r="J641" s="11" t="s">
        <v>667</v>
      </c>
      <c r="K641" s="8" t="s">
        <v>675</v>
      </c>
      <c r="L641" s="8" t="s">
        <v>719</v>
      </c>
      <c r="M641" s="20">
        <v>45352.0</v>
      </c>
      <c r="N641" s="21">
        <v>410.87</v>
      </c>
      <c r="O641" s="19"/>
      <c r="P641" s="8"/>
      <c r="Q641" s="7"/>
      <c r="R641" s="7"/>
      <c r="S641" s="17"/>
    </row>
    <row r="642" ht="13.5" customHeight="1">
      <c r="A642" s="13" t="s">
        <v>720</v>
      </c>
      <c r="B642" s="8" t="s">
        <v>721</v>
      </c>
      <c r="C642" s="8" t="s">
        <v>722</v>
      </c>
      <c r="D642" s="8" t="s">
        <v>723</v>
      </c>
      <c r="E642" s="9" t="s">
        <v>724</v>
      </c>
      <c r="F642" s="8" t="s">
        <v>725</v>
      </c>
      <c r="G642" s="8" t="s">
        <v>84</v>
      </c>
      <c r="H642" s="11" t="s">
        <v>670</v>
      </c>
      <c r="I642" s="11" t="s">
        <v>260</v>
      </c>
      <c r="J642" s="11" t="s">
        <v>667</v>
      </c>
      <c r="K642" s="8" t="s">
        <v>675</v>
      </c>
      <c r="L642" s="8" t="s">
        <v>719</v>
      </c>
      <c r="M642" s="20">
        <v>45352.0</v>
      </c>
      <c r="N642" s="21">
        <v>50.0</v>
      </c>
      <c r="O642" s="19"/>
      <c r="P642" s="8"/>
      <c r="Q642" s="7"/>
      <c r="R642" s="7"/>
      <c r="S642" s="17"/>
    </row>
    <row r="643" ht="13.5" customHeight="1">
      <c r="A643" s="13" t="s">
        <v>726</v>
      </c>
      <c r="B643" s="8" t="s">
        <v>85</v>
      </c>
      <c r="C643" s="8" t="s">
        <v>86</v>
      </c>
      <c r="D643" s="8" t="s">
        <v>252</v>
      </c>
      <c r="E643" s="9" t="s">
        <v>727</v>
      </c>
      <c r="F643" s="8" t="s">
        <v>728</v>
      </c>
      <c r="G643" s="8" t="s">
        <v>84</v>
      </c>
      <c r="H643" s="11" t="s">
        <v>670</v>
      </c>
      <c r="I643" s="11" t="s">
        <v>260</v>
      </c>
      <c r="J643" s="11" t="s">
        <v>667</v>
      </c>
      <c r="K643" s="8" t="s">
        <v>675</v>
      </c>
      <c r="L643" s="8" t="s">
        <v>719</v>
      </c>
      <c r="M643" s="20">
        <v>45352.0</v>
      </c>
      <c r="N643" s="21">
        <v>410.2</v>
      </c>
      <c r="O643" s="19"/>
      <c r="P643" s="8"/>
      <c r="Q643" s="7"/>
      <c r="R643" s="7"/>
      <c r="S643" s="17"/>
    </row>
    <row r="644" ht="13.5" customHeight="1">
      <c r="A644" s="13" t="s">
        <v>729</v>
      </c>
      <c r="B644" s="8" t="s">
        <v>85</v>
      </c>
      <c r="C644" s="8" t="s">
        <v>86</v>
      </c>
      <c r="D644" s="8" t="s">
        <v>252</v>
      </c>
      <c r="E644" s="9" t="s">
        <v>33</v>
      </c>
      <c r="F644" s="8" t="s">
        <v>728</v>
      </c>
      <c r="G644" s="8" t="s">
        <v>84</v>
      </c>
      <c r="H644" s="11" t="s">
        <v>670</v>
      </c>
      <c r="I644" s="11" t="s">
        <v>260</v>
      </c>
      <c r="J644" s="11" t="s">
        <v>667</v>
      </c>
      <c r="K644" s="8" t="s">
        <v>675</v>
      </c>
      <c r="L644" s="8" t="s">
        <v>719</v>
      </c>
      <c r="M644" s="20">
        <v>45352.0</v>
      </c>
      <c r="N644" s="21">
        <v>410.2</v>
      </c>
      <c r="O644" s="19"/>
      <c r="P644" s="8"/>
      <c r="Q644" s="7"/>
      <c r="R644" s="7"/>
      <c r="S644" s="17"/>
    </row>
    <row r="645" ht="13.5" customHeight="1">
      <c r="A645" s="13" t="s">
        <v>730</v>
      </c>
      <c r="B645" s="8" t="s">
        <v>85</v>
      </c>
      <c r="C645" s="8" t="s">
        <v>86</v>
      </c>
      <c r="D645" s="8" t="s">
        <v>252</v>
      </c>
      <c r="E645" s="9" t="s">
        <v>33</v>
      </c>
      <c r="F645" s="8" t="s">
        <v>728</v>
      </c>
      <c r="G645" s="8" t="s">
        <v>84</v>
      </c>
      <c r="H645" s="11" t="s">
        <v>670</v>
      </c>
      <c r="I645" s="11" t="s">
        <v>260</v>
      </c>
      <c r="J645" s="11" t="s">
        <v>667</v>
      </c>
      <c r="K645" s="8" t="s">
        <v>675</v>
      </c>
      <c r="L645" s="8" t="s">
        <v>719</v>
      </c>
      <c r="M645" s="20">
        <v>45352.0</v>
      </c>
      <c r="N645" s="21">
        <v>410.2</v>
      </c>
      <c r="O645" s="19"/>
      <c r="P645" s="8"/>
      <c r="Q645" s="7"/>
      <c r="R645" s="7"/>
      <c r="S645" s="17"/>
    </row>
    <row r="646" ht="13.5" customHeight="1">
      <c r="A646" s="13" t="s">
        <v>731</v>
      </c>
      <c r="B646" s="8" t="s">
        <v>85</v>
      </c>
      <c r="C646" s="8" t="s">
        <v>86</v>
      </c>
      <c r="D646" s="8" t="s">
        <v>252</v>
      </c>
      <c r="E646" s="9" t="s">
        <v>33</v>
      </c>
      <c r="F646" s="8" t="s">
        <v>728</v>
      </c>
      <c r="G646" s="8" t="s">
        <v>84</v>
      </c>
      <c r="H646" s="11" t="s">
        <v>670</v>
      </c>
      <c r="I646" s="11" t="s">
        <v>260</v>
      </c>
      <c r="J646" s="11" t="s">
        <v>667</v>
      </c>
      <c r="K646" s="8" t="s">
        <v>675</v>
      </c>
      <c r="L646" s="8" t="s">
        <v>719</v>
      </c>
      <c r="M646" s="20">
        <v>45352.0</v>
      </c>
      <c r="N646" s="21">
        <v>410.2</v>
      </c>
      <c r="O646" s="19"/>
      <c r="P646" s="8"/>
      <c r="Q646" s="7"/>
      <c r="R646" s="7"/>
      <c r="S646" s="17"/>
    </row>
    <row r="647" ht="13.5" customHeight="1">
      <c r="A647" s="13" t="s">
        <v>732</v>
      </c>
      <c r="B647" s="8" t="s">
        <v>67</v>
      </c>
      <c r="C647" s="8" t="s">
        <v>68</v>
      </c>
      <c r="D647" s="8" t="s">
        <v>672</v>
      </c>
      <c r="E647" s="9" t="s">
        <v>733</v>
      </c>
      <c r="F647" s="8" t="s">
        <v>734</v>
      </c>
      <c r="G647" s="8" t="s">
        <v>735</v>
      </c>
      <c r="H647" s="11" t="s">
        <v>670</v>
      </c>
      <c r="I647" s="11" t="s">
        <v>260</v>
      </c>
      <c r="J647" s="11" t="s">
        <v>555</v>
      </c>
      <c r="K647" s="8" t="s">
        <v>675</v>
      </c>
      <c r="L647" s="23" t="s">
        <v>719</v>
      </c>
      <c r="M647" s="20">
        <v>45376.0</v>
      </c>
      <c r="N647" s="21">
        <v>2851.5</v>
      </c>
      <c r="O647" s="22">
        <v>3200.0</v>
      </c>
      <c r="P647" s="8"/>
      <c r="Q647" s="7"/>
      <c r="R647" s="7"/>
      <c r="S647" s="17"/>
    </row>
    <row r="648" ht="13.5" customHeight="1">
      <c r="A648" s="13" t="s">
        <v>736</v>
      </c>
      <c r="B648" s="8" t="s">
        <v>132</v>
      </c>
      <c r="C648" s="8" t="s">
        <v>68</v>
      </c>
      <c r="D648" s="8" t="s">
        <v>678</v>
      </c>
      <c r="E648" s="9" t="s">
        <v>737</v>
      </c>
      <c r="F648" s="8" t="s">
        <v>738</v>
      </c>
      <c r="G648" s="8" t="s">
        <v>735</v>
      </c>
      <c r="H648" s="11" t="s">
        <v>670</v>
      </c>
      <c r="I648" s="11" t="s">
        <v>260</v>
      </c>
      <c r="J648" s="11" t="s">
        <v>555</v>
      </c>
      <c r="K648" s="8" t="s">
        <v>675</v>
      </c>
      <c r="L648" s="8" t="s">
        <v>719</v>
      </c>
      <c r="M648" s="20">
        <v>45376.0</v>
      </c>
      <c r="N648" s="21">
        <v>250.0</v>
      </c>
      <c r="O648" s="22">
        <v>250.0</v>
      </c>
      <c r="P648" s="8"/>
      <c r="Q648" s="7"/>
      <c r="R648" s="7"/>
      <c r="S648" s="17"/>
    </row>
    <row r="649" ht="13.5" customHeight="1">
      <c r="A649" s="13" t="s">
        <v>739</v>
      </c>
      <c r="B649" s="8" t="s">
        <v>67</v>
      </c>
      <c r="C649" s="8" t="s">
        <v>68</v>
      </c>
      <c r="D649" s="8" t="s">
        <v>672</v>
      </c>
      <c r="E649" s="9" t="s">
        <v>740</v>
      </c>
      <c r="F649" s="8" t="s">
        <v>689</v>
      </c>
      <c r="G649" s="8" t="s">
        <v>2449</v>
      </c>
      <c r="H649" s="11" t="s">
        <v>670</v>
      </c>
      <c r="I649" s="11" t="s">
        <v>27</v>
      </c>
      <c r="J649" s="11" t="s">
        <v>691</v>
      </c>
      <c r="K649" s="8" t="s">
        <v>675</v>
      </c>
      <c r="L649" s="8" t="s">
        <v>719</v>
      </c>
      <c r="M649" s="20">
        <v>45376.0</v>
      </c>
      <c r="N649" s="21">
        <v>2851.5</v>
      </c>
      <c r="O649" s="22">
        <v>3360.0</v>
      </c>
      <c r="P649" s="8" t="s">
        <v>692</v>
      </c>
      <c r="Q649" s="7"/>
      <c r="R649" s="7"/>
      <c r="S649" s="17"/>
    </row>
    <row r="650" ht="13.5" customHeight="1">
      <c r="A650" s="13" t="s">
        <v>742</v>
      </c>
      <c r="B650" s="8" t="s">
        <v>132</v>
      </c>
      <c r="C650" s="8" t="s">
        <v>68</v>
      </c>
      <c r="D650" s="8" t="s">
        <v>678</v>
      </c>
      <c r="E650" s="9" t="s">
        <v>743</v>
      </c>
      <c r="F650" s="8" t="s">
        <v>187</v>
      </c>
      <c r="G650" s="8" t="s">
        <v>2449</v>
      </c>
      <c r="H650" s="11" t="s">
        <v>670</v>
      </c>
      <c r="I650" s="11" t="s">
        <v>27</v>
      </c>
      <c r="J650" s="11" t="s">
        <v>691</v>
      </c>
      <c r="K650" s="8" t="s">
        <v>675</v>
      </c>
      <c r="L650" s="8" t="s">
        <v>719</v>
      </c>
      <c r="M650" s="20">
        <v>45376.0</v>
      </c>
      <c r="N650" s="21">
        <v>250.0</v>
      </c>
      <c r="O650" s="22">
        <v>250.0</v>
      </c>
      <c r="P650" s="8"/>
      <c r="Q650" s="7"/>
      <c r="R650" s="7"/>
      <c r="S650" s="17"/>
    </row>
    <row r="651" ht="13.5" customHeight="1">
      <c r="A651" s="13" t="s">
        <v>744</v>
      </c>
      <c r="B651" s="8" t="s">
        <v>196</v>
      </c>
      <c r="C651" s="8" t="s">
        <v>197</v>
      </c>
      <c r="D651" s="8" t="s">
        <v>198</v>
      </c>
      <c r="E651" s="9" t="s">
        <v>745</v>
      </c>
      <c r="F651" s="8" t="s">
        <v>714</v>
      </c>
      <c r="G651" s="8" t="s">
        <v>84</v>
      </c>
      <c r="H651" s="11" t="s">
        <v>259</v>
      </c>
      <c r="I651" s="11" t="s">
        <v>27</v>
      </c>
      <c r="J651" s="11" t="s">
        <v>28</v>
      </c>
      <c r="K651" s="8" t="s">
        <v>675</v>
      </c>
      <c r="L651" s="8" t="s">
        <v>676</v>
      </c>
      <c r="M651" s="20">
        <v>45377.0</v>
      </c>
      <c r="N651" s="21">
        <v>212.4</v>
      </c>
      <c r="O651" s="19"/>
      <c r="P651" s="8"/>
      <c r="Q651" s="7"/>
      <c r="R651" s="7"/>
      <c r="S651" s="17"/>
    </row>
    <row r="652" ht="13.5" customHeight="1">
      <c r="A652" s="13" t="s">
        <v>746</v>
      </c>
      <c r="B652" s="8" t="s">
        <v>196</v>
      </c>
      <c r="C652" s="8" t="s">
        <v>197</v>
      </c>
      <c r="D652" s="8" t="s">
        <v>198</v>
      </c>
      <c r="E652" s="9" t="s">
        <v>199</v>
      </c>
      <c r="F652" s="8" t="s">
        <v>714</v>
      </c>
      <c r="G652" s="8" t="s">
        <v>84</v>
      </c>
      <c r="H652" s="11" t="s">
        <v>143</v>
      </c>
      <c r="I652" s="11" t="s">
        <v>27</v>
      </c>
      <c r="J652" s="11" t="s">
        <v>28</v>
      </c>
      <c r="K652" s="8" t="s">
        <v>675</v>
      </c>
      <c r="L652" s="8" t="s">
        <v>676</v>
      </c>
      <c r="M652" s="20">
        <v>45377.0</v>
      </c>
      <c r="N652" s="21">
        <v>212.4</v>
      </c>
      <c r="O652" s="19"/>
      <c r="P652" s="8"/>
      <c r="Q652" s="7"/>
      <c r="R652" s="7"/>
      <c r="S652" s="17"/>
    </row>
    <row r="653" ht="13.5" customHeight="1">
      <c r="A653" s="13" t="s">
        <v>747</v>
      </c>
      <c r="B653" s="8" t="s">
        <v>290</v>
      </c>
      <c r="C653" s="8" t="s">
        <v>291</v>
      </c>
      <c r="D653" s="8" t="s">
        <v>292</v>
      </c>
      <c r="E653" s="9" t="s">
        <v>748</v>
      </c>
      <c r="F653" s="8" t="s">
        <v>293</v>
      </c>
      <c r="G653" s="8" t="s">
        <v>749</v>
      </c>
      <c r="H653" s="8" t="s">
        <v>670</v>
      </c>
      <c r="I653" s="8" t="s">
        <v>27</v>
      </c>
      <c r="J653" s="8" t="s">
        <v>684</v>
      </c>
      <c r="K653" s="8" t="s">
        <v>675</v>
      </c>
      <c r="L653" s="8" t="s">
        <v>719</v>
      </c>
      <c r="M653" s="20">
        <v>45377.0</v>
      </c>
      <c r="N653" s="21">
        <v>151.3</v>
      </c>
      <c r="O653" s="22">
        <v>170.0</v>
      </c>
      <c r="P653" s="7"/>
      <c r="Q653" s="7"/>
      <c r="R653" s="7"/>
      <c r="S653" s="17"/>
    </row>
    <row r="654" ht="13.5" customHeight="1">
      <c r="A654" s="13" t="s">
        <v>750</v>
      </c>
      <c r="B654" s="8" t="s">
        <v>290</v>
      </c>
      <c r="C654" s="8" t="s">
        <v>291</v>
      </c>
      <c r="D654" s="8" t="s">
        <v>292</v>
      </c>
      <c r="E654" s="9" t="s">
        <v>751</v>
      </c>
      <c r="F654" s="8" t="s">
        <v>293</v>
      </c>
      <c r="G654" s="8" t="s">
        <v>2515</v>
      </c>
      <c r="H654" s="8" t="s">
        <v>670</v>
      </c>
      <c r="I654" s="8" t="s">
        <v>27</v>
      </c>
      <c r="J654" s="8" t="s">
        <v>684</v>
      </c>
      <c r="K654" s="8" t="s">
        <v>675</v>
      </c>
      <c r="L654" s="8" t="s">
        <v>719</v>
      </c>
      <c r="M654" s="20">
        <v>45377.0</v>
      </c>
      <c r="N654" s="21">
        <v>151.3</v>
      </c>
      <c r="O654" s="22">
        <v>170.0</v>
      </c>
      <c r="P654" s="7"/>
      <c r="Q654" s="7"/>
      <c r="R654" s="7"/>
      <c r="S654" s="17"/>
    </row>
    <row r="655" ht="13.5" customHeight="1">
      <c r="A655" s="13" t="s">
        <v>752</v>
      </c>
      <c r="B655" s="8" t="s">
        <v>290</v>
      </c>
      <c r="C655" s="8" t="s">
        <v>291</v>
      </c>
      <c r="D655" s="8" t="s">
        <v>292</v>
      </c>
      <c r="E655" s="9" t="s">
        <v>753</v>
      </c>
      <c r="F655" s="8" t="s">
        <v>293</v>
      </c>
      <c r="G655" s="8" t="s">
        <v>634</v>
      </c>
      <c r="H655" s="8" t="s">
        <v>259</v>
      </c>
      <c r="I655" s="8" t="s">
        <v>27</v>
      </c>
      <c r="J655" s="8" t="s">
        <v>635</v>
      </c>
      <c r="K655" s="8" t="s">
        <v>675</v>
      </c>
      <c r="L655" s="8" t="s">
        <v>719</v>
      </c>
      <c r="M655" s="20">
        <v>45377.0</v>
      </c>
      <c r="N655" s="21">
        <v>151.3</v>
      </c>
      <c r="O655" s="22">
        <v>170.0</v>
      </c>
      <c r="P655" s="7"/>
      <c r="Q655" s="7"/>
      <c r="R655" s="7"/>
      <c r="S655" s="17"/>
    </row>
    <row r="656" ht="13.5" customHeight="1">
      <c r="A656" s="13" t="s">
        <v>754</v>
      </c>
      <c r="B656" s="8" t="s">
        <v>290</v>
      </c>
      <c r="C656" s="8" t="s">
        <v>291</v>
      </c>
      <c r="D656" s="8" t="s">
        <v>292</v>
      </c>
      <c r="E656" s="9" t="s">
        <v>755</v>
      </c>
      <c r="F656" s="8" t="s">
        <v>293</v>
      </c>
      <c r="G656" s="8" t="s">
        <v>756</v>
      </c>
      <c r="H656" s="8" t="s">
        <v>670</v>
      </c>
      <c r="I656" s="8" t="s">
        <v>27</v>
      </c>
      <c r="J656" s="8" t="s">
        <v>684</v>
      </c>
      <c r="K656" s="8" t="s">
        <v>675</v>
      </c>
      <c r="L656" s="8" t="s">
        <v>719</v>
      </c>
      <c r="M656" s="20">
        <v>45377.0</v>
      </c>
      <c r="N656" s="21">
        <v>151.3</v>
      </c>
      <c r="O656" s="22">
        <v>170.0</v>
      </c>
      <c r="P656" s="7"/>
      <c r="Q656" s="7"/>
      <c r="R656" s="7"/>
      <c r="S656" s="17"/>
    </row>
    <row r="657" ht="13.5" customHeight="1">
      <c r="A657" s="13" t="s">
        <v>757</v>
      </c>
      <c r="B657" s="8" t="s">
        <v>290</v>
      </c>
      <c r="C657" s="8" t="s">
        <v>291</v>
      </c>
      <c r="D657" s="8" t="s">
        <v>292</v>
      </c>
      <c r="E657" s="9" t="s">
        <v>758</v>
      </c>
      <c r="F657" s="8" t="s">
        <v>293</v>
      </c>
      <c r="G657" s="8" t="s">
        <v>759</v>
      </c>
      <c r="H657" s="8" t="s">
        <v>259</v>
      </c>
      <c r="I657" s="8" t="s">
        <v>27</v>
      </c>
      <c r="J657" s="8" t="s">
        <v>635</v>
      </c>
      <c r="K657" s="8" t="s">
        <v>675</v>
      </c>
      <c r="L657" s="8" t="s">
        <v>719</v>
      </c>
      <c r="M657" s="20">
        <v>45377.0</v>
      </c>
      <c r="N657" s="21">
        <v>151.3</v>
      </c>
      <c r="O657" s="22">
        <v>170.0</v>
      </c>
      <c r="P657" s="7"/>
      <c r="Q657" s="7"/>
      <c r="R657" s="7"/>
      <c r="S657" s="17"/>
    </row>
    <row r="658" ht="13.5" customHeight="1">
      <c r="A658" s="13" t="s">
        <v>760</v>
      </c>
      <c r="B658" s="8" t="s">
        <v>290</v>
      </c>
      <c r="C658" s="8" t="s">
        <v>291</v>
      </c>
      <c r="D658" s="8" t="s">
        <v>292</v>
      </c>
      <c r="E658" s="9" t="s">
        <v>761</v>
      </c>
      <c r="F658" s="8" t="s">
        <v>293</v>
      </c>
      <c r="G658" s="8" t="s">
        <v>762</v>
      </c>
      <c r="H658" s="8" t="s">
        <v>670</v>
      </c>
      <c r="I658" s="8" t="s">
        <v>27</v>
      </c>
      <c r="J658" s="8" t="s">
        <v>684</v>
      </c>
      <c r="K658" s="8" t="s">
        <v>675</v>
      </c>
      <c r="L658" s="8" t="s">
        <v>719</v>
      </c>
      <c r="M658" s="20">
        <v>45377.0</v>
      </c>
      <c r="N658" s="21">
        <v>151.3</v>
      </c>
      <c r="O658" s="22">
        <v>170.0</v>
      </c>
      <c r="P658" s="7"/>
      <c r="Q658" s="7"/>
      <c r="R658" s="7"/>
      <c r="S658" s="17"/>
    </row>
    <row r="659" ht="13.5" customHeight="1">
      <c r="A659" s="13" t="s">
        <v>763</v>
      </c>
      <c r="B659" s="8" t="s">
        <v>290</v>
      </c>
      <c r="C659" s="8" t="s">
        <v>291</v>
      </c>
      <c r="D659" s="8" t="s">
        <v>292</v>
      </c>
      <c r="E659" s="9" t="s">
        <v>764</v>
      </c>
      <c r="F659" s="8" t="s">
        <v>293</v>
      </c>
      <c r="G659" s="8" t="s">
        <v>2516</v>
      </c>
      <c r="H659" s="8" t="s">
        <v>670</v>
      </c>
      <c r="I659" s="8" t="s">
        <v>27</v>
      </c>
      <c r="J659" s="8" t="s">
        <v>684</v>
      </c>
      <c r="K659" s="8" t="s">
        <v>675</v>
      </c>
      <c r="L659" s="8" t="s">
        <v>719</v>
      </c>
      <c r="M659" s="20">
        <v>45377.0</v>
      </c>
      <c r="N659" s="21">
        <v>151.3</v>
      </c>
      <c r="O659" s="22">
        <v>170.0</v>
      </c>
      <c r="P659" s="7"/>
      <c r="Q659" s="7"/>
      <c r="R659" s="7"/>
      <c r="S659" s="17"/>
    </row>
    <row r="660" ht="13.5" customHeight="1">
      <c r="A660" s="13" t="s">
        <v>766</v>
      </c>
      <c r="B660" s="8" t="s">
        <v>290</v>
      </c>
      <c r="C660" s="8" t="s">
        <v>291</v>
      </c>
      <c r="D660" s="8" t="s">
        <v>292</v>
      </c>
      <c r="E660" s="9" t="s">
        <v>767</v>
      </c>
      <c r="F660" s="8" t="s">
        <v>293</v>
      </c>
      <c r="G660" s="8" t="s">
        <v>2517</v>
      </c>
      <c r="H660" s="8" t="s">
        <v>670</v>
      </c>
      <c r="I660" s="8" t="s">
        <v>27</v>
      </c>
      <c r="J660" s="8" t="s">
        <v>684</v>
      </c>
      <c r="K660" s="8" t="s">
        <v>675</v>
      </c>
      <c r="L660" s="8" t="s">
        <v>719</v>
      </c>
      <c r="M660" s="20">
        <v>45377.0</v>
      </c>
      <c r="N660" s="21">
        <v>151.3</v>
      </c>
      <c r="O660" s="22">
        <v>170.0</v>
      </c>
      <c r="P660" s="7"/>
      <c r="Q660" s="7"/>
      <c r="R660" s="7"/>
      <c r="S660" s="17"/>
    </row>
    <row r="661" ht="13.5" customHeight="1">
      <c r="A661" s="13" t="s">
        <v>769</v>
      </c>
      <c r="B661" s="8" t="s">
        <v>290</v>
      </c>
      <c r="C661" s="8" t="s">
        <v>291</v>
      </c>
      <c r="D661" s="8" t="s">
        <v>292</v>
      </c>
      <c r="E661" s="9" t="s">
        <v>770</v>
      </c>
      <c r="F661" s="8" t="s">
        <v>293</v>
      </c>
      <c r="G661" s="8" t="s">
        <v>771</v>
      </c>
      <c r="H661" s="8" t="s">
        <v>259</v>
      </c>
      <c r="I661" s="8" t="s">
        <v>27</v>
      </c>
      <c r="J661" s="8" t="s">
        <v>635</v>
      </c>
      <c r="K661" s="8" t="s">
        <v>675</v>
      </c>
      <c r="L661" s="8" t="s">
        <v>719</v>
      </c>
      <c r="M661" s="20">
        <v>45377.0</v>
      </c>
      <c r="N661" s="21">
        <v>151.3</v>
      </c>
      <c r="O661" s="22">
        <v>170.0</v>
      </c>
      <c r="P661" s="7"/>
      <c r="Q661" s="7"/>
      <c r="R661" s="7"/>
      <c r="S661" s="17"/>
    </row>
    <row r="662" ht="13.5" customHeight="1">
      <c r="A662" s="13" t="s">
        <v>772</v>
      </c>
      <c r="B662" s="8" t="s">
        <v>290</v>
      </c>
      <c r="C662" s="8" t="s">
        <v>291</v>
      </c>
      <c r="D662" s="8" t="s">
        <v>292</v>
      </c>
      <c r="E662" s="9" t="s">
        <v>773</v>
      </c>
      <c r="F662" s="8" t="s">
        <v>293</v>
      </c>
      <c r="G662" s="8" t="s">
        <v>774</v>
      </c>
      <c r="H662" s="8" t="s">
        <v>259</v>
      </c>
      <c r="I662" s="8" t="s">
        <v>27</v>
      </c>
      <c r="J662" s="8" t="s">
        <v>635</v>
      </c>
      <c r="K662" s="8" t="s">
        <v>675</v>
      </c>
      <c r="L662" s="8" t="s">
        <v>719</v>
      </c>
      <c r="M662" s="20">
        <v>45377.0</v>
      </c>
      <c r="N662" s="21">
        <v>151.3</v>
      </c>
      <c r="O662" s="22">
        <v>170.0</v>
      </c>
      <c r="P662" s="7"/>
      <c r="Q662" s="7"/>
      <c r="R662" s="7"/>
      <c r="S662" s="17"/>
    </row>
    <row r="663" ht="13.5" customHeight="1">
      <c r="A663" s="13" t="s">
        <v>775</v>
      </c>
      <c r="B663" s="8" t="s">
        <v>290</v>
      </c>
      <c r="C663" s="8" t="s">
        <v>291</v>
      </c>
      <c r="D663" s="8" t="s">
        <v>292</v>
      </c>
      <c r="E663" s="9" t="s">
        <v>776</v>
      </c>
      <c r="F663" s="8" t="s">
        <v>293</v>
      </c>
      <c r="G663" s="8" t="s">
        <v>777</v>
      </c>
      <c r="H663" s="8" t="s">
        <v>259</v>
      </c>
      <c r="I663" s="8" t="s">
        <v>27</v>
      </c>
      <c r="J663" s="8" t="s">
        <v>635</v>
      </c>
      <c r="K663" s="8" t="s">
        <v>675</v>
      </c>
      <c r="L663" s="8" t="s">
        <v>719</v>
      </c>
      <c r="M663" s="20">
        <v>45377.0</v>
      </c>
      <c r="N663" s="21">
        <v>151.3</v>
      </c>
      <c r="O663" s="22">
        <v>170.0</v>
      </c>
      <c r="P663" s="7"/>
      <c r="Q663" s="7"/>
      <c r="R663" s="7"/>
      <c r="S663" s="17"/>
    </row>
    <row r="664" ht="13.5" customHeight="1">
      <c r="A664" s="13" t="s">
        <v>778</v>
      </c>
      <c r="B664" s="8" t="s">
        <v>290</v>
      </c>
      <c r="C664" s="8" t="s">
        <v>291</v>
      </c>
      <c r="D664" s="8" t="s">
        <v>292</v>
      </c>
      <c r="E664" s="9" t="s">
        <v>779</v>
      </c>
      <c r="F664" s="8" t="s">
        <v>293</v>
      </c>
      <c r="G664" s="8" t="s">
        <v>780</v>
      </c>
      <c r="H664" s="8" t="s">
        <v>259</v>
      </c>
      <c r="I664" s="8" t="s">
        <v>27</v>
      </c>
      <c r="J664" s="8" t="s">
        <v>781</v>
      </c>
      <c r="K664" s="8" t="s">
        <v>675</v>
      </c>
      <c r="L664" s="8" t="s">
        <v>719</v>
      </c>
      <c r="M664" s="20">
        <v>45377.0</v>
      </c>
      <c r="N664" s="21">
        <v>151.3</v>
      </c>
      <c r="O664" s="22">
        <v>170.0</v>
      </c>
      <c r="P664" s="7"/>
      <c r="Q664" s="7"/>
      <c r="R664" s="7"/>
      <c r="S664" s="17"/>
    </row>
    <row r="665" ht="13.5" customHeight="1">
      <c r="A665" s="13" t="s">
        <v>782</v>
      </c>
      <c r="B665" s="8" t="s">
        <v>290</v>
      </c>
      <c r="C665" s="8" t="s">
        <v>291</v>
      </c>
      <c r="D665" s="8" t="s">
        <v>292</v>
      </c>
      <c r="E665" s="9" t="s">
        <v>783</v>
      </c>
      <c r="F665" s="8" t="s">
        <v>293</v>
      </c>
      <c r="G665" s="8" t="s">
        <v>784</v>
      </c>
      <c r="H665" s="8" t="s">
        <v>259</v>
      </c>
      <c r="I665" s="8" t="s">
        <v>27</v>
      </c>
      <c r="J665" s="8" t="s">
        <v>635</v>
      </c>
      <c r="K665" s="8" t="s">
        <v>675</v>
      </c>
      <c r="L665" s="8" t="s">
        <v>719</v>
      </c>
      <c r="M665" s="20">
        <v>45377.0</v>
      </c>
      <c r="N665" s="21">
        <v>151.3</v>
      </c>
      <c r="O665" s="22">
        <v>170.0</v>
      </c>
      <c r="P665" s="7"/>
      <c r="Q665" s="7"/>
      <c r="R665" s="7"/>
      <c r="S665" s="17"/>
    </row>
    <row r="666" ht="13.5" customHeight="1">
      <c r="A666" s="13" t="s">
        <v>785</v>
      </c>
      <c r="B666" s="8" t="s">
        <v>290</v>
      </c>
      <c r="C666" s="8" t="s">
        <v>291</v>
      </c>
      <c r="D666" s="8" t="s">
        <v>292</v>
      </c>
      <c r="E666" s="9" t="s">
        <v>786</v>
      </c>
      <c r="F666" s="8" t="s">
        <v>293</v>
      </c>
      <c r="G666" s="8" t="s">
        <v>787</v>
      </c>
      <c r="H666" s="8" t="s">
        <v>259</v>
      </c>
      <c r="I666" s="8" t="s">
        <v>27</v>
      </c>
      <c r="J666" s="8" t="s">
        <v>781</v>
      </c>
      <c r="K666" s="8" t="s">
        <v>675</v>
      </c>
      <c r="L666" s="8" t="s">
        <v>719</v>
      </c>
      <c r="M666" s="20">
        <v>45377.0</v>
      </c>
      <c r="N666" s="21">
        <v>151.3</v>
      </c>
      <c r="O666" s="22">
        <v>170.0</v>
      </c>
      <c r="P666" s="7"/>
      <c r="Q666" s="7"/>
      <c r="R666" s="7"/>
      <c r="S666" s="17"/>
    </row>
    <row r="667" ht="13.5" customHeight="1">
      <c r="A667" s="13" t="s">
        <v>788</v>
      </c>
      <c r="B667" s="8" t="s">
        <v>290</v>
      </c>
      <c r="C667" s="8" t="s">
        <v>291</v>
      </c>
      <c r="D667" s="8" t="s">
        <v>292</v>
      </c>
      <c r="E667" s="9" t="s">
        <v>789</v>
      </c>
      <c r="F667" s="8" t="s">
        <v>293</v>
      </c>
      <c r="G667" s="8" t="s">
        <v>440</v>
      </c>
      <c r="H667" s="8" t="s">
        <v>259</v>
      </c>
      <c r="I667" s="8" t="s">
        <v>91</v>
      </c>
      <c r="J667" s="8" t="s">
        <v>400</v>
      </c>
      <c r="K667" s="8" t="s">
        <v>675</v>
      </c>
      <c r="L667" s="8" t="s">
        <v>719</v>
      </c>
      <c r="M667" s="20">
        <v>45377.0</v>
      </c>
      <c r="N667" s="21">
        <v>151.3</v>
      </c>
      <c r="O667" s="22">
        <v>170.0</v>
      </c>
      <c r="P667" s="7"/>
      <c r="Q667" s="7"/>
      <c r="R667" s="7"/>
      <c r="S667" s="17"/>
    </row>
    <row r="668" ht="13.5" customHeight="1">
      <c r="A668" s="13" t="s">
        <v>790</v>
      </c>
      <c r="B668" s="8" t="s">
        <v>196</v>
      </c>
      <c r="C668" s="8" t="s">
        <v>197</v>
      </c>
      <c r="D668" s="8" t="s">
        <v>198</v>
      </c>
      <c r="E668" s="9" t="s">
        <v>791</v>
      </c>
      <c r="F668" s="8" t="s">
        <v>714</v>
      </c>
      <c r="G668" s="8" t="s">
        <v>84</v>
      </c>
      <c r="H668" s="11" t="s">
        <v>26</v>
      </c>
      <c r="I668" s="11" t="s">
        <v>27</v>
      </c>
      <c r="J668" s="11" t="s">
        <v>28</v>
      </c>
      <c r="K668" s="8" t="s">
        <v>675</v>
      </c>
      <c r="L668" s="8" t="s">
        <v>676</v>
      </c>
      <c r="M668" s="20">
        <v>45384.0</v>
      </c>
      <c r="N668" s="21">
        <v>212.4</v>
      </c>
      <c r="O668" s="22">
        <v>300.0</v>
      </c>
      <c r="P668" s="8"/>
      <c r="Q668" s="7"/>
      <c r="R668" s="7"/>
      <c r="S668" s="17"/>
    </row>
    <row r="669" ht="13.5" customHeight="1">
      <c r="A669" s="13" t="s">
        <v>792</v>
      </c>
      <c r="B669" s="8" t="s">
        <v>196</v>
      </c>
      <c r="C669" s="8" t="s">
        <v>197</v>
      </c>
      <c r="D669" s="8" t="s">
        <v>198</v>
      </c>
      <c r="E669" s="9" t="s">
        <v>793</v>
      </c>
      <c r="F669" s="8" t="s">
        <v>714</v>
      </c>
      <c r="G669" s="8" t="s">
        <v>84</v>
      </c>
      <c r="H669" s="11" t="s">
        <v>103</v>
      </c>
      <c r="I669" s="11" t="s">
        <v>27</v>
      </c>
      <c r="J669" s="11" t="s">
        <v>28</v>
      </c>
      <c r="K669" s="8" t="s">
        <v>675</v>
      </c>
      <c r="L669" s="13" t="s">
        <v>676</v>
      </c>
      <c r="M669" s="20">
        <v>45384.0</v>
      </c>
      <c r="N669" s="18">
        <v>212.4</v>
      </c>
      <c r="O669" s="22">
        <v>300.0</v>
      </c>
      <c r="P669" s="7"/>
      <c r="Q669" s="7"/>
      <c r="R669" s="7"/>
      <c r="S669" s="17"/>
    </row>
    <row r="670" ht="13.5" customHeight="1">
      <c r="A670" s="13" t="s">
        <v>794</v>
      </c>
      <c r="B670" s="8" t="s">
        <v>196</v>
      </c>
      <c r="C670" s="8" t="s">
        <v>197</v>
      </c>
      <c r="D670" s="8" t="s">
        <v>198</v>
      </c>
      <c r="E670" s="9" t="s">
        <v>795</v>
      </c>
      <c r="F670" s="8" t="s">
        <v>796</v>
      </c>
      <c r="G670" s="8" t="s">
        <v>84</v>
      </c>
      <c r="H670" s="11" t="s">
        <v>207</v>
      </c>
      <c r="I670" s="11" t="s">
        <v>27</v>
      </c>
      <c r="J670" s="11" t="s">
        <v>28</v>
      </c>
      <c r="K670" s="8" t="s">
        <v>675</v>
      </c>
      <c r="L670" s="13" t="s">
        <v>676</v>
      </c>
      <c r="M670" s="20">
        <v>45384.0</v>
      </c>
      <c r="N670" s="18">
        <v>212.4</v>
      </c>
      <c r="O670" s="22">
        <v>300.0</v>
      </c>
      <c r="P670" s="7"/>
      <c r="Q670" s="7"/>
      <c r="R670" s="7"/>
      <c r="S670" s="17"/>
    </row>
    <row r="671" ht="13.5" customHeight="1">
      <c r="A671" s="13" t="s">
        <v>797</v>
      </c>
      <c r="B671" s="8" t="s">
        <v>196</v>
      </c>
      <c r="C671" s="8" t="s">
        <v>197</v>
      </c>
      <c r="D671" s="8" t="s">
        <v>198</v>
      </c>
      <c r="E671" s="9" t="s">
        <v>798</v>
      </c>
      <c r="F671" s="8" t="s">
        <v>799</v>
      </c>
      <c r="G671" s="8" t="s">
        <v>84</v>
      </c>
      <c r="H671" s="11" t="s">
        <v>207</v>
      </c>
      <c r="I671" s="11" t="s">
        <v>27</v>
      </c>
      <c r="J671" s="11" t="s">
        <v>28</v>
      </c>
      <c r="K671" s="8" t="s">
        <v>675</v>
      </c>
      <c r="L671" s="13" t="s">
        <v>676</v>
      </c>
      <c r="M671" s="20">
        <v>45384.0</v>
      </c>
      <c r="N671" s="18">
        <v>212.4</v>
      </c>
      <c r="O671" s="22">
        <v>300.0</v>
      </c>
      <c r="P671" s="7"/>
      <c r="Q671" s="7"/>
      <c r="R671" s="7"/>
      <c r="S671" s="17"/>
    </row>
    <row r="672" ht="13.5" customHeight="1">
      <c r="A672" s="13" t="s">
        <v>800</v>
      </c>
      <c r="B672" s="8" t="s">
        <v>801</v>
      </c>
      <c r="C672" s="8" t="s">
        <v>68</v>
      </c>
      <c r="D672" s="8" t="s">
        <v>802</v>
      </c>
      <c r="E672" s="9" t="s">
        <v>803</v>
      </c>
      <c r="F672" s="8" t="s">
        <v>804</v>
      </c>
      <c r="G672" s="8" t="s">
        <v>780</v>
      </c>
      <c r="H672" s="11" t="s">
        <v>259</v>
      </c>
      <c r="I672" s="11" t="s">
        <v>27</v>
      </c>
      <c r="J672" s="11" t="s">
        <v>781</v>
      </c>
      <c r="K672" s="8" t="s">
        <v>675</v>
      </c>
      <c r="L672" s="8" t="s">
        <v>676</v>
      </c>
      <c r="M672" s="20">
        <v>45422.0</v>
      </c>
      <c r="N672" s="21">
        <v>2035.0</v>
      </c>
      <c r="O672" s="22">
        <v>2250.0</v>
      </c>
      <c r="P672" s="7"/>
      <c r="Q672" s="7"/>
      <c r="R672" s="7"/>
      <c r="S672" s="17"/>
    </row>
    <row r="673" ht="13.5" customHeight="1">
      <c r="A673" s="13" t="s">
        <v>805</v>
      </c>
      <c r="B673" s="8" t="s">
        <v>132</v>
      </c>
      <c r="C673" s="8" t="s">
        <v>68</v>
      </c>
      <c r="D673" s="8" t="s">
        <v>806</v>
      </c>
      <c r="E673" s="9" t="s">
        <v>807</v>
      </c>
      <c r="F673" s="8" t="s">
        <v>808</v>
      </c>
      <c r="G673" s="8" t="s">
        <v>780</v>
      </c>
      <c r="H673" s="11" t="s">
        <v>259</v>
      </c>
      <c r="I673" s="11" t="s">
        <v>27</v>
      </c>
      <c r="J673" s="11" t="s">
        <v>781</v>
      </c>
      <c r="K673" s="8" t="s">
        <v>675</v>
      </c>
      <c r="L673" s="8" t="s">
        <v>676</v>
      </c>
      <c r="M673" s="20">
        <v>45422.0</v>
      </c>
      <c r="N673" s="21">
        <v>250.0</v>
      </c>
      <c r="O673" s="22">
        <v>300.0</v>
      </c>
      <c r="P673" s="7"/>
      <c r="Q673" s="7"/>
      <c r="R673" s="7"/>
      <c r="S673" s="17"/>
    </row>
    <row r="674" ht="13.5" customHeight="1">
      <c r="A674" s="13" t="s">
        <v>809</v>
      </c>
      <c r="B674" s="8" t="s">
        <v>34</v>
      </c>
      <c r="C674" s="8" t="s">
        <v>68</v>
      </c>
      <c r="D674" s="8" t="s">
        <v>810</v>
      </c>
      <c r="E674" s="9" t="s">
        <v>811</v>
      </c>
      <c r="F674" s="8" t="s">
        <v>267</v>
      </c>
      <c r="G674" s="8" t="s">
        <v>780</v>
      </c>
      <c r="H674" s="11" t="s">
        <v>259</v>
      </c>
      <c r="I674" s="11" t="s">
        <v>27</v>
      </c>
      <c r="J674" s="11" t="s">
        <v>781</v>
      </c>
      <c r="K674" s="8" t="s">
        <v>675</v>
      </c>
      <c r="L674" s="8" t="s">
        <v>676</v>
      </c>
      <c r="M674" s="20">
        <v>45422.0</v>
      </c>
      <c r="N674" s="21">
        <v>50.0</v>
      </c>
      <c r="O674" s="22">
        <v>50.0</v>
      </c>
      <c r="P674" s="7"/>
      <c r="Q674" s="7"/>
      <c r="R674" s="7"/>
      <c r="S674" s="17"/>
    </row>
    <row r="675" ht="13.5" customHeight="1">
      <c r="A675" s="13" t="s">
        <v>812</v>
      </c>
      <c r="B675" s="8" t="s">
        <v>41</v>
      </c>
      <c r="C675" s="8" t="s">
        <v>68</v>
      </c>
      <c r="D675" s="8" t="s">
        <v>813</v>
      </c>
      <c r="E675" s="9" t="s">
        <v>814</v>
      </c>
      <c r="F675" s="8" t="s">
        <v>350</v>
      </c>
      <c r="G675" s="8" t="s">
        <v>780</v>
      </c>
      <c r="H675" s="11" t="s">
        <v>259</v>
      </c>
      <c r="I675" s="11" t="s">
        <v>27</v>
      </c>
      <c r="J675" s="11" t="s">
        <v>781</v>
      </c>
      <c r="K675" s="8" t="s">
        <v>675</v>
      </c>
      <c r="L675" s="8" t="s">
        <v>676</v>
      </c>
      <c r="M675" s="20">
        <v>45422.0</v>
      </c>
      <c r="N675" s="21">
        <v>50.0</v>
      </c>
      <c r="O675" s="22">
        <v>50.0</v>
      </c>
      <c r="P675" s="7"/>
      <c r="Q675" s="7"/>
      <c r="R675" s="7"/>
      <c r="S675" s="17"/>
    </row>
    <row r="676" ht="13.5" customHeight="1">
      <c r="A676" s="13" t="s">
        <v>815</v>
      </c>
      <c r="B676" s="8" t="s">
        <v>801</v>
      </c>
      <c r="C676" s="8" t="s">
        <v>68</v>
      </c>
      <c r="D676" s="8" t="s">
        <v>802</v>
      </c>
      <c r="E676" s="9" t="s">
        <v>816</v>
      </c>
      <c r="F676" s="8" t="s">
        <v>804</v>
      </c>
      <c r="G676" s="8" t="s">
        <v>787</v>
      </c>
      <c r="H676" s="11" t="s">
        <v>259</v>
      </c>
      <c r="I676" s="11" t="s">
        <v>27</v>
      </c>
      <c r="J676" s="11" t="s">
        <v>781</v>
      </c>
      <c r="K676" s="8" t="s">
        <v>675</v>
      </c>
      <c r="L676" s="8" t="s">
        <v>676</v>
      </c>
      <c r="M676" s="20">
        <v>45422.0</v>
      </c>
      <c r="N676" s="21">
        <v>2035.0</v>
      </c>
      <c r="O676" s="22">
        <v>2250.0</v>
      </c>
      <c r="P676" s="7"/>
      <c r="Q676" s="7"/>
      <c r="R676" s="7"/>
      <c r="S676" s="17"/>
    </row>
    <row r="677" ht="13.5" customHeight="1">
      <c r="A677" s="13" t="s">
        <v>817</v>
      </c>
      <c r="B677" s="8" t="s">
        <v>132</v>
      </c>
      <c r="C677" s="8" t="s">
        <v>68</v>
      </c>
      <c r="D677" s="8" t="s">
        <v>806</v>
      </c>
      <c r="E677" s="9" t="s">
        <v>818</v>
      </c>
      <c r="F677" s="8" t="s">
        <v>808</v>
      </c>
      <c r="G677" s="8" t="s">
        <v>787</v>
      </c>
      <c r="H677" s="11" t="s">
        <v>259</v>
      </c>
      <c r="I677" s="11" t="s">
        <v>27</v>
      </c>
      <c r="J677" s="11" t="s">
        <v>781</v>
      </c>
      <c r="K677" s="8" t="s">
        <v>675</v>
      </c>
      <c r="L677" s="8" t="s">
        <v>676</v>
      </c>
      <c r="M677" s="20">
        <v>45422.0</v>
      </c>
      <c r="N677" s="21">
        <v>250.0</v>
      </c>
      <c r="O677" s="22">
        <v>300.0</v>
      </c>
      <c r="P677" s="7"/>
      <c r="Q677" s="7"/>
      <c r="R677" s="7"/>
      <c r="S677" s="17"/>
    </row>
    <row r="678" ht="13.5" customHeight="1">
      <c r="A678" s="13" t="s">
        <v>819</v>
      </c>
      <c r="B678" s="8" t="s">
        <v>34</v>
      </c>
      <c r="C678" s="8" t="s">
        <v>68</v>
      </c>
      <c r="D678" s="8" t="s">
        <v>810</v>
      </c>
      <c r="E678" s="9" t="s">
        <v>820</v>
      </c>
      <c r="F678" s="8" t="s">
        <v>267</v>
      </c>
      <c r="G678" s="8" t="s">
        <v>787</v>
      </c>
      <c r="H678" s="11" t="s">
        <v>259</v>
      </c>
      <c r="I678" s="11" t="s">
        <v>27</v>
      </c>
      <c r="J678" s="11" t="s">
        <v>781</v>
      </c>
      <c r="K678" s="8" t="s">
        <v>675</v>
      </c>
      <c r="L678" s="8" t="s">
        <v>676</v>
      </c>
      <c r="M678" s="20">
        <v>45422.0</v>
      </c>
      <c r="N678" s="21">
        <v>50.0</v>
      </c>
      <c r="O678" s="22">
        <v>50.0</v>
      </c>
      <c r="P678" s="7"/>
      <c r="Q678" s="7"/>
      <c r="R678" s="7"/>
      <c r="S678" s="17"/>
    </row>
    <row r="679" ht="13.5" customHeight="1">
      <c r="A679" s="13" t="s">
        <v>821</v>
      </c>
      <c r="B679" s="8" t="s">
        <v>41</v>
      </c>
      <c r="C679" s="8" t="s">
        <v>68</v>
      </c>
      <c r="D679" s="8" t="s">
        <v>813</v>
      </c>
      <c r="E679" s="9" t="s">
        <v>822</v>
      </c>
      <c r="F679" s="8" t="s">
        <v>350</v>
      </c>
      <c r="G679" s="8" t="s">
        <v>787</v>
      </c>
      <c r="H679" s="11" t="s">
        <v>259</v>
      </c>
      <c r="I679" s="11" t="s">
        <v>27</v>
      </c>
      <c r="J679" s="11" t="s">
        <v>781</v>
      </c>
      <c r="K679" s="8" t="s">
        <v>675</v>
      </c>
      <c r="L679" s="8" t="s">
        <v>676</v>
      </c>
      <c r="M679" s="20">
        <v>45422.0</v>
      </c>
      <c r="N679" s="21">
        <v>50.0</v>
      </c>
      <c r="O679" s="22">
        <v>50.0</v>
      </c>
      <c r="P679" s="7"/>
      <c r="Q679" s="7"/>
      <c r="R679" s="7"/>
      <c r="S679" s="17"/>
    </row>
    <row r="680" ht="13.5" customHeight="1">
      <c r="A680" s="13" t="s">
        <v>823</v>
      </c>
      <c r="B680" s="8" t="s">
        <v>801</v>
      </c>
      <c r="C680" s="8" t="s">
        <v>68</v>
      </c>
      <c r="D680" s="8" t="s">
        <v>802</v>
      </c>
      <c r="E680" s="9" t="s">
        <v>824</v>
      </c>
      <c r="F680" s="8" t="s">
        <v>804</v>
      </c>
      <c r="G680" s="8" t="s">
        <v>825</v>
      </c>
      <c r="H680" s="11" t="s">
        <v>259</v>
      </c>
      <c r="I680" s="11" t="s">
        <v>27</v>
      </c>
      <c r="J680" s="11" t="s">
        <v>635</v>
      </c>
      <c r="K680" s="8" t="s">
        <v>675</v>
      </c>
      <c r="L680" s="8" t="s">
        <v>676</v>
      </c>
      <c r="M680" s="20">
        <v>45422.0</v>
      </c>
      <c r="N680" s="21">
        <v>2035.0</v>
      </c>
      <c r="O680" s="22">
        <v>2250.0</v>
      </c>
      <c r="P680" s="7"/>
      <c r="Q680" s="7"/>
      <c r="R680" s="7"/>
      <c r="S680" s="17"/>
    </row>
    <row r="681" ht="13.5" customHeight="1">
      <c r="A681" s="13" t="s">
        <v>826</v>
      </c>
      <c r="B681" s="8" t="s">
        <v>132</v>
      </c>
      <c r="C681" s="8" t="s">
        <v>68</v>
      </c>
      <c r="D681" s="8" t="s">
        <v>806</v>
      </c>
      <c r="E681" s="9" t="s">
        <v>827</v>
      </c>
      <c r="F681" s="8" t="s">
        <v>808</v>
      </c>
      <c r="G681" s="8" t="s">
        <v>825</v>
      </c>
      <c r="H681" s="11" t="s">
        <v>259</v>
      </c>
      <c r="I681" s="11" t="s">
        <v>27</v>
      </c>
      <c r="J681" s="11" t="s">
        <v>635</v>
      </c>
      <c r="K681" s="8" t="s">
        <v>675</v>
      </c>
      <c r="L681" s="8" t="s">
        <v>676</v>
      </c>
      <c r="M681" s="20">
        <v>45422.0</v>
      </c>
      <c r="N681" s="21">
        <v>250.0</v>
      </c>
      <c r="O681" s="22">
        <v>300.0</v>
      </c>
      <c r="P681" s="7"/>
      <c r="Q681" s="7"/>
      <c r="R681" s="7"/>
      <c r="S681" s="17"/>
    </row>
    <row r="682" ht="13.5" customHeight="1">
      <c r="A682" s="13" t="s">
        <v>828</v>
      </c>
      <c r="B682" s="8" t="s">
        <v>34</v>
      </c>
      <c r="C682" s="8" t="s">
        <v>68</v>
      </c>
      <c r="D682" s="8" t="s">
        <v>810</v>
      </c>
      <c r="E682" s="9" t="s">
        <v>829</v>
      </c>
      <c r="F682" s="8" t="s">
        <v>267</v>
      </c>
      <c r="G682" s="8" t="s">
        <v>825</v>
      </c>
      <c r="H682" s="11" t="s">
        <v>259</v>
      </c>
      <c r="I682" s="11" t="s">
        <v>27</v>
      </c>
      <c r="J682" s="11" t="s">
        <v>635</v>
      </c>
      <c r="K682" s="8" t="s">
        <v>675</v>
      </c>
      <c r="L682" s="8" t="s">
        <v>676</v>
      </c>
      <c r="M682" s="20">
        <v>45422.0</v>
      </c>
      <c r="N682" s="21">
        <v>50.0</v>
      </c>
      <c r="O682" s="22">
        <v>50.0</v>
      </c>
      <c r="P682" s="7"/>
      <c r="Q682" s="7"/>
      <c r="R682" s="7"/>
      <c r="S682" s="17"/>
    </row>
    <row r="683" ht="13.5" customHeight="1">
      <c r="A683" s="13" t="s">
        <v>830</v>
      </c>
      <c r="B683" s="8" t="s">
        <v>41</v>
      </c>
      <c r="C683" s="8" t="s">
        <v>68</v>
      </c>
      <c r="D683" s="8" t="s">
        <v>813</v>
      </c>
      <c r="E683" s="9" t="s">
        <v>831</v>
      </c>
      <c r="F683" s="8" t="s">
        <v>350</v>
      </c>
      <c r="G683" s="8" t="s">
        <v>825</v>
      </c>
      <c r="H683" s="11" t="s">
        <v>259</v>
      </c>
      <c r="I683" s="11" t="s">
        <v>27</v>
      </c>
      <c r="J683" s="11" t="s">
        <v>635</v>
      </c>
      <c r="K683" s="8" t="s">
        <v>675</v>
      </c>
      <c r="L683" s="8" t="s">
        <v>676</v>
      </c>
      <c r="M683" s="20">
        <v>45422.0</v>
      </c>
      <c r="N683" s="21">
        <v>50.0</v>
      </c>
      <c r="O683" s="22">
        <v>50.0</v>
      </c>
      <c r="P683" s="7"/>
      <c r="Q683" s="7"/>
      <c r="R683" s="7"/>
      <c r="S683" s="17"/>
    </row>
    <row r="684" ht="13.5" customHeight="1">
      <c r="A684" s="13" t="s">
        <v>832</v>
      </c>
      <c r="B684" s="8" t="s">
        <v>801</v>
      </c>
      <c r="C684" s="8" t="s">
        <v>68</v>
      </c>
      <c r="D684" s="8" t="s">
        <v>802</v>
      </c>
      <c r="E684" s="9" t="s">
        <v>833</v>
      </c>
      <c r="F684" s="8" t="s">
        <v>804</v>
      </c>
      <c r="G684" s="8" t="s">
        <v>834</v>
      </c>
      <c r="H684" s="11" t="s">
        <v>259</v>
      </c>
      <c r="I684" s="11" t="s">
        <v>27</v>
      </c>
      <c r="J684" s="11" t="s">
        <v>635</v>
      </c>
      <c r="K684" s="8" t="s">
        <v>675</v>
      </c>
      <c r="L684" s="8" t="s">
        <v>676</v>
      </c>
      <c r="M684" s="20">
        <v>45422.0</v>
      </c>
      <c r="N684" s="21">
        <v>2035.0</v>
      </c>
      <c r="O684" s="22">
        <v>2250.0</v>
      </c>
      <c r="P684" s="7"/>
      <c r="Q684" s="7"/>
      <c r="R684" s="7"/>
      <c r="S684" s="17"/>
    </row>
    <row r="685" ht="13.5" customHeight="1">
      <c r="A685" s="13" t="s">
        <v>835</v>
      </c>
      <c r="B685" s="8" t="s">
        <v>132</v>
      </c>
      <c r="C685" s="8" t="s">
        <v>68</v>
      </c>
      <c r="D685" s="8" t="s">
        <v>806</v>
      </c>
      <c r="E685" s="9" t="s">
        <v>836</v>
      </c>
      <c r="F685" s="8" t="s">
        <v>808</v>
      </c>
      <c r="G685" s="8" t="s">
        <v>834</v>
      </c>
      <c r="H685" s="11" t="s">
        <v>259</v>
      </c>
      <c r="I685" s="11" t="s">
        <v>27</v>
      </c>
      <c r="J685" s="11" t="s">
        <v>635</v>
      </c>
      <c r="K685" s="8" t="s">
        <v>675</v>
      </c>
      <c r="L685" s="8" t="s">
        <v>676</v>
      </c>
      <c r="M685" s="20">
        <v>45422.0</v>
      </c>
      <c r="N685" s="21">
        <v>250.0</v>
      </c>
      <c r="O685" s="22">
        <v>300.0</v>
      </c>
      <c r="P685" s="7"/>
      <c r="Q685" s="7"/>
      <c r="R685" s="7"/>
      <c r="S685" s="17"/>
    </row>
    <row r="686" ht="13.5" customHeight="1">
      <c r="A686" s="13" t="s">
        <v>837</v>
      </c>
      <c r="B686" s="8" t="s">
        <v>34</v>
      </c>
      <c r="C686" s="8" t="s">
        <v>68</v>
      </c>
      <c r="D686" s="8" t="s">
        <v>810</v>
      </c>
      <c r="E686" s="9" t="s">
        <v>838</v>
      </c>
      <c r="F686" s="8" t="s">
        <v>267</v>
      </c>
      <c r="G686" s="8" t="s">
        <v>834</v>
      </c>
      <c r="H686" s="11" t="s">
        <v>259</v>
      </c>
      <c r="I686" s="11" t="s">
        <v>27</v>
      </c>
      <c r="J686" s="11" t="s">
        <v>635</v>
      </c>
      <c r="K686" s="8" t="s">
        <v>675</v>
      </c>
      <c r="L686" s="8" t="s">
        <v>676</v>
      </c>
      <c r="M686" s="20">
        <v>45422.0</v>
      </c>
      <c r="N686" s="21">
        <v>50.0</v>
      </c>
      <c r="O686" s="22">
        <v>50.0</v>
      </c>
      <c r="P686" s="7"/>
      <c r="Q686" s="7"/>
      <c r="R686" s="7"/>
      <c r="S686" s="17"/>
    </row>
    <row r="687" ht="13.5" customHeight="1">
      <c r="A687" s="13" t="s">
        <v>839</v>
      </c>
      <c r="B687" s="8" t="s">
        <v>41</v>
      </c>
      <c r="C687" s="8" t="s">
        <v>68</v>
      </c>
      <c r="D687" s="8" t="s">
        <v>813</v>
      </c>
      <c r="E687" s="9" t="s">
        <v>840</v>
      </c>
      <c r="F687" s="8" t="s">
        <v>350</v>
      </c>
      <c r="G687" s="8" t="s">
        <v>834</v>
      </c>
      <c r="H687" s="11" t="s">
        <v>259</v>
      </c>
      <c r="I687" s="11" t="s">
        <v>27</v>
      </c>
      <c r="J687" s="11" t="s">
        <v>635</v>
      </c>
      <c r="K687" s="8" t="s">
        <v>675</v>
      </c>
      <c r="L687" s="8" t="s">
        <v>676</v>
      </c>
      <c r="M687" s="20">
        <v>45422.0</v>
      </c>
      <c r="N687" s="21">
        <v>50.0</v>
      </c>
      <c r="O687" s="22">
        <v>50.0</v>
      </c>
      <c r="P687" s="7"/>
      <c r="Q687" s="7"/>
      <c r="R687" s="7"/>
      <c r="S687" s="17"/>
    </row>
    <row r="688" ht="13.5" customHeight="1">
      <c r="A688" s="13" t="s">
        <v>841</v>
      </c>
      <c r="B688" s="8" t="s">
        <v>801</v>
      </c>
      <c r="C688" s="8" t="s">
        <v>68</v>
      </c>
      <c r="D688" s="8" t="s">
        <v>802</v>
      </c>
      <c r="E688" s="9" t="s">
        <v>842</v>
      </c>
      <c r="F688" s="8" t="s">
        <v>804</v>
      </c>
      <c r="G688" s="8" t="s">
        <v>771</v>
      </c>
      <c r="H688" s="11" t="s">
        <v>259</v>
      </c>
      <c r="I688" s="11" t="s">
        <v>27</v>
      </c>
      <c r="J688" s="11" t="s">
        <v>635</v>
      </c>
      <c r="K688" s="8" t="s">
        <v>675</v>
      </c>
      <c r="L688" s="8" t="s">
        <v>676</v>
      </c>
      <c r="M688" s="20">
        <v>45422.0</v>
      </c>
      <c r="N688" s="21">
        <v>2035.0</v>
      </c>
      <c r="O688" s="22">
        <v>2250.0</v>
      </c>
      <c r="P688" s="7"/>
      <c r="Q688" s="7"/>
      <c r="R688" s="7"/>
      <c r="S688" s="17"/>
    </row>
    <row r="689" ht="13.5" customHeight="1">
      <c r="A689" s="13" t="s">
        <v>843</v>
      </c>
      <c r="B689" s="8" t="s">
        <v>132</v>
      </c>
      <c r="C689" s="8" t="s">
        <v>68</v>
      </c>
      <c r="D689" s="8" t="s">
        <v>806</v>
      </c>
      <c r="E689" s="9" t="s">
        <v>844</v>
      </c>
      <c r="F689" s="8" t="s">
        <v>808</v>
      </c>
      <c r="G689" s="8" t="s">
        <v>771</v>
      </c>
      <c r="H689" s="11" t="s">
        <v>259</v>
      </c>
      <c r="I689" s="11" t="s">
        <v>27</v>
      </c>
      <c r="J689" s="11" t="s">
        <v>635</v>
      </c>
      <c r="K689" s="8" t="s">
        <v>675</v>
      </c>
      <c r="L689" s="8" t="s">
        <v>676</v>
      </c>
      <c r="M689" s="20">
        <v>45422.0</v>
      </c>
      <c r="N689" s="21">
        <v>250.0</v>
      </c>
      <c r="O689" s="22">
        <v>300.0</v>
      </c>
      <c r="P689" s="7"/>
      <c r="Q689" s="7"/>
      <c r="R689" s="7"/>
      <c r="S689" s="17"/>
    </row>
    <row r="690" ht="13.5" customHeight="1">
      <c r="A690" s="13" t="s">
        <v>845</v>
      </c>
      <c r="B690" s="8" t="s">
        <v>34</v>
      </c>
      <c r="C690" s="8" t="s">
        <v>68</v>
      </c>
      <c r="D690" s="8" t="s">
        <v>810</v>
      </c>
      <c r="E690" s="9" t="s">
        <v>846</v>
      </c>
      <c r="F690" s="8" t="s">
        <v>267</v>
      </c>
      <c r="G690" s="8" t="s">
        <v>771</v>
      </c>
      <c r="H690" s="11" t="s">
        <v>259</v>
      </c>
      <c r="I690" s="11" t="s">
        <v>27</v>
      </c>
      <c r="J690" s="11" t="s">
        <v>635</v>
      </c>
      <c r="K690" s="8" t="s">
        <v>675</v>
      </c>
      <c r="L690" s="8" t="s">
        <v>676</v>
      </c>
      <c r="M690" s="20">
        <v>45422.0</v>
      </c>
      <c r="N690" s="21">
        <v>50.0</v>
      </c>
      <c r="O690" s="22">
        <v>50.0</v>
      </c>
      <c r="P690" s="7"/>
      <c r="Q690" s="7"/>
      <c r="R690" s="7"/>
      <c r="S690" s="17"/>
    </row>
    <row r="691" ht="13.5" customHeight="1">
      <c r="A691" s="13" t="s">
        <v>847</v>
      </c>
      <c r="B691" s="8" t="s">
        <v>41</v>
      </c>
      <c r="C691" s="8" t="s">
        <v>68</v>
      </c>
      <c r="D691" s="8" t="s">
        <v>813</v>
      </c>
      <c r="E691" s="9" t="s">
        <v>848</v>
      </c>
      <c r="F691" s="8" t="s">
        <v>350</v>
      </c>
      <c r="G691" s="8" t="s">
        <v>771</v>
      </c>
      <c r="H691" s="11" t="s">
        <v>259</v>
      </c>
      <c r="I691" s="11" t="s">
        <v>27</v>
      </c>
      <c r="J691" s="11" t="s">
        <v>635</v>
      </c>
      <c r="K691" s="8" t="s">
        <v>675</v>
      </c>
      <c r="L691" s="8" t="s">
        <v>676</v>
      </c>
      <c r="M691" s="20">
        <v>45422.0</v>
      </c>
      <c r="N691" s="21">
        <v>50.0</v>
      </c>
      <c r="O691" s="22">
        <v>50.0</v>
      </c>
      <c r="P691" s="7"/>
      <c r="Q691" s="7"/>
      <c r="R691" s="7"/>
      <c r="S691" s="17"/>
    </row>
    <row r="692" ht="13.5" customHeight="1">
      <c r="A692" s="13" t="s">
        <v>849</v>
      </c>
      <c r="B692" s="8" t="s">
        <v>801</v>
      </c>
      <c r="C692" s="8" t="s">
        <v>68</v>
      </c>
      <c r="D692" s="8" t="s">
        <v>802</v>
      </c>
      <c r="E692" s="9" t="s">
        <v>850</v>
      </c>
      <c r="F692" s="8" t="s">
        <v>804</v>
      </c>
      <c r="G692" s="8" t="s">
        <v>851</v>
      </c>
      <c r="H692" s="11" t="s">
        <v>259</v>
      </c>
      <c r="I692" s="11" t="s">
        <v>27</v>
      </c>
      <c r="J692" s="11" t="s">
        <v>635</v>
      </c>
      <c r="K692" s="8" t="s">
        <v>675</v>
      </c>
      <c r="L692" s="8" t="s">
        <v>676</v>
      </c>
      <c r="M692" s="20">
        <v>45422.0</v>
      </c>
      <c r="N692" s="21">
        <v>2035.0</v>
      </c>
      <c r="O692" s="22">
        <v>2250.0</v>
      </c>
      <c r="P692" s="7"/>
      <c r="Q692" s="7"/>
      <c r="R692" s="7"/>
      <c r="S692" s="17"/>
    </row>
    <row r="693" ht="13.5" customHeight="1">
      <c r="A693" s="13" t="s">
        <v>852</v>
      </c>
      <c r="B693" s="8" t="s">
        <v>132</v>
      </c>
      <c r="C693" s="8" t="s">
        <v>68</v>
      </c>
      <c r="D693" s="8" t="s">
        <v>806</v>
      </c>
      <c r="E693" s="9" t="s">
        <v>853</v>
      </c>
      <c r="F693" s="8" t="s">
        <v>808</v>
      </c>
      <c r="G693" s="8" t="s">
        <v>851</v>
      </c>
      <c r="H693" s="11" t="s">
        <v>259</v>
      </c>
      <c r="I693" s="11" t="s">
        <v>27</v>
      </c>
      <c r="J693" s="11" t="s">
        <v>635</v>
      </c>
      <c r="K693" s="8" t="s">
        <v>675</v>
      </c>
      <c r="L693" s="8" t="s">
        <v>676</v>
      </c>
      <c r="M693" s="20">
        <v>45422.0</v>
      </c>
      <c r="N693" s="21">
        <v>250.0</v>
      </c>
      <c r="O693" s="22">
        <v>300.0</v>
      </c>
      <c r="P693" s="7"/>
      <c r="Q693" s="7"/>
      <c r="R693" s="7"/>
      <c r="S693" s="17"/>
    </row>
    <row r="694" ht="13.5" customHeight="1">
      <c r="A694" s="13" t="s">
        <v>854</v>
      </c>
      <c r="B694" s="8" t="s">
        <v>34</v>
      </c>
      <c r="C694" s="8" t="s">
        <v>68</v>
      </c>
      <c r="D694" s="8" t="s">
        <v>810</v>
      </c>
      <c r="E694" s="9" t="s">
        <v>855</v>
      </c>
      <c r="F694" s="8" t="s">
        <v>267</v>
      </c>
      <c r="G694" s="8" t="s">
        <v>851</v>
      </c>
      <c r="H694" s="11" t="s">
        <v>259</v>
      </c>
      <c r="I694" s="11" t="s">
        <v>27</v>
      </c>
      <c r="J694" s="11" t="s">
        <v>635</v>
      </c>
      <c r="K694" s="8" t="s">
        <v>675</v>
      </c>
      <c r="L694" s="8" t="s">
        <v>676</v>
      </c>
      <c r="M694" s="20">
        <v>45422.0</v>
      </c>
      <c r="N694" s="21">
        <v>50.0</v>
      </c>
      <c r="O694" s="22">
        <v>50.0</v>
      </c>
      <c r="P694" s="7"/>
      <c r="Q694" s="7"/>
      <c r="R694" s="7"/>
      <c r="S694" s="17"/>
    </row>
    <row r="695" ht="13.5" customHeight="1">
      <c r="A695" s="13" t="s">
        <v>856</v>
      </c>
      <c r="B695" s="8" t="s">
        <v>41</v>
      </c>
      <c r="C695" s="8" t="s">
        <v>68</v>
      </c>
      <c r="D695" s="8" t="s">
        <v>813</v>
      </c>
      <c r="E695" s="9" t="s">
        <v>857</v>
      </c>
      <c r="F695" s="8" t="s">
        <v>350</v>
      </c>
      <c r="G695" s="8" t="s">
        <v>851</v>
      </c>
      <c r="H695" s="11" t="s">
        <v>259</v>
      </c>
      <c r="I695" s="11" t="s">
        <v>27</v>
      </c>
      <c r="J695" s="11" t="s">
        <v>635</v>
      </c>
      <c r="K695" s="8" t="s">
        <v>675</v>
      </c>
      <c r="L695" s="8" t="s">
        <v>676</v>
      </c>
      <c r="M695" s="20">
        <v>45422.0</v>
      </c>
      <c r="N695" s="21">
        <v>50.0</v>
      </c>
      <c r="O695" s="22">
        <v>50.0</v>
      </c>
      <c r="P695" s="7"/>
      <c r="Q695" s="7"/>
      <c r="R695" s="7"/>
      <c r="S695" s="17"/>
    </row>
    <row r="696" ht="13.5" customHeight="1">
      <c r="A696" s="13" t="s">
        <v>858</v>
      </c>
      <c r="B696" s="8" t="s">
        <v>98</v>
      </c>
      <c r="C696" s="8" t="s">
        <v>99</v>
      </c>
      <c r="D696" s="8" t="s">
        <v>859</v>
      </c>
      <c r="E696" s="9" t="s">
        <v>860</v>
      </c>
      <c r="F696" s="8" t="s">
        <v>861</v>
      </c>
      <c r="G696" s="8" t="s">
        <v>709</v>
      </c>
      <c r="H696" s="11" t="s">
        <v>670</v>
      </c>
      <c r="I696" s="11" t="s">
        <v>260</v>
      </c>
      <c r="J696" s="11" t="s">
        <v>261</v>
      </c>
      <c r="K696" s="8" t="s">
        <v>675</v>
      </c>
      <c r="L696" s="8" t="s">
        <v>719</v>
      </c>
      <c r="M696" s="20">
        <v>45434.0</v>
      </c>
      <c r="N696" s="21">
        <v>445.0</v>
      </c>
      <c r="O696" s="22">
        <v>445.0</v>
      </c>
      <c r="P696" s="7"/>
      <c r="Q696" s="7"/>
      <c r="R696" s="8">
        <v>4.0</v>
      </c>
      <c r="S696" s="20">
        <v>45447.0</v>
      </c>
    </row>
    <row r="697" ht="13.5" customHeight="1">
      <c r="A697" s="13" t="s">
        <v>862</v>
      </c>
      <c r="B697" s="8" t="s">
        <v>98</v>
      </c>
      <c r="C697" s="8" t="s">
        <v>99</v>
      </c>
      <c r="D697" s="8" t="s">
        <v>859</v>
      </c>
      <c r="E697" s="9" t="s">
        <v>863</v>
      </c>
      <c r="F697" s="8" t="s">
        <v>861</v>
      </c>
      <c r="G697" s="8" t="s">
        <v>864</v>
      </c>
      <c r="H697" s="11" t="s">
        <v>670</v>
      </c>
      <c r="I697" s="11" t="s">
        <v>27</v>
      </c>
      <c r="J697" s="11" t="s">
        <v>865</v>
      </c>
      <c r="K697" s="8" t="s">
        <v>675</v>
      </c>
      <c r="L697" s="8" t="s">
        <v>676</v>
      </c>
      <c r="M697" s="20">
        <v>45434.0</v>
      </c>
      <c r="N697" s="21">
        <v>445.0</v>
      </c>
      <c r="O697" s="22">
        <v>445.0</v>
      </c>
      <c r="P697" s="7"/>
      <c r="Q697" s="7"/>
      <c r="R697" s="8">
        <v>4.0</v>
      </c>
      <c r="S697" s="20">
        <v>45457.0</v>
      </c>
    </row>
    <row r="698" ht="13.5" customHeight="1">
      <c r="A698" s="13" t="s">
        <v>866</v>
      </c>
      <c r="B698" s="8" t="s">
        <v>98</v>
      </c>
      <c r="C698" s="8" t="s">
        <v>99</v>
      </c>
      <c r="D698" s="8" t="s">
        <v>859</v>
      </c>
      <c r="E698" s="9" t="s">
        <v>867</v>
      </c>
      <c r="F698" s="8" t="s">
        <v>861</v>
      </c>
      <c r="G698" s="8" t="s">
        <v>868</v>
      </c>
      <c r="H698" s="11" t="s">
        <v>259</v>
      </c>
      <c r="I698" s="11" t="s">
        <v>27</v>
      </c>
      <c r="J698" s="11" t="s">
        <v>635</v>
      </c>
      <c r="K698" s="8" t="s">
        <v>675</v>
      </c>
      <c r="L698" s="8" t="s">
        <v>676</v>
      </c>
      <c r="M698" s="20">
        <v>45434.0</v>
      </c>
      <c r="N698" s="21">
        <v>445.0</v>
      </c>
      <c r="O698" s="22">
        <v>445.0</v>
      </c>
      <c r="P698" s="7"/>
      <c r="Q698" s="7"/>
      <c r="R698" s="7"/>
      <c r="S698" s="17"/>
    </row>
    <row r="699" ht="13.5" customHeight="1">
      <c r="A699" s="13" t="s">
        <v>869</v>
      </c>
      <c r="B699" s="8" t="s">
        <v>41</v>
      </c>
      <c r="C699" s="8" t="s">
        <v>870</v>
      </c>
      <c r="D699" s="8" t="s">
        <v>871</v>
      </c>
      <c r="E699" s="9" t="s">
        <v>872</v>
      </c>
      <c r="F699" s="8" t="s">
        <v>873</v>
      </c>
      <c r="G699" s="8" t="s">
        <v>735</v>
      </c>
      <c r="H699" s="11" t="s">
        <v>670</v>
      </c>
      <c r="I699" s="11" t="s">
        <v>260</v>
      </c>
      <c r="J699" s="11" t="s">
        <v>555</v>
      </c>
      <c r="K699" s="8" t="s">
        <v>675</v>
      </c>
      <c r="L699" s="8" t="s">
        <v>719</v>
      </c>
      <c r="M699" s="20">
        <v>45434.0</v>
      </c>
      <c r="N699" s="21">
        <v>0.0</v>
      </c>
      <c r="O699" s="22">
        <v>30.0</v>
      </c>
      <c r="P699" s="8"/>
      <c r="Q699" s="7"/>
      <c r="R699" s="8">
        <v>4.0</v>
      </c>
      <c r="S699" s="17"/>
    </row>
    <row r="700" ht="13.5" customHeight="1">
      <c r="A700" s="13" t="s">
        <v>874</v>
      </c>
      <c r="B700" s="8" t="s">
        <v>34</v>
      </c>
      <c r="C700" s="8" t="s">
        <v>870</v>
      </c>
      <c r="D700" s="8" t="s">
        <v>875</v>
      </c>
      <c r="E700" s="9" t="s">
        <v>872</v>
      </c>
      <c r="F700" s="8" t="s">
        <v>873</v>
      </c>
      <c r="G700" s="8" t="s">
        <v>735</v>
      </c>
      <c r="H700" s="11" t="s">
        <v>670</v>
      </c>
      <c r="I700" s="11" t="s">
        <v>260</v>
      </c>
      <c r="J700" s="11" t="s">
        <v>555</v>
      </c>
      <c r="K700" s="8" t="s">
        <v>675</v>
      </c>
      <c r="L700" s="8" t="s">
        <v>719</v>
      </c>
      <c r="M700" s="20">
        <v>45434.0</v>
      </c>
      <c r="N700" s="21">
        <v>0.0</v>
      </c>
      <c r="O700" s="22">
        <v>30.0</v>
      </c>
      <c r="P700" s="7"/>
      <c r="Q700" s="7"/>
      <c r="R700" s="7"/>
      <c r="S700" s="17"/>
    </row>
    <row r="701" ht="13.5" customHeight="1">
      <c r="A701" s="24" t="s">
        <v>876</v>
      </c>
      <c r="B701" s="25" t="s">
        <v>41</v>
      </c>
      <c r="C701" s="25" t="s">
        <v>870</v>
      </c>
      <c r="D701" s="25" t="s">
        <v>871</v>
      </c>
      <c r="E701" s="26" t="s">
        <v>877</v>
      </c>
      <c r="F701" s="25" t="s">
        <v>873</v>
      </c>
      <c r="G701" s="25" t="s">
        <v>878</v>
      </c>
      <c r="H701" s="27" t="s">
        <v>259</v>
      </c>
      <c r="I701" s="27" t="s">
        <v>260</v>
      </c>
      <c r="J701" s="27" t="s">
        <v>294</v>
      </c>
      <c r="K701" s="25" t="s">
        <v>675</v>
      </c>
      <c r="L701" s="25" t="s">
        <v>676</v>
      </c>
      <c r="M701" s="28">
        <v>45434.0</v>
      </c>
      <c r="N701" s="29">
        <v>0.0</v>
      </c>
      <c r="O701" s="30">
        <v>30.0</v>
      </c>
      <c r="P701" s="25"/>
      <c r="Q701" s="31"/>
      <c r="R701" s="25">
        <v>4.0</v>
      </c>
      <c r="S701" s="32"/>
    </row>
    <row r="702" ht="13.5" customHeight="1">
      <c r="A702" s="24" t="s">
        <v>879</v>
      </c>
      <c r="B702" s="25" t="s">
        <v>34</v>
      </c>
      <c r="C702" s="25" t="s">
        <v>870</v>
      </c>
      <c r="D702" s="25" t="s">
        <v>875</v>
      </c>
      <c r="E702" s="26" t="s">
        <v>877</v>
      </c>
      <c r="F702" s="25" t="s">
        <v>873</v>
      </c>
      <c r="G702" s="25" t="s">
        <v>878</v>
      </c>
      <c r="H702" s="27" t="s">
        <v>259</v>
      </c>
      <c r="I702" s="27" t="s">
        <v>260</v>
      </c>
      <c r="J702" s="27" t="s">
        <v>294</v>
      </c>
      <c r="K702" s="25" t="s">
        <v>675</v>
      </c>
      <c r="L702" s="25" t="s">
        <v>676</v>
      </c>
      <c r="M702" s="28">
        <v>45434.0</v>
      </c>
      <c r="N702" s="29">
        <v>0.0</v>
      </c>
      <c r="O702" s="30">
        <v>30.0</v>
      </c>
      <c r="P702" s="31"/>
      <c r="Q702" s="31"/>
      <c r="R702" s="31"/>
      <c r="S702" s="32"/>
    </row>
    <row r="703" ht="13.5" customHeight="1">
      <c r="A703" s="13" t="s">
        <v>880</v>
      </c>
      <c r="B703" s="8" t="s">
        <v>41</v>
      </c>
      <c r="C703" s="8" t="s">
        <v>870</v>
      </c>
      <c r="D703" s="8" t="s">
        <v>871</v>
      </c>
      <c r="E703" s="9" t="s">
        <v>881</v>
      </c>
      <c r="F703" s="8" t="s">
        <v>873</v>
      </c>
      <c r="G703" s="8" t="s">
        <v>882</v>
      </c>
      <c r="H703" s="11" t="s">
        <v>670</v>
      </c>
      <c r="I703" s="11" t="s">
        <v>883</v>
      </c>
      <c r="J703" s="11" t="s">
        <v>884</v>
      </c>
      <c r="K703" s="8" t="s">
        <v>675</v>
      </c>
      <c r="L703" s="8" t="s">
        <v>676</v>
      </c>
      <c r="M703" s="20">
        <v>45434.0</v>
      </c>
      <c r="N703" s="21">
        <v>0.0</v>
      </c>
      <c r="O703" s="19">
        <v>30.0</v>
      </c>
      <c r="P703" s="7"/>
      <c r="Q703" s="7"/>
      <c r="R703" s="7">
        <v>4.0</v>
      </c>
      <c r="S703" s="17"/>
    </row>
    <row r="704" ht="13.5" customHeight="1">
      <c r="A704" s="13" t="s">
        <v>885</v>
      </c>
      <c r="B704" s="8" t="s">
        <v>34</v>
      </c>
      <c r="C704" s="8" t="s">
        <v>870</v>
      </c>
      <c r="D704" s="8" t="s">
        <v>875</v>
      </c>
      <c r="E704" s="9" t="s">
        <v>881</v>
      </c>
      <c r="F704" s="8" t="s">
        <v>873</v>
      </c>
      <c r="G704" s="8" t="s">
        <v>882</v>
      </c>
      <c r="H704" s="11" t="s">
        <v>670</v>
      </c>
      <c r="I704" s="11" t="s">
        <v>883</v>
      </c>
      <c r="J704" s="11" t="s">
        <v>884</v>
      </c>
      <c r="K704" s="8" t="s">
        <v>675</v>
      </c>
      <c r="L704" s="8" t="s">
        <v>676</v>
      </c>
      <c r="M704" s="20">
        <v>45434.0</v>
      </c>
      <c r="N704" s="21">
        <v>0.0</v>
      </c>
      <c r="O704" s="22">
        <v>30.0</v>
      </c>
      <c r="P704" s="7"/>
      <c r="Q704" s="7"/>
      <c r="R704" s="7"/>
      <c r="S704" s="17"/>
    </row>
    <row r="705" ht="13.5" customHeight="1">
      <c r="A705" s="13" t="s">
        <v>886</v>
      </c>
      <c r="B705" s="8" t="s">
        <v>93</v>
      </c>
      <c r="C705" s="8" t="s">
        <v>86</v>
      </c>
      <c r="D705" s="8" t="s">
        <v>887</v>
      </c>
      <c r="E705" s="9" t="s">
        <v>888</v>
      </c>
      <c r="F705" s="8" t="s">
        <v>889</v>
      </c>
      <c r="G705" s="8" t="s">
        <v>84</v>
      </c>
      <c r="H705" s="11" t="s">
        <v>103</v>
      </c>
      <c r="I705" s="11" t="s">
        <v>260</v>
      </c>
      <c r="J705" s="11" t="s">
        <v>667</v>
      </c>
      <c r="K705" s="8" t="s">
        <v>675</v>
      </c>
      <c r="L705" s="8" t="s">
        <v>676</v>
      </c>
      <c r="M705" s="20">
        <v>45440.0</v>
      </c>
      <c r="N705" s="21">
        <v>415.5</v>
      </c>
      <c r="O705" s="22">
        <v>450.0</v>
      </c>
      <c r="P705" s="7"/>
      <c r="Q705" s="7"/>
      <c r="R705" s="7"/>
      <c r="S705" s="17"/>
    </row>
    <row r="706" ht="13.5" customHeight="1">
      <c r="A706" s="13" t="s">
        <v>890</v>
      </c>
      <c r="B706" s="8" t="s">
        <v>85</v>
      </c>
      <c r="C706" s="8" t="s">
        <v>86</v>
      </c>
      <c r="D706" s="8" t="s">
        <v>891</v>
      </c>
      <c r="E706" s="9" t="s">
        <v>892</v>
      </c>
      <c r="F706" s="8" t="s">
        <v>893</v>
      </c>
      <c r="G706" s="8" t="s">
        <v>84</v>
      </c>
      <c r="H706" s="11" t="s">
        <v>103</v>
      </c>
      <c r="I706" s="11" t="s">
        <v>260</v>
      </c>
      <c r="J706" s="11" t="s">
        <v>667</v>
      </c>
      <c r="K706" s="8" t="s">
        <v>675</v>
      </c>
      <c r="L706" s="8" t="s">
        <v>676</v>
      </c>
      <c r="M706" s="20">
        <v>45440.0</v>
      </c>
      <c r="N706" s="21">
        <v>189.3</v>
      </c>
      <c r="O706" s="22">
        <v>210.0</v>
      </c>
      <c r="P706" s="7"/>
      <c r="Q706" s="7"/>
      <c r="R706" s="7"/>
      <c r="S706" s="17"/>
    </row>
    <row r="707" ht="13.5" customHeight="1">
      <c r="A707" s="13" t="s">
        <v>894</v>
      </c>
      <c r="B707" s="8" t="s">
        <v>85</v>
      </c>
      <c r="C707" s="8" t="s">
        <v>86</v>
      </c>
      <c r="D707" s="8" t="s">
        <v>891</v>
      </c>
      <c r="E707" s="9" t="s">
        <v>895</v>
      </c>
      <c r="F707" s="8" t="s">
        <v>893</v>
      </c>
      <c r="G707" s="8" t="s">
        <v>84</v>
      </c>
      <c r="H707" s="11" t="s">
        <v>103</v>
      </c>
      <c r="I707" s="11" t="s">
        <v>260</v>
      </c>
      <c r="J707" s="11" t="s">
        <v>667</v>
      </c>
      <c r="K707" s="8" t="s">
        <v>675</v>
      </c>
      <c r="L707" s="8" t="s">
        <v>676</v>
      </c>
      <c r="M707" s="20">
        <v>45440.0</v>
      </c>
      <c r="N707" s="21">
        <v>189.3</v>
      </c>
      <c r="O707" s="22">
        <v>210.0</v>
      </c>
      <c r="P707" s="7"/>
      <c r="Q707" s="7"/>
      <c r="R707" s="7"/>
      <c r="S707" s="17"/>
    </row>
    <row r="708" ht="13.5" customHeight="1">
      <c r="A708" s="13" t="s">
        <v>896</v>
      </c>
      <c r="B708" s="8" t="s">
        <v>85</v>
      </c>
      <c r="C708" s="8" t="s">
        <v>86</v>
      </c>
      <c r="D708" s="8" t="s">
        <v>891</v>
      </c>
      <c r="E708" s="9" t="s">
        <v>897</v>
      </c>
      <c r="F708" s="8" t="s">
        <v>893</v>
      </c>
      <c r="G708" s="8" t="s">
        <v>84</v>
      </c>
      <c r="H708" s="11" t="s">
        <v>103</v>
      </c>
      <c r="I708" s="11" t="s">
        <v>260</v>
      </c>
      <c r="J708" s="11" t="s">
        <v>667</v>
      </c>
      <c r="K708" s="8" t="s">
        <v>675</v>
      </c>
      <c r="L708" s="8" t="s">
        <v>676</v>
      </c>
      <c r="M708" s="20">
        <v>45440.0</v>
      </c>
      <c r="N708" s="21">
        <v>189.3</v>
      </c>
      <c r="O708" s="22">
        <v>210.0</v>
      </c>
      <c r="P708" s="7"/>
      <c r="Q708" s="7"/>
      <c r="R708" s="7"/>
      <c r="S708" s="17"/>
    </row>
    <row r="709" ht="13.5" customHeight="1">
      <c r="A709" s="13" t="s">
        <v>898</v>
      </c>
      <c r="B709" s="8" t="s">
        <v>290</v>
      </c>
      <c r="C709" s="8" t="s">
        <v>291</v>
      </c>
      <c r="D709" s="8" t="s">
        <v>292</v>
      </c>
      <c r="E709" s="9" t="s">
        <v>899</v>
      </c>
      <c r="F709" s="8" t="s">
        <v>293</v>
      </c>
      <c r="G709" s="8" t="s">
        <v>361</v>
      </c>
      <c r="H709" s="8" t="s">
        <v>259</v>
      </c>
      <c r="I709" s="8" t="s">
        <v>91</v>
      </c>
      <c r="J709" s="8" t="s">
        <v>275</v>
      </c>
      <c r="K709" s="8" t="s">
        <v>675</v>
      </c>
      <c r="L709" s="8" t="s">
        <v>676</v>
      </c>
      <c r="M709" s="20">
        <v>45476.0</v>
      </c>
      <c r="N709" s="21">
        <v>140.0</v>
      </c>
      <c r="O709" s="22">
        <v>170.0</v>
      </c>
      <c r="P709" s="7"/>
      <c r="Q709" s="7"/>
      <c r="R709" s="7"/>
      <c r="S709" s="17"/>
    </row>
    <row r="710" ht="13.5" customHeight="1">
      <c r="A710" s="13" t="s">
        <v>900</v>
      </c>
      <c r="B710" s="8" t="s">
        <v>290</v>
      </c>
      <c r="C710" s="8" t="s">
        <v>291</v>
      </c>
      <c r="D710" s="8" t="s">
        <v>292</v>
      </c>
      <c r="E710" s="9" t="s">
        <v>901</v>
      </c>
      <c r="F710" s="8" t="s">
        <v>293</v>
      </c>
      <c r="G710" s="8" t="s">
        <v>329</v>
      </c>
      <c r="H710" s="8" t="s">
        <v>259</v>
      </c>
      <c r="I710" s="8" t="s">
        <v>91</v>
      </c>
      <c r="J710" s="8" t="s">
        <v>275</v>
      </c>
      <c r="K710" s="8" t="s">
        <v>675</v>
      </c>
      <c r="L710" s="8" t="s">
        <v>676</v>
      </c>
      <c r="M710" s="20">
        <v>45476.0</v>
      </c>
      <c r="N710" s="21">
        <v>140.0</v>
      </c>
      <c r="O710" s="22">
        <v>170.0</v>
      </c>
      <c r="P710" s="7"/>
      <c r="Q710" s="7"/>
      <c r="R710" s="7"/>
      <c r="S710" s="17"/>
    </row>
    <row r="711" ht="13.5" customHeight="1">
      <c r="A711" s="13" t="s">
        <v>902</v>
      </c>
      <c r="B711" s="8" t="s">
        <v>290</v>
      </c>
      <c r="C711" s="8" t="s">
        <v>291</v>
      </c>
      <c r="D711" s="8" t="s">
        <v>292</v>
      </c>
      <c r="E711" s="9" t="s">
        <v>903</v>
      </c>
      <c r="F711" s="8" t="s">
        <v>293</v>
      </c>
      <c r="G711" s="8" t="s">
        <v>343</v>
      </c>
      <c r="H711" s="8" t="s">
        <v>259</v>
      </c>
      <c r="I711" s="8" t="s">
        <v>91</v>
      </c>
      <c r="J711" s="8" t="s">
        <v>275</v>
      </c>
      <c r="K711" s="8" t="s">
        <v>675</v>
      </c>
      <c r="L711" s="8" t="s">
        <v>676</v>
      </c>
      <c r="M711" s="20">
        <v>45476.0</v>
      </c>
      <c r="N711" s="21">
        <v>140.0</v>
      </c>
      <c r="O711" s="22">
        <v>170.0</v>
      </c>
      <c r="P711" s="7"/>
      <c r="Q711" s="7"/>
      <c r="R711" s="7"/>
      <c r="S711" s="17"/>
    </row>
    <row r="712" ht="13.5" customHeight="1">
      <c r="A712" s="13" t="s">
        <v>904</v>
      </c>
      <c r="B712" s="8" t="s">
        <v>290</v>
      </c>
      <c r="C712" s="8" t="s">
        <v>291</v>
      </c>
      <c r="D712" s="8" t="s">
        <v>292</v>
      </c>
      <c r="E712" s="9" t="s">
        <v>905</v>
      </c>
      <c r="F712" s="8" t="s">
        <v>293</v>
      </c>
      <c r="G712" s="8" t="s">
        <v>550</v>
      </c>
      <c r="H712" s="8" t="s">
        <v>259</v>
      </c>
      <c r="I712" s="8" t="s">
        <v>91</v>
      </c>
      <c r="J712" s="8" t="s">
        <v>275</v>
      </c>
      <c r="K712" s="8" t="s">
        <v>675</v>
      </c>
      <c r="L712" s="8" t="s">
        <v>676</v>
      </c>
      <c r="M712" s="20">
        <v>45476.0</v>
      </c>
      <c r="N712" s="21">
        <v>140.0</v>
      </c>
      <c r="O712" s="22">
        <v>170.0</v>
      </c>
      <c r="P712" s="7"/>
      <c r="Q712" s="7"/>
      <c r="R712" s="7"/>
      <c r="S712" s="17"/>
    </row>
    <row r="713" ht="13.5" customHeight="1">
      <c r="A713" s="13" t="s">
        <v>906</v>
      </c>
      <c r="B713" s="8" t="s">
        <v>290</v>
      </c>
      <c r="C713" s="8" t="s">
        <v>291</v>
      </c>
      <c r="D713" s="8" t="s">
        <v>292</v>
      </c>
      <c r="E713" s="9" t="s">
        <v>907</v>
      </c>
      <c r="F713" s="8" t="s">
        <v>293</v>
      </c>
      <c r="G713" s="8" t="s">
        <v>2517</v>
      </c>
      <c r="H713" s="8" t="s">
        <v>670</v>
      </c>
      <c r="I713" s="8" t="s">
        <v>27</v>
      </c>
      <c r="J713" s="8" t="s">
        <v>684</v>
      </c>
      <c r="K713" s="8" t="s">
        <v>675</v>
      </c>
      <c r="L713" s="8" t="s">
        <v>676</v>
      </c>
      <c r="M713" s="20">
        <v>45476.0</v>
      </c>
      <c r="N713" s="21">
        <v>140.0</v>
      </c>
      <c r="O713" s="22">
        <v>170.0</v>
      </c>
      <c r="P713" s="7"/>
      <c r="Q713" s="7"/>
      <c r="R713" s="7"/>
      <c r="S713" s="17"/>
    </row>
    <row r="714" ht="13.5" customHeight="1">
      <c r="A714" s="13" t="s">
        <v>908</v>
      </c>
      <c r="B714" s="8" t="s">
        <v>290</v>
      </c>
      <c r="C714" s="8" t="s">
        <v>291</v>
      </c>
      <c r="D714" s="8" t="s">
        <v>292</v>
      </c>
      <c r="E714" s="9" t="s">
        <v>909</v>
      </c>
      <c r="F714" s="8" t="s">
        <v>293</v>
      </c>
      <c r="G714" s="8" t="s">
        <v>910</v>
      </c>
      <c r="H714" s="8" t="s">
        <v>259</v>
      </c>
      <c r="I714" s="8" t="s">
        <v>91</v>
      </c>
      <c r="J714" s="8" t="s">
        <v>275</v>
      </c>
      <c r="K714" s="8" t="s">
        <v>675</v>
      </c>
      <c r="L714" s="8" t="s">
        <v>676</v>
      </c>
      <c r="M714" s="20">
        <v>45476.0</v>
      </c>
      <c r="N714" s="21">
        <v>140.0</v>
      </c>
      <c r="O714" s="22">
        <v>170.0</v>
      </c>
      <c r="P714" s="7"/>
      <c r="Q714" s="7"/>
      <c r="R714" s="7"/>
      <c r="S714" s="17"/>
    </row>
    <row r="715" ht="13.5" customHeight="1">
      <c r="A715" s="13" t="s">
        <v>911</v>
      </c>
      <c r="B715" s="8" t="s">
        <v>290</v>
      </c>
      <c r="C715" s="8" t="s">
        <v>291</v>
      </c>
      <c r="D715" s="8" t="s">
        <v>292</v>
      </c>
      <c r="E715" s="9" t="s">
        <v>912</v>
      </c>
      <c r="F715" s="8" t="s">
        <v>293</v>
      </c>
      <c r="G715" s="8" t="s">
        <v>274</v>
      </c>
      <c r="H715" s="8" t="s">
        <v>259</v>
      </c>
      <c r="I715" s="8" t="s">
        <v>91</v>
      </c>
      <c r="J715" s="8" t="s">
        <v>275</v>
      </c>
      <c r="K715" s="8" t="s">
        <v>675</v>
      </c>
      <c r="L715" s="8" t="s">
        <v>676</v>
      </c>
      <c r="M715" s="20">
        <v>45476.0</v>
      </c>
      <c r="N715" s="21">
        <v>140.0</v>
      </c>
      <c r="O715" s="22">
        <v>170.0</v>
      </c>
      <c r="P715" s="7"/>
      <c r="Q715" s="7"/>
      <c r="R715" s="7"/>
      <c r="S715" s="17"/>
    </row>
    <row r="716" ht="13.5" customHeight="1">
      <c r="A716" s="13" t="s">
        <v>913</v>
      </c>
      <c r="B716" s="8" t="s">
        <v>290</v>
      </c>
      <c r="C716" s="8" t="s">
        <v>291</v>
      </c>
      <c r="D716" s="8" t="s">
        <v>292</v>
      </c>
      <c r="E716" s="9" t="s">
        <v>914</v>
      </c>
      <c r="F716" s="8" t="s">
        <v>293</v>
      </c>
      <c r="G716" s="8" t="s">
        <v>374</v>
      </c>
      <c r="H716" s="8" t="s">
        <v>259</v>
      </c>
      <c r="I716" s="8" t="s">
        <v>91</v>
      </c>
      <c r="J716" s="8" t="s">
        <v>275</v>
      </c>
      <c r="K716" s="8" t="s">
        <v>675</v>
      </c>
      <c r="L716" s="8" t="s">
        <v>676</v>
      </c>
      <c r="M716" s="20">
        <v>45476.0</v>
      </c>
      <c r="N716" s="21">
        <v>140.0</v>
      </c>
      <c r="O716" s="22">
        <v>170.0</v>
      </c>
      <c r="P716" s="7"/>
      <c r="Q716" s="7"/>
      <c r="R716" s="7"/>
      <c r="S716" s="17"/>
    </row>
    <row r="717" ht="13.5" customHeight="1">
      <c r="A717" s="13" t="s">
        <v>915</v>
      </c>
      <c r="B717" s="8" t="s">
        <v>290</v>
      </c>
      <c r="C717" s="8" t="s">
        <v>291</v>
      </c>
      <c r="D717" s="8" t="s">
        <v>292</v>
      </c>
      <c r="E717" s="9" t="s">
        <v>916</v>
      </c>
      <c r="F717" s="8" t="s">
        <v>293</v>
      </c>
      <c r="G717" s="8" t="s">
        <v>2518</v>
      </c>
      <c r="H717" s="8" t="s">
        <v>259</v>
      </c>
      <c r="I717" s="8" t="s">
        <v>91</v>
      </c>
      <c r="J717" s="8" t="s">
        <v>400</v>
      </c>
      <c r="K717" s="8" t="s">
        <v>675</v>
      </c>
      <c r="L717" s="8" t="s">
        <v>676</v>
      </c>
      <c r="M717" s="20">
        <v>45476.0</v>
      </c>
      <c r="N717" s="21">
        <v>140.0</v>
      </c>
      <c r="O717" s="22">
        <v>170.0</v>
      </c>
      <c r="P717" s="7"/>
      <c r="Q717" s="7"/>
      <c r="R717" s="7"/>
      <c r="S717" s="17"/>
    </row>
    <row r="718" ht="13.5" customHeight="1">
      <c r="A718" s="13" t="s">
        <v>917</v>
      </c>
      <c r="B718" s="8" t="s">
        <v>290</v>
      </c>
      <c r="C718" s="8" t="s">
        <v>291</v>
      </c>
      <c r="D718" s="8" t="s">
        <v>292</v>
      </c>
      <c r="E718" s="9" t="s">
        <v>918</v>
      </c>
      <c r="F718" s="8" t="s">
        <v>293</v>
      </c>
      <c r="G718" s="8" t="s">
        <v>919</v>
      </c>
      <c r="H718" s="8" t="s">
        <v>259</v>
      </c>
      <c r="I718" s="8" t="s">
        <v>91</v>
      </c>
      <c r="J718" s="8" t="s">
        <v>400</v>
      </c>
      <c r="K718" s="8" t="s">
        <v>675</v>
      </c>
      <c r="L718" s="8" t="s">
        <v>676</v>
      </c>
      <c r="M718" s="20">
        <v>45476.0</v>
      </c>
      <c r="N718" s="21">
        <v>140.0</v>
      </c>
      <c r="O718" s="22">
        <v>170.0</v>
      </c>
      <c r="P718" s="7"/>
      <c r="Q718" s="7"/>
      <c r="R718" s="7"/>
      <c r="S718" s="17"/>
    </row>
    <row r="719" ht="13.5" customHeight="1">
      <c r="A719" s="13" t="s">
        <v>920</v>
      </c>
      <c r="B719" s="8" t="s">
        <v>290</v>
      </c>
      <c r="C719" s="8" t="s">
        <v>291</v>
      </c>
      <c r="D719" s="8" t="s">
        <v>292</v>
      </c>
      <c r="E719" s="9" t="s">
        <v>921</v>
      </c>
      <c r="F719" s="8" t="s">
        <v>293</v>
      </c>
      <c r="G719" s="8" t="s">
        <v>450</v>
      </c>
      <c r="H719" s="8" t="s">
        <v>259</v>
      </c>
      <c r="I719" s="8" t="s">
        <v>91</v>
      </c>
      <c r="J719" s="8" t="s">
        <v>400</v>
      </c>
      <c r="K719" s="8" t="s">
        <v>675</v>
      </c>
      <c r="L719" s="8" t="s">
        <v>676</v>
      </c>
      <c r="M719" s="20">
        <v>45476.0</v>
      </c>
      <c r="N719" s="21">
        <v>140.0</v>
      </c>
      <c r="O719" s="22">
        <v>170.0</v>
      </c>
      <c r="P719" s="7"/>
      <c r="Q719" s="7"/>
      <c r="R719" s="7"/>
      <c r="S719" s="17"/>
    </row>
    <row r="720" ht="13.5" customHeight="1">
      <c r="A720" s="13" t="s">
        <v>922</v>
      </c>
      <c r="B720" s="8" t="s">
        <v>290</v>
      </c>
      <c r="C720" s="8" t="s">
        <v>291</v>
      </c>
      <c r="D720" s="8" t="s">
        <v>292</v>
      </c>
      <c r="E720" s="9" t="s">
        <v>923</v>
      </c>
      <c r="F720" s="8" t="s">
        <v>293</v>
      </c>
      <c r="G720" s="8" t="s">
        <v>472</v>
      </c>
      <c r="H720" s="8" t="s">
        <v>259</v>
      </c>
      <c r="I720" s="8" t="s">
        <v>91</v>
      </c>
      <c r="J720" s="8" t="s">
        <v>400</v>
      </c>
      <c r="K720" s="8" t="s">
        <v>675</v>
      </c>
      <c r="L720" s="8" t="s">
        <v>676</v>
      </c>
      <c r="M720" s="20">
        <v>45476.0</v>
      </c>
      <c r="N720" s="21">
        <v>140.0</v>
      </c>
      <c r="O720" s="22">
        <v>170.0</v>
      </c>
      <c r="P720" s="7"/>
      <c r="Q720" s="7"/>
      <c r="R720" s="7"/>
      <c r="S720" s="17"/>
    </row>
    <row r="721" ht="13.5" customHeight="1">
      <c r="A721" s="13" t="s">
        <v>924</v>
      </c>
      <c r="B721" s="8" t="s">
        <v>290</v>
      </c>
      <c r="C721" s="8" t="s">
        <v>291</v>
      </c>
      <c r="D721" s="8" t="s">
        <v>292</v>
      </c>
      <c r="E721" s="9" t="s">
        <v>925</v>
      </c>
      <c r="F721" s="8" t="s">
        <v>293</v>
      </c>
      <c r="G721" s="8" t="s">
        <v>399</v>
      </c>
      <c r="H721" s="8" t="s">
        <v>259</v>
      </c>
      <c r="I721" s="8" t="s">
        <v>91</v>
      </c>
      <c r="J721" s="8" t="s">
        <v>400</v>
      </c>
      <c r="K721" s="8" t="s">
        <v>675</v>
      </c>
      <c r="L721" s="8" t="s">
        <v>676</v>
      </c>
      <c r="M721" s="20">
        <v>45476.0</v>
      </c>
      <c r="N721" s="21">
        <v>140.0</v>
      </c>
      <c r="O721" s="22">
        <v>170.0</v>
      </c>
      <c r="P721" s="7"/>
      <c r="Q721" s="7"/>
      <c r="R721" s="7"/>
      <c r="S721" s="17"/>
    </row>
    <row r="722" ht="13.5" customHeight="1">
      <c r="A722" s="13" t="s">
        <v>926</v>
      </c>
      <c r="B722" s="8" t="s">
        <v>290</v>
      </c>
      <c r="C722" s="8" t="s">
        <v>291</v>
      </c>
      <c r="D722" s="8" t="s">
        <v>292</v>
      </c>
      <c r="E722" s="9" t="s">
        <v>927</v>
      </c>
      <c r="F722" s="8" t="s">
        <v>293</v>
      </c>
      <c r="G722" s="8" t="s">
        <v>825</v>
      </c>
      <c r="H722" s="8" t="s">
        <v>259</v>
      </c>
      <c r="I722" s="8" t="s">
        <v>27</v>
      </c>
      <c r="J722" s="8" t="s">
        <v>635</v>
      </c>
      <c r="K722" s="8" t="s">
        <v>675</v>
      </c>
      <c r="L722" s="8" t="s">
        <v>676</v>
      </c>
      <c r="M722" s="20">
        <v>45476.0</v>
      </c>
      <c r="N722" s="21">
        <v>140.0</v>
      </c>
      <c r="O722" s="22">
        <v>170.0</v>
      </c>
      <c r="P722" s="7"/>
      <c r="Q722" s="7"/>
      <c r="R722" s="7"/>
      <c r="S722" s="17"/>
    </row>
    <row r="723" ht="13.5" customHeight="1">
      <c r="A723" s="13" t="s">
        <v>928</v>
      </c>
      <c r="B723" s="8" t="s">
        <v>290</v>
      </c>
      <c r="C723" s="8" t="s">
        <v>291</v>
      </c>
      <c r="D723" s="8" t="s">
        <v>292</v>
      </c>
      <c r="E723" s="9" t="s">
        <v>929</v>
      </c>
      <c r="F723" s="8" t="s">
        <v>293</v>
      </c>
      <c r="G723" s="8" t="s">
        <v>2215</v>
      </c>
      <c r="H723" s="8" t="s">
        <v>259</v>
      </c>
      <c r="I723" s="8" t="s">
        <v>27</v>
      </c>
      <c r="J723" s="8" t="s">
        <v>635</v>
      </c>
      <c r="K723" s="8" t="s">
        <v>675</v>
      </c>
      <c r="L723" s="8" t="s">
        <v>676</v>
      </c>
      <c r="M723" s="20">
        <v>45476.0</v>
      </c>
      <c r="N723" s="21">
        <v>140.0</v>
      </c>
      <c r="O723" s="22">
        <v>170.0</v>
      </c>
      <c r="P723" s="8" t="s">
        <v>641</v>
      </c>
      <c r="Q723" s="7"/>
      <c r="R723" s="7"/>
      <c r="S723" s="17"/>
    </row>
    <row r="724" ht="13.5" customHeight="1">
      <c r="A724" s="13" t="s">
        <v>930</v>
      </c>
      <c r="B724" s="8" t="s">
        <v>67</v>
      </c>
      <c r="C724" s="8" t="s">
        <v>68</v>
      </c>
      <c r="D724" s="8" t="s">
        <v>931</v>
      </c>
      <c r="E724" s="9" t="s">
        <v>932</v>
      </c>
      <c r="F724" s="8" t="s">
        <v>933</v>
      </c>
      <c r="G724" s="8" t="s">
        <v>500</v>
      </c>
      <c r="H724" s="11" t="s">
        <v>259</v>
      </c>
      <c r="I724" s="11" t="s">
        <v>260</v>
      </c>
      <c r="J724" s="11" t="s">
        <v>490</v>
      </c>
      <c r="K724" s="8" t="s">
        <v>675</v>
      </c>
      <c r="L724" s="8" t="s">
        <v>719</v>
      </c>
      <c r="M724" s="20">
        <v>45484.0</v>
      </c>
      <c r="N724" s="21">
        <v>1574.79</v>
      </c>
      <c r="O724" s="22">
        <v>1600.0</v>
      </c>
      <c r="P724" s="7"/>
      <c r="Q724" s="7"/>
      <c r="R724" s="7"/>
      <c r="S724" s="20">
        <v>45490.0</v>
      </c>
    </row>
    <row r="725" ht="13.5" customHeight="1">
      <c r="A725" s="13" t="s">
        <v>934</v>
      </c>
      <c r="B725" s="8" t="s">
        <v>132</v>
      </c>
      <c r="C725" s="8" t="s">
        <v>68</v>
      </c>
      <c r="D725" s="8" t="s">
        <v>935</v>
      </c>
      <c r="E725" s="9" t="s">
        <v>936</v>
      </c>
      <c r="F725" s="8" t="s">
        <v>937</v>
      </c>
      <c r="G725" s="8" t="s">
        <v>500</v>
      </c>
      <c r="H725" s="11" t="s">
        <v>259</v>
      </c>
      <c r="I725" s="11" t="s">
        <v>260</v>
      </c>
      <c r="J725" s="11" t="s">
        <v>490</v>
      </c>
      <c r="K725" s="8" t="s">
        <v>675</v>
      </c>
      <c r="L725" s="8" t="s">
        <v>719</v>
      </c>
      <c r="M725" s="20">
        <v>45484.0</v>
      </c>
      <c r="N725" s="21">
        <v>250.0</v>
      </c>
      <c r="O725" s="22">
        <v>300.0</v>
      </c>
      <c r="P725" s="7"/>
      <c r="Q725" s="7"/>
      <c r="R725" s="7"/>
      <c r="S725" s="20">
        <v>45490.0</v>
      </c>
    </row>
    <row r="726" ht="13.5" customHeight="1">
      <c r="A726" s="13" t="s">
        <v>938</v>
      </c>
      <c r="B726" s="8" t="s">
        <v>67</v>
      </c>
      <c r="C726" s="8" t="s">
        <v>68</v>
      </c>
      <c r="D726" s="8" t="s">
        <v>931</v>
      </c>
      <c r="E726" s="9" t="s">
        <v>939</v>
      </c>
      <c r="F726" s="8" t="s">
        <v>933</v>
      </c>
      <c r="G726" s="8" t="s">
        <v>186</v>
      </c>
      <c r="H726" s="11" t="s">
        <v>143</v>
      </c>
      <c r="I726" s="11" t="s">
        <v>91</v>
      </c>
      <c r="J726" s="11" t="s">
        <v>130</v>
      </c>
      <c r="K726" s="8" t="s">
        <v>675</v>
      </c>
      <c r="L726" s="8" t="s">
        <v>719</v>
      </c>
      <c r="M726" s="20">
        <v>45484.0</v>
      </c>
      <c r="N726" s="21">
        <v>1574.79</v>
      </c>
      <c r="O726" s="22">
        <v>1600.0</v>
      </c>
      <c r="P726" s="7"/>
      <c r="Q726" s="7"/>
      <c r="R726" s="7"/>
      <c r="S726" s="20"/>
    </row>
    <row r="727" ht="13.5" customHeight="1">
      <c r="A727" s="13" t="s">
        <v>940</v>
      </c>
      <c r="B727" s="8" t="s">
        <v>132</v>
      </c>
      <c r="C727" s="8" t="s">
        <v>68</v>
      </c>
      <c r="D727" s="8" t="s">
        <v>935</v>
      </c>
      <c r="E727" s="9" t="s">
        <v>941</v>
      </c>
      <c r="F727" s="8" t="s">
        <v>942</v>
      </c>
      <c r="G727" s="8" t="s">
        <v>186</v>
      </c>
      <c r="H727" s="11" t="s">
        <v>143</v>
      </c>
      <c r="I727" s="11" t="s">
        <v>91</v>
      </c>
      <c r="J727" s="11" t="s">
        <v>130</v>
      </c>
      <c r="K727" s="8" t="s">
        <v>675</v>
      </c>
      <c r="L727" s="8" t="s">
        <v>719</v>
      </c>
      <c r="M727" s="20">
        <v>45484.0</v>
      </c>
      <c r="N727" s="21">
        <v>250.0</v>
      </c>
      <c r="O727" s="22">
        <v>300.0</v>
      </c>
      <c r="P727" s="7"/>
      <c r="Q727" s="7"/>
      <c r="R727" s="7"/>
      <c r="S727" s="20"/>
    </row>
    <row r="728" ht="13.5" customHeight="1">
      <c r="A728" s="13" t="s">
        <v>943</v>
      </c>
      <c r="B728" s="8" t="s">
        <v>67</v>
      </c>
      <c r="C728" s="8" t="s">
        <v>68</v>
      </c>
      <c r="D728" s="8" t="s">
        <v>931</v>
      </c>
      <c r="E728" s="9" t="s">
        <v>944</v>
      </c>
      <c r="F728" s="8" t="s">
        <v>933</v>
      </c>
      <c r="G728" s="8" t="s">
        <v>186</v>
      </c>
      <c r="H728" s="11" t="s">
        <v>143</v>
      </c>
      <c r="I728" s="11" t="s">
        <v>91</v>
      </c>
      <c r="J728" s="11" t="s">
        <v>130</v>
      </c>
      <c r="K728" s="8" t="s">
        <v>675</v>
      </c>
      <c r="L728" s="8" t="s">
        <v>719</v>
      </c>
      <c r="M728" s="17">
        <v>45484.0</v>
      </c>
      <c r="N728" s="18">
        <v>1574.79</v>
      </c>
      <c r="O728" s="19">
        <v>1600.0</v>
      </c>
      <c r="P728" s="7"/>
      <c r="Q728" s="7"/>
      <c r="R728" s="7"/>
      <c r="S728" s="17"/>
    </row>
    <row r="729" ht="13.5" customHeight="1">
      <c r="A729" s="13" t="s">
        <v>945</v>
      </c>
      <c r="B729" s="8" t="s">
        <v>132</v>
      </c>
      <c r="C729" s="8" t="s">
        <v>68</v>
      </c>
      <c r="D729" s="8" t="s">
        <v>935</v>
      </c>
      <c r="E729" s="9" t="s">
        <v>946</v>
      </c>
      <c r="F729" s="8" t="s">
        <v>947</v>
      </c>
      <c r="G729" s="8" t="s">
        <v>186</v>
      </c>
      <c r="H729" s="11" t="s">
        <v>143</v>
      </c>
      <c r="I729" s="11" t="s">
        <v>91</v>
      </c>
      <c r="J729" s="11" t="s">
        <v>130</v>
      </c>
      <c r="K729" s="8" t="s">
        <v>675</v>
      </c>
      <c r="L729" s="8" t="s">
        <v>719</v>
      </c>
      <c r="M729" s="17">
        <v>45484.0</v>
      </c>
      <c r="N729" s="18">
        <v>250.0</v>
      </c>
      <c r="O729" s="19">
        <v>300.0</v>
      </c>
      <c r="P729" s="7"/>
      <c r="Q729" s="7"/>
      <c r="R729" s="7"/>
      <c r="S729" s="17"/>
    </row>
    <row r="730" ht="13.5" customHeight="1">
      <c r="A730" s="13" t="s">
        <v>948</v>
      </c>
      <c r="B730" s="8" t="s">
        <v>67</v>
      </c>
      <c r="C730" s="8" t="s">
        <v>68</v>
      </c>
      <c r="D730" s="8" t="s">
        <v>931</v>
      </c>
      <c r="E730" s="9" t="s">
        <v>949</v>
      </c>
      <c r="F730" s="8" t="s">
        <v>933</v>
      </c>
      <c r="G730" s="8" t="s">
        <v>950</v>
      </c>
      <c r="H730" s="11" t="s">
        <v>670</v>
      </c>
      <c r="I730" s="11" t="s">
        <v>91</v>
      </c>
      <c r="J730" s="11" t="s">
        <v>130</v>
      </c>
      <c r="K730" s="8" t="s">
        <v>675</v>
      </c>
      <c r="L730" s="8" t="s">
        <v>719</v>
      </c>
      <c r="M730" s="17">
        <v>45484.0</v>
      </c>
      <c r="N730" s="18">
        <v>1574.79</v>
      </c>
      <c r="O730" s="19">
        <v>1600.0</v>
      </c>
      <c r="P730" s="7"/>
      <c r="Q730" s="7"/>
      <c r="R730" s="7"/>
      <c r="S730" s="17"/>
    </row>
    <row r="731" ht="13.5" customHeight="1">
      <c r="A731" s="13" t="s">
        <v>951</v>
      </c>
      <c r="B731" s="8" t="s">
        <v>132</v>
      </c>
      <c r="C731" s="8" t="s">
        <v>68</v>
      </c>
      <c r="D731" s="8" t="s">
        <v>935</v>
      </c>
      <c r="E731" s="9" t="s">
        <v>952</v>
      </c>
      <c r="F731" s="8" t="s">
        <v>953</v>
      </c>
      <c r="G731" s="8" t="s">
        <v>950</v>
      </c>
      <c r="H731" s="11" t="s">
        <v>670</v>
      </c>
      <c r="I731" s="11" t="s">
        <v>91</v>
      </c>
      <c r="J731" s="11" t="s">
        <v>130</v>
      </c>
      <c r="K731" s="8" t="s">
        <v>675</v>
      </c>
      <c r="L731" s="8" t="s">
        <v>719</v>
      </c>
      <c r="M731" s="17">
        <v>45484.0</v>
      </c>
      <c r="N731" s="18">
        <v>250.0</v>
      </c>
      <c r="O731" s="19">
        <v>300.0</v>
      </c>
      <c r="P731" s="7"/>
      <c r="Q731" s="7"/>
      <c r="R731" s="7"/>
      <c r="S731" s="17"/>
    </row>
    <row r="732" ht="13.5" customHeight="1">
      <c r="A732" s="13" t="s">
        <v>954</v>
      </c>
      <c r="B732" s="8" t="s">
        <v>67</v>
      </c>
      <c r="C732" s="8" t="s">
        <v>68</v>
      </c>
      <c r="D732" s="8" t="s">
        <v>931</v>
      </c>
      <c r="E732" s="9" t="s">
        <v>955</v>
      </c>
      <c r="F732" s="8" t="s">
        <v>933</v>
      </c>
      <c r="G732" s="8" t="s">
        <v>956</v>
      </c>
      <c r="H732" s="11" t="s">
        <v>670</v>
      </c>
      <c r="I732" s="11" t="s">
        <v>91</v>
      </c>
      <c r="J732" s="11" t="s">
        <v>130</v>
      </c>
      <c r="K732" s="8" t="s">
        <v>675</v>
      </c>
      <c r="L732" s="8" t="s">
        <v>719</v>
      </c>
      <c r="M732" s="17">
        <v>45484.0</v>
      </c>
      <c r="N732" s="18">
        <v>1574.79</v>
      </c>
      <c r="O732" s="19">
        <v>1600.0</v>
      </c>
      <c r="P732" s="7"/>
      <c r="Q732" s="7"/>
      <c r="R732" s="7"/>
      <c r="S732" s="17"/>
    </row>
    <row r="733" ht="13.5" customHeight="1">
      <c r="A733" s="13" t="s">
        <v>957</v>
      </c>
      <c r="B733" s="8" t="s">
        <v>132</v>
      </c>
      <c r="C733" s="8" t="s">
        <v>68</v>
      </c>
      <c r="D733" s="8" t="s">
        <v>935</v>
      </c>
      <c r="E733" s="9" t="s">
        <v>958</v>
      </c>
      <c r="F733" s="8" t="s">
        <v>959</v>
      </c>
      <c r="G733" s="8" t="s">
        <v>956</v>
      </c>
      <c r="H733" s="11" t="s">
        <v>670</v>
      </c>
      <c r="I733" s="11" t="s">
        <v>91</v>
      </c>
      <c r="J733" s="11" t="s">
        <v>130</v>
      </c>
      <c r="K733" s="8" t="s">
        <v>675</v>
      </c>
      <c r="L733" s="8" t="s">
        <v>719</v>
      </c>
      <c r="M733" s="17">
        <v>45484.0</v>
      </c>
      <c r="N733" s="18">
        <v>250.0</v>
      </c>
      <c r="O733" s="19">
        <v>300.0</v>
      </c>
      <c r="P733" s="7"/>
      <c r="Q733" s="7"/>
      <c r="R733" s="7"/>
      <c r="S733" s="17"/>
    </row>
    <row r="734" ht="13.5" customHeight="1">
      <c r="A734" s="13" t="s">
        <v>960</v>
      </c>
      <c r="B734" s="8" t="s">
        <v>67</v>
      </c>
      <c r="C734" s="8" t="s">
        <v>68</v>
      </c>
      <c r="D734" s="8" t="s">
        <v>931</v>
      </c>
      <c r="E734" s="9" t="s">
        <v>961</v>
      </c>
      <c r="F734" s="8" t="s">
        <v>933</v>
      </c>
      <c r="G734" s="8" t="s">
        <v>962</v>
      </c>
      <c r="H734" s="11" t="s">
        <v>259</v>
      </c>
      <c r="I734" s="11" t="s">
        <v>91</v>
      </c>
      <c r="J734" s="11" t="s">
        <v>130</v>
      </c>
      <c r="K734" s="8" t="s">
        <v>675</v>
      </c>
      <c r="L734" s="8" t="s">
        <v>676</v>
      </c>
      <c r="M734" s="17">
        <v>45484.0</v>
      </c>
      <c r="N734" s="18">
        <v>1574.79</v>
      </c>
      <c r="O734" s="19">
        <v>1600.0</v>
      </c>
      <c r="P734" s="7"/>
      <c r="Q734" s="7"/>
      <c r="R734" s="7"/>
      <c r="S734" s="17"/>
    </row>
    <row r="735" ht="13.5" customHeight="1">
      <c r="A735" s="13" t="s">
        <v>963</v>
      </c>
      <c r="B735" s="8" t="s">
        <v>132</v>
      </c>
      <c r="C735" s="8" t="s">
        <v>68</v>
      </c>
      <c r="D735" s="8" t="s">
        <v>935</v>
      </c>
      <c r="E735" s="9" t="s">
        <v>964</v>
      </c>
      <c r="F735" s="8" t="s">
        <v>965</v>
      </c>
      <c r="G735" s="8" t="s">
        <v>962</v>
      </c>
      <c r="H735" s="11" t="s">
        <v>259</v>
      </c>
      <c r="I735" s="11" t="s">
        <v>91</v>
      </c>
      <c r="J735" s="11" t="s">
        <v>130</v>
      </c>
      <c r="K735" s="8" t="s">
        <v>675</v>
      </c>
      <c r="L735" s="8" t="s">
        <v>676</v>
      </c>
      <c r="M735" s="17">
        <v>45484.0</v>
      </c>
      <c r="N735" s="18">
        <v>250.0</v>
      </c>
      <c r="O735" s="19">
        <v>300.0</v>
      </c>
      <c r="P735" s="7"/>
      <c r="Q735" s="7"/>
      <c r="R735" s="7"/>
      <c r="S735" s="17"/>
    </row>
    <row r="736" ht="13.5" customHeight="1">
      <c r="A736" s="13" t="s">
        <v>966</v>
      </c>
      <c r="B736" s="8" t="s">
        <v>67</v>
      </c>
      <c r="C736" s="8" t="s">
        <v>68</v>
      </c>
      <c r="D736" s="8" t="s">
        <v>931</v>
      </c>
      <c r="E736" s="9" t="s">
        <v>967</v>
      </c>
      <c r="F736" s="8" t="s">
        <v>933</v>
      </c>
      <c r="G736" s="8" t="s">
        <v>962</v>
      </c>
      <c r="H736" s="11" t="s">
        <v>259</v>
      </c>
      <c r="I736" s="11" t="s">
        <v>91</v>
      </c>
      <c r="J736" s="11" t="s">
        <v>130</v>
      </c>
      <c r="K736" s="8" t="s">
        <v>675</v>
      </c>
      <c r="L736" s="8" t="s">
        <v>676</v>
      </c>
      <c r="M736" s="17">
        <v>45484.0</v>
      </c>
      <c r="N736" s="18">
        <v>1574.79</v>
      </c>
      <c r="O736" s="19">
        <v>1600.0</v>
      </c>
      <c r="P736" s="7"/>
      <c r="Q736" s="7"/>
      <c r="R736" s="7"/>
      <c r="S736" s="17"/>
    </row>
    <row r="737" ht="13.5" customHeight="1">
      <c r="A737" s="13" t="s">
        <v>968</v>
      </c>
      <c r="B737" s="8" t="s">
        <v>132</v>
      </c>
      <c r="C737" s="8" t="s">
        <v>68</v>
      </c>
      <c r="D737" s="8" t="s">
        <v>935</v>
      </c>
      <c r="E737" s="9" t="s">
        <v>969</v>
      </c>
      <c r="F737" s="8" t="s">
        <v>970</v>
      </c>
      <c r="G737" s="8" t="s">
        <v>962</v>
      </c>
      <c r="H737" s="11" t="s">
        <v>259</v>
      </c>
      <c r="I737" s="11" t="s">
        <v>91</v>
      </c>
      <c r="J737" s="11" t="s">
        <v>130</v>
      </c>
      <c r="K737" s="8" t="s">
        <v>675</v>
      </c>
      <c r="L737" s="8" t="s">
        <v>676</v>
      </c>
      <c r="M737" s="17">
        <v>45484.0</v>
      </c>
      <c r="N737" s="18">
        <v>250.0</v>
      </c>
      <c r="O737" s="19">
        <v>300.0</v>
      </c>
      <c r="P737" s="7"/>
      <c r="Q737" s="7"/>
      <c r="R737" s="7"/>
      <c r="S737" s="17"/>
    </row>
    <row r="738" ht="13.5" customHeight="1">
      <c r="A738" s="13" t="s">
        <v>971</v>
      </c>
      <c r="B738" s="8" t="s">
        <v>67</v>
      </c>
      <c r="C738" s="8" t="s">
        <v>68</v>
      </c>
      <c r="D738" s="8" t="s">
        <v>931</v>
      </c>
      <c r="E738" s="9" t="s">
        <v>972</v>
      </c>
      <c r="F738" s="8" t="s">
        <v>933</v>
      </c>
      <c r="G738" s="8" t="s">
        <v>973</v>
      </c>
      <c r="H738" s="11" t="s">
        <v>26</v>
      </c>
      <c r="I738" s="11" t="s">
        <v>91</v>
      </c>
      <c r="J738" s="11" t="s">
        <v>130</v>
      </c>
      <c r="K738" s="8" t="s">
        <v>675</v>
      </c>
      <c r="L738" s="8" t="s">
        <v>676</v>
      </c>
      <c r="M738" s="17">
        <v>45484.0</v>
      </c>
      <c r="N738" s="18">
        <v>1574.79</v>
      </c>
      <c r="O738" s="19">
        <v>1600.0</v>
      </c>
      <c r="P738" s="7"/>
      <c r="Q738" s="7"/>
      <c r="R738" s="7"/>
      <c r="S738" s="17"/>
    </row>
    <row r="739" ht="13.5" customHeight="1">
      <c r="A739" s="13" t="s">
        <v>974</v>
      </c>
      <c r="B739" s="8" t="s">
        <v>132</v>
      </c>
      <c r="C739" s="8" t="s">
        <v>68</v>
      </c>
      <c r="D739" s="8" t="s">
        <v>935</v>
      </c>
      <c r="E739" s="9" t="s">
        <v>975</v>
      </c>
      <c r="F739" s="8" t="s">
        <v>976</v>
      </c>
      <c r="G739" s="8" t="s">
        <v>973</v>
      </c>
      <c r="H739" s="11" t="s">
        <v>26</v>
      </c>
      <c r="I739" s="11" t="s">
        <v>91</v>
      </c>
      <c r="J739" s="11" t="s">
        <v>130</v>
      </c>
      <c r="K739" s="8" t="s">
        <v>675</v>
      </c>
      <c r="L739" s="8" t="s">
        <v>676</v>
      </c>
      <c r="M739" s="17">
        <v>45484.0</v>
      </c>
      <c r="N739" s="18">
        <v>250.0</v>
      </c>
      <c r="O739" s="19">
        <v>300.0</v>
      </c>
      <c r="P739" s="14"/>
      <c r="Q739" s="7"/>
      <c r="R739" s="7"/>
      <c r="S739" s="17"/>
    </row>
    <row r="740" ht="13.5" customHeight="1">
      <c r="A740" s="13" t="s">
        <v>977</v>
      </c>
      <c r="B740" s="8" t="s">
        <v>67</v>
      </c>
      <c r="C740" s="8" t="s">
        <v>68</v>
      </c>
      <c r="D740" s="8" t="s">
        <v>931</v>
      </c>
      <c r="E740" s="9" t="s">
        <v>978</v>
      </c>
      <c r="F740" s="8" t="s">
        <v>933</v>
      </c>
      <c r="G740" s="8" t="s">
        <v>973</v>
      </c>
      <c r="H740" s="11" t="s">
        <v>26</v>
      </c>
      <c r="I740" s="11" t="s">
        <v>91</v>
      </c>
      <c r="J740" s="11" t="s">
        <v>130</v>
      </c>
      <c r="K740" s="8" t="s">
        <v>675</v>
      </c>
      <c r="L740" s="8" t="s">
        <v>676</v>
      </c>
      <c r="M740" s="17">
        <v>45484.0</v>
      </c>
      <c r="N740" s="18">
        <v>1574.79</v>
      </c>
      <c r="O740" s="19">
        <v>1600.0</v>
      </c>
      <c r="P740" s="33"/>
      <c r="Q740" s="7"/>
      <c r="R740" s="7"/>
      <c r="S740" s="17"/>
    </row>
    <row r="741" ht="13.5" customHeight="1">
      <c r="A741" s="13" t="s">
        <v>979</v>
      </c>
      <c r="B741" s="8" t="s">
        <v>132</v>
      </c>
      <c r="C741" s="8" t="s">
        <v>68</v>
      </c>
      <c r="D741" s="8" t="s">
        <v>935</v>
      </c>
      <c r="E741" s="9" t="s">
        <v>980</v>
      </c>
      <c r="F741" s="8" t="s">
        <v>981</v>
      </c>
      <c r="G741" s="8" t="s">
        <v>973</v>
      </c>
      <c r="H741" s="11" t="s">
        <v>26</v>
      </c>
      <c r="I741" s="11" t="s">
        <v>91</v>
      </c>
      <c r="J741" s="11" t="s">
        <v>130</v>
      </c>
      <c r="K741" s="8" t="s">
        <v>675</v>
      </c>
      <c r="L741" s="8" t="s">
        <v>676</v>
      </c>
      <c r="M741" s="17">
        <v>45484.0</v>
      </c>
      <c r="N741" s="18">
        <v>250.0</v>
      </c>
      <c r="O741" s="19">
        <v>300.0</v>
      </c>
      <c r="P741" s="14"/>
      <c r="Q741" s="7"/>
      <c r="R741" s="7"/>
      <c r="S741" s="17"/>
    </row>
    <row r="742" ht="13.5" customHeight="1">
      <c r="A742" s="13" t="s">
        <v>982</v>
      </c>
      <c r="B742" s="8" t="s">
        <v>67</v>
      </c>
      <c r="C742" s="8" t="s">
        <v>68</v>
      </c>
      <c r="D742" s="8" t="s">
        <v>931</v>
      </c>
      <c r="E742" s="9" t="s">
        <v>983</v>
      </c>
      <c r="F742" s="8" t="s">
        <v>933</v>
      </c>
      <c r="G742" s="8" t="s">
        <v>984</v>
      </c>
      <c r="H742" s="11" t="s">
        <v>103</v>
      </c>
      <c r="I742" s="11" t="s">
        <v>91</v>
      </c>
      <c r="J742" s="11" t="s">
        <v>130</v>
      </c>
      <c r="K742" s="8" t="s">
        <v>675</v>
      </c>
      <c r="L742" s="8" t="s">
        <v>676</v>
      </c>
      <c r="M742" s="17">
        <v>45484.0</v>
      </c>
      <c r="N742" s="18">
        <v>1574.79</v>
      </c>
      <c r="O742" s="19">
        <v>1600.0</v>
      </c>
      <c r="P742" s="7"/>
      <c r="Q742" s="7"/>
      <c r="R742" s="7"/>
      <c r="S742" s="17"/>
    </row>
    <row r="743" ht="13.5" customHeight="1">
      <c r="A743" s="13" t="s">
        <v>985</v>
      </c>
      <c r="B743" s="8" t="s">
        <v>132</v>
      </c>
      <c r="C743" s="8" t="s">
        <v>68</v>
      </c>
      <c r="D743" s="8" t="s">
        <v>935</v>
      </c>
      <c r="E743" s="9" t="s">
        <v>986</v>
      </c>
      <c r="F743" s="8" t="s">
        <v>987</v>
      </c>
      <c r="G743" s="8" t="s">
        <v>984</v>
      </c>
      <c r="H743" s="11" t="s">
        <v>103</v>
      </c>
      <c r="I743" s="11" t="s">
        <v>91</v>
      </c>
      <c r="J743" s="11" t="s">
        <v>130</v>
      </c>
      <c r="K743" s="8" t="s">
        <v>675</v>
      </c>
      <c r="L743" s="8" t="s">
        <v>676</v>
      </c>
      <c r="M743" s="17">
        <v>45484.0</v>
      </c>
      <c r="N743" s="18">
        <v>250.0</v>
      </c>
      <c r="O743" s="19">
        <v>300.0</v>
      </c>
      <c r="P743" s="7"/>
      <c r="Q743" s="7"/>
      <c r="R743" s="7"/>
      <c r="S743" s="17"/>
    </row>
    <row r="744" ht="13.5" customHeight="1">
      <c r="A744" s="66" t="s">
        <v>988</v>
      </c>
      <c r="B744" s="67" t="s">
        <v>67</v>
      </c>
      <c r="C744" s="67" t="s">
        <v>68</v>
      </c>
      <c r="D744" s="67" t="s">
        <v>931</v>
      </c>
      <c r="E744" s="68" t="s">
        <v>989</v>
      </c>
      <c r="F744" s="67" t="s">
        <v>933</v>
      </c>
      <c r="G744" s="67" t="s">
        <v>956</v>
      </c>
      <c r="H744" s="69" t="s">
        <v>103</v>
      </c>
      <c r="I744" s="69" t="s">
        <v>91</v>
      </c>
      <c r="J744" s="69" t="s">
        <v>130</v>
      </c>
      <c r="K744" s="67" t="s">
        <v>675</v>
      </c>
      <c r="L744" s="67" t="s">
        <v>676</v>
      </c>
      <c r="M744" s="70">
        <v>45484.0</v>
      </c>
      <c r="N744" s="71">
        <v>1574.79</v>
      </c>
      <c r="O744" s="72">
        <v>1600.0</v>
      </c>
      <c r="P744" s="73"/>
      <c r="Q744" s="73"/>
      <c r="R744" s="73"/>
      <c r="S744" s="70"/>
    </row>
    <row r="745" ht="13.5" customHeight="1">
      <c r="A745" s="66" t="s">
        <v>990</v>
      </c>
      <c r="B745" s="67" t="s">
        <v>132</v>
      </c>
      <c r="C745" s="67" t="s">
        <v>68</v>
      </c>
      <c r="D745" s="67" t="s">
        <v>935</v>
      </c>
      <c r="E745" s="68" t="s">
        <v>991</v>
      </c>
      <c r="F745" s="67" t="s">
        <v>992</v>
      </c>
      <c r="G745" s="67" t="s">
        <v>956</v>
      </c>
      <c r="H745" s="69" t="s">
        <v>103</v>
      </c>
      <c r="I745" s="69" t="s">
        <v>91</v>
      </c>
      <c r="J745" s="69" t="s">
        <v>130</v>
      </c>
      <c r="K745" s="67" t="s">
        <v>675</v>
      </c>
      <c r="L745" s="67" t="s">
        <v>676</v>
      </c>
      <c r="M745" s="70">
        <v>45484.0</v>
      </c>
      <c r="N745" s="71">
        <v>250.0</v>
      </c>
      <c r="O745" s="72">
        <v>300.0</v>
      </c>
      <c r="P745" s="73"/>
      <c r="Q745" s="73"/>
      <c r="R745" s="73"/>
      <c r="S745" s="70"/>
    </row>
    <row r="746" ht="13.5" customHeight="1">
      <c r="A746" s="13" t="s">
        <v>993</v>
      </c>
      <c r="B746" s="8" t="s">
        <v>67</v>
      </c>
      <c r="C746" s="8" t="s">
        <v>68</v>
      </c>
      <c r="D746" s="8" t="s">
        <v>931</v>
      </c>
      <c r="E746" s="9" t="s">
        <v>994</v>
      </c>
      <c r="F746" s="8" t="s">
        <v>933</v>
      </c>
      <c r="G746" s="8" t="s">
        <v>226</v>
      </c>
      <c r="H746" s="11" t="s">
        <v>207</v>
      </c>
      <c r="I746" s="11" t="s">
        <v>91</v>
      </c>
      <c r="J746" s="11" t="s">
        <v>130</v>
      </c>
      <c r="K746" s="8" t="s">
        <v>675</v>
      </c>
      <c r="L746" s="8" t="s">
        <v>676</v>
      </c>
      <c r="M746" s="17">
        <v>45484.0</v>
      </c>
      <c r="N746" s="18">
        <v>1574.79</v>
      </c>
      <c r="O746" s="19">
        <v>1600.0</v>
      </c>
      <c r="P746" s="7"/>
      <c r="Q746" s="7"/>
      <c r="R746" s="7"/>
      <c r="S746" s="17"/>
    </row>
    <row r="747" ht="13.5" customHeight="1">
      <c r="A747" s="13" t="s">
        <v>995</v>
      </c>
      <c r="B747" s="8" t="s">
        <v>132</v>
      </c>
      <c r="C747" s="8" t="s">
        <v>68</v>
      </c>
      <c r="D747" s="8" t="s">
        <v>935</v>
      </c>
      <c r="E747" s="9" t="s">
        <v>996</v>
      </c>
      <c r="F747" s="8" t="s">
        <v>997</v>
      </c>
      <c r="G747" s="8" t="s">
        <v>226</v>
      </c>
      <c r="H747" s="11" t="s">
        <v>207</v>
      </c>
      <c r="I747" s="11" t="s">
        <v>91</v>
      </c>
      <c r="J747" s="11" t="s">
        <v>130</v>
      </c>
      <c r="K747" s="8" t="s">
        <v>675</v>
      </c>
      <c r="L747" s="8" t="s">
        <v>676</v>
      </c>
      <c r="M747" s="17">
        <v>45484.0</v>
      </c>
      <c r="N747" s="18">
        <v>250.0</v>
      </c>
      <c r="O747" s="19">
        <v>300.0</v>
      </c>
      <c r="P747" s="7"/>
      <c r="Q747" s="7"/>
      <c r="R747" s="7"/>
      <c r="S747" s="17"/>
    </row>
    <row r="748" ht="13.5" customHeight="1">
      <c r="A748" s="13" t="s">
        <v>998</v>
      </c>
      <c r="B748" s="8" t="s">
        <v>67</v>
      </c>
      <c r="C748" s="8" t="s">
        <v>68</v>
      </c>
      <c r="D748" s="8" t="s">
        <v>931</v>
      </c>
      <c r="E748" s="9" t="s">
        <v>999</v>
      </c>
      <c r="F748" s="8" t="s">
        <v>933</v>
      </c>
      <c r="G748" s="8" t="s">
        <v>226</v>
      </c>
      <c r="H748" s="11" t="s">
        <v>207</v>
      </c>
      <c r="I748" s="11" t="s">
        <v>91</v>
      </c>
      <c r="J748" s="11" t="s">
        <v>130</v>
      </c>
      <c r="K748" s="8" t="s">
        <v>675</v>
      </c>
      <c r="L748" s="8" t="s">
        <v>676</v>
      </c>
      <c r="M748" s="17">
        <v>45484.0</v>
      </c>
      <c r="N748" s="18">
        <v>1574.79</v>
      </c>
      <c r="O748" s="19">
        <v>1600.0</v>
      </c>
      <c r="P748" s="7"/>
      <c r="Q748" s="7"/>
      <c r="R748" s="7"/>
      <c r="S748" s="17"/>
    </row>
    <row r="749" ht="13.5" customHeight="1">
      <c r="A749" s="13" t="s">
        <v>1000</v>
      </c>
      <c r="B749" s="8" t="s">
        <v>132</v>
      </c>
      <c r="C749" s="8" t="s">
        <v>68</v>
      </c>
      <c r="D749" s="8" t="s">
        <v>935</v>
      </c>
      <c r="E749" s="9" t="s">
        <v>1001</v>
      </c>
      <c r="F749" s="8" t="s">
        <v>1002</v>
      </c>
      <c r="G749" s="8" t="s">
        <v>226</v>
      </c>
      <c r="H749" s="11" t="s">
        <v>207</v>
      </c>
      <c r="I749" s="11" t="s">
        <v>91</v>
      </c>
      <c r="J749" s="11" t="s">
        <v>130</v>
      </c>
      <c r="K749" s="8" t="s">
        <v>675</v>
      </c>
      <c r="L749" s="8" t="s">
        <v>676</v>
      </c>
      <c r="M749" s="17">
        <v>45484.0</v>
      </c>
      <c r="N749" s="18">
        <v>250.0</v>
      </c>
      <c r="O749" s="19">
        <v>300.0</v>
      </c>
      <c r="P749" s="7"/>
      <c r="Q749" s="7"/>
      <c r="R749" s="7"/>
      <c r="S749" s="17"/>
    </row>
    <row r="750" ht="13.5" customHeight="1">
      <c r="A750" s="13" t="s">
        <v>1003</v>
      </c>
      <c r="B750" s="8" t="s">
        <v>1004</v>
      </c>
      <c r="C750" s="8" t="s">
        <v>378</v>
      </c>
      <c r="D750" s="8" t="s">
        <v>1005</v>
      </c>
      <c r="E750" s="9" t="s">
        <v>1006</v>
      </c>
      <c r="F750" s="8" t="s">
        <v>1007</v>
      </c>
      <c r="G750" s="8" t="s">
        <v>956</v>
      </c>
      <c r="H750" s="11" t="s">
        <v>670</v>
      </c>
      <c r="I750" s="11" t="s">
        <v>91</v>
      </c>
      <c r="J750" s="11" t="s">
        <v>130</v>
      </c>
      <c r="K750" s="8" t="s">
        <v>675</v>
      </c>
      <c r="L750" s="8" t="s">
        <v>719</v>
      </c>
      <c r="M750" s="17">
        <v>45484.0</v>
      </c>
      <c r="N750" s="21">
        <v>50.0</v>
      </c>
      <c r="O750" s="19">
        <v>80.0</v>
      </c>
      <c r="P750" s="7"/>
      <c r="Q750" s="7"/>
      <c r="R750" s="7"/>
      <c r="S750" s="17"/>
    </row>
    <row r="751" ht="13.5" customHeight="1">
      <c r="A751" s="13" t="s">
        <v>1008</v>
      </c>
      <c r="B751" s="8" t="s">
        <v>1004</v>
      </c>
      <c r="C751" s="8" t="s">
        <v>378</v>
      </c>
      <c r="D751" s="8" t="s">
        <v>1005</v>
      </c>
      <c r="E751" s="9" t="s">
        <v>1009</v>
      </c>
      <c r="F751" s="8" t="s">
        <v>1007</v>
      </c>
      <c r="G751" s="8" t="s">
        <v>950</v>
      </c>
      <c r="H751" s="11" t="s">
        <v>670</v>
      </c>
      <c r="I751" s="11" t="s">
        <v>91</v>
      </c>
      <c r="J751" s="11" t="s">
        <v>130</v>
      </c>
      <c r="K751" s="8" t="s">
        <v>675</v>
      </c>
      <c r="L751" s="8" t="s">
        <v>719</v>
      </c>
      <c r="M751" s="17">
        <v>45484.0</v>
      </c>
      <c r="N751" s="18">
        <v>50.0</v>
      </c>
      <c r="O751" s="19">
        <v>80.0</v>
      </c>
      <c r="P751" s="7"/>
      <c r="Q751" s="7"/>
      <c r="R751" s="7"/>
      <c r="S751" s="17"/>
    </row>
    <row r="752" ht="13.5" customHeight="1">
      <c r="A752" s="13" t="s">
        <v>1010</v>
      </c>
      <c r="B752" s="8" t="s">
        <v>1004</v>
      </c>
      <c r="C752" s="8" t="s">
        <v>378</v>
      </c>
      <c r="D752" s="8" t="s">
        <v>1005</v>
      </c>
      <c r="E752" s="9" t="s">
        <v>1011</v>
      </c>
      <c r="F752" s="8" t="s">
        <v>1007</v>
      </c>
      <c r="G752" s="8" t="s">
        <v>500</v>
      </c>
      <c r="H752" s="11" t="s">
        <v>259</v>
      </c>
      <c r="I752" s="11" t="s">
        <v>260</v>
      </c>
      <c r="J752" s="11" t="s">
        <v>490</v>
      </c>
      <c r="K752" s="8" t="s">
        <v>675</v>
      </c>
      <c r="L752" s="8" t="s">
        <v>719</v>
      </c>
      <c r="M752" s="17">
        <v>45484.0</v>
      </c>
      <c r="N752" s="21">
        <v>50.0</v>
      </c>
      <c r="O752" s="19">
        <v>80.0</v>
      </c>
      <c r="P752" s="7"/>
      <c r="Q752" s="7"/>
      <c r="R752" s="7"/>
      <c r="S752" s="17"/>
    </row>
    <row r="753" ht="13.5" customHeight="1">
      <c r="A753" s="13" t="s">
        <v>1012</v>
      </c>
      <c r="B753" s="8" t="s">
        <v>1004</v>
      </c>
      <c r="C753" s="8" t="s">
        <v>378</v>
      </c>
      <c r="D753" s="8" t="s">
        <v>1005</v>
      </c>
      <c r="E753" s="9" t="s">
        <v>1013</v>
      </c>
      <c r="F753" s="8" t="s">
        <v>1007</v>
      </c>
      <c r="G753" s="8" t="s">
        <v>84</v>
      </c>
      <c r="H753" s="11" t="s">
        <v>259</v>
      </c>
      <c r="I753" s="11" t="s">
        <v>260</v>
      </c>
      <c r="J753" s="11" t="s">
        <v>294</v>
      </c>
      <c r="K753" s="8" t="s">
        <v>675</v>
      </c>
      <c r="L753" s="8" t="s">
        <v>719</v>
      </c>
      <c r="M753" s="17">
        <v>45484.0</v>
      </c>
      <c r="N753" s="18">
        <v>50.0</v>
      </c>
      <c r="O753" s="19">
        <v>80.0</v>
      </c>
      <c r="P753" s="7"/>
      <c r="Q753" s="7"/>
      <c r="R753" s="7"/>
      <c r="S753" s="17">
        <v>45490.0</v>
      </c>
    </row>
    <row r="754" ht="13.5" customHeight="1">
      <c r="A754" s="13" t="s">
        <v>1014</v>
      </c>
      <c r="B754" s="8" t="s">
        <v>1004</v>
      </c>
      <c r="C754" s="8" t="s">
        <v>378</v>
      </c>
      <c r="D754" s="8" t="s">
        <v>1005</v>
      </c>
      <c r="E754" s="9" t="s">
        <v>1015</v>
      </c>
      <c r="F754" s="8" t="s">
        <v>1007</v>
      </c>
      <c r="G754" s="8" t="s">
        <v>2519</v>
      </c>
      <c r="H754" s="11" t="s">
        <v>259</v>
      </c>
      <c r="I754" s="11" t="s">
        <v>260</v>
      </c>
      <c r="J754" s="11" t="s">
        <v>294</v>
      </c>
      <c r="K754" s="8" t="s">
        <v>675</v>
      </c>
      <c r="L754" s="8" t="s">
        <v>719</v>
      </c>
      <c r="M754" s="17">
        <v>45484.0</v>
      </c>
      <c r="N754" s="18">
        <v>50.0</v>
      </c>
      <c r="O754" s="19">
        <v>80.0</v>
      </c>
      <c r="P754" s="7"/>
      <c r="Q754" s="7"/>
      <c r="R754" s="7"/>
      <c r="S754" s="17">
        <v>45490.0</v>
      </c>
    </row>
    <row r="755" ht="13.5" customHeight="1">
      <c r="A755" s="74" t="s">
        <v>1016</v>
      </c>
      <c r="B755" s="46" t="s">
        <v>1004</v>
      </c>
      <c r="C755" s="46" t="s">
        <v>378</v>
      </c>
      <c r="D755" s="46" t="s">
        <v>1005</v>
      </c>
      <c r="E755" s="47" t="s">
        <v>1017</v>
      </c>
      <c r="F755" s="46" t="s">
        <v>1007</v>
      </c>
      <c r="G755" s="46" t="s">
        <v>962</v>
      </c>
      <c r="H755" s="49" t="s">
        <v>259</v>
      </c>
      <c r="I755" s="49" t="s">
        <v>91</v>
      </c>
      <c r="J755" s="49" t="s">
        <v>130</v>
      </c>
      <c r="K755" s="46" t="s">
        <v>675</v>
      </c>
      <c r="L755" s="46" t="s">
        <v>676</v>
      </c>
      <c r="M755" s="50">
        <v>45484.0</v>
      </c>
      <c r="N755" s="51">
        <v>50.0</v>
      </c>
      <c r="O755" s="52">
        <v>80.0</v>
      </c>
      <c r="P755" s="53"/>
      <c r="Q755" s="53"/>
      <c r="R755" s="53"/>
      <c r="S755" s="50">
        <v>45490.0</v>
      </c>
    </row>
    <row r="756" ht="13.5" customHeight="1">
      <c r="A756" s="74" t="s">
        <v>1018</v>
      </c>
      <c r="B756" s="46" t="s">
        <v>1004</v>
      </c>
      <c r="C756" s="46" t="s">
        <v>378</v>
      </c>
      <c r="D756" s="46" t="s">
        <v>1005</v>
      </c>
      <c r="E756" s="47" t="s">
        <v>1019</v>
      </c>
      <c r="F756" s="46" t="s">
        <v>1007</v>
      </c>
      <c r="G756" s="46" t="s">
        <v>962</v>
      </c>
      <c r="H756" s="49" t="s">
        <v>259</v>
      </c>
      <c r="I756" s="49" t="s">
        <v>91</v>
      </c>
      <c r="J756" s="49" t="s">
        <v>130</v>
      </c>
      <c r="K756" s="46" t="s">
        <v>675</v>
      </c>
      <c r="L756" s="46" t="s">
        <v>676</v>
      </c>
      <c r="M756" s="50">
        <v>45484.0</v>
      </c>
      <c r="N756" s="51">
        <v>50.0</v>
      </c>
      <c r="O756" s="52">
        <v>80.0</v>
      </c>
      <c r="P756" s="53"/>
      <c r="Q756" s="53"/>
      <c r="R756" s="53"/>
      <c r="S756" s="50"/>
    </row>
    <row r="757" ht="13.5" customHeight="1">
      <c r="A757" s="74" t="s">
        <v>1020</v>
      </c>
      <c r="B757" s="46" t="s">
        <v>1004</v>
      </c>
      <c r="C757" s="46" t="s">
        <v>378</v>
      </c>
      <c r="D757" s="46" t="s">
        <v>1005</v>
      </c>
      <c r="E757" s="47" t="s">
        <v>1021</v>
      </c>
      <c r="F757" s="46" t="s">
        <v>1007</v>
      </c>
      <c r="G757" s="46" t="s">
        <v>962</v>
      </c>
      <c r="H757" s="49" t="s">
        <v>259</v>
      </c>
      <c r="I757" s="49" t="s">
        <v>91</v>
      </c>
      <c r="J757" s="49" t="s">
        <v>130</v>
      </c>
      <c r="K757" s="46" t="s">
        <v>675</v>
      </c>
      <c r="L757" s="46" t="s">
        <v>676</v>
      </c>
      <c r="M757" s="50">
        <v>45484.0</v>
      </c>
      <c r="N757" s="51">
        <v>50.0</v>
      </c>
      <c r="O757" s="52">
        <v>80.0</v>
      </c>
      <c r="P757" s="53"/>
      <c r="Q757" s="53"/>
      <c r="R757" s="53"/>
      <c r="S757" s="50">
        <v>45490.0</v>
      </c>
    </row>
    <row r="758" ht="13.5" customHeight="1">
      <c r="A758" s="13" t="s">
        <v>1022</v>
      </c>
      <c r="B758" s="8" t="s">
        <v>1004</v>
      </c>
      <c r="C758" s="8" t="s">
        <v>378</v>
      </c>
      <c r="D758" s="8" t="s">
        <v>1005</v>
      </c>
      <c r="E758" s="9" t="s">
        <v>1023</v>
      </c>
      <c r="F758" s="8" t="s">
        <v>1007</v>
      </c>
      <c r="G758" s="8" t="s">
        <v>84</v>
      </c>
      <c r="H758" s="11" t="s">
        <v>259</v>
      </c>
      <c r="I758" s="11" t="s">
        <v>260</v>
      </c>
      <c r="J758" s="11" t="s">
        <v>294</v>
      </c>
      <c r="K758" s="8" t="s">
        <v>675</v>
      </c>
      <c r="L758" s="8" t="s">
        <v>676</v>
      </c>
      <c r="M758" s="17">
        <v>45484.0</v>
      </c>
      <c r="N758" s="18">
        <v>50.0</v>
      </c>
      <c r="O758" s="19">
        <v>80.0</v>
      </c>
      <c r="P758" s="7"/>
      <c r="Q758" s="7"/>
      <c r="R758" s="7"/>
      <c r="S758" s="17"/>
    </row>
    <row r="759" ht="13.5" customHeight="1">
      <c r="A759" s="13" t="s">
        <v>1024</v>
      </c>
      <c r="B759" s="8" t="s">
        <v>1004</v>
      </c>
      <c r="C759" s="8" t="s">
        <v>378</v>
      </c>
      <c r="D759" s="8" t="s">
        <v>1005</v>
      </c>
      <c r="E759" s="9" t="s">
        <v>1025</v>
      </c>
      <c r="F759" s="8" t="s">
        <v>1007</v>
      </c>
      <c r="G759" s="8" t="s">
        <v>973</v>
      </c>
      <c r="H759" s="11" t="s">
        <v>26</v>
      </c>
      <c r="I759" s="11" t="s">
        <v>91</v>
      </c>
      <c r="J759" s="11" t="s">
        <v>130</v>
      </c>
      <c r="K759" s="8" t="s">
        <v>675</v>
      </c>
      <c r="L759" s="8" t="s">
        <v>676</v>
      </c>
      <c r="M759" s="17">
        <v>45484.0</v>
      </c>
      <c r="N759" s="18">
        <v>50.0</v>
      </c>
      <c r="O759" s="19">
        <v>80.0</v>
      </c>
      <c r="P759" s="7"/>
      <c r="Q759" s="7"/>
      <c r="R759" s="7"/>
      <c r="S759" s="17"/>
    </row>
    <row r="760" ht="13.5" customHeight="1">
      <c r="A760" s="13" t="s">
        <v>1026</v>
      </c>
      <c r="B760" s="8" t="s">
        <v>1004</v>
      </c>
      <c r="C760" s="8" t="s">
        <v>378</v>
      </c>
      <c r="D760" s="8" t="s">
        <v>1005</v>
      </c>
      <c r="E760" s="9" t="s">
        <v>1027</v>
      </c>
      <c r="F760" s="8" t="s">
        <v>1007</v>
      </c>
      <c r="G760" s="8" t="s">
        <v>973</v>
      </c>
      <c r="H760" s="11" t="s">
        <v>26</v>
      </c>
      <c r="I760" s="11" t="s">
        <v>91</v>
      </c>
      <c r="J760" s="11" t="s">
        <v>130</v>
      </c>
      <c r="K760" s="8" t="s">
        <v>675</v>
      </c>
      <c r="L760" s="8" t="s">
        <v>676</v>
      </c>
      <c r="M760" s="17">
        <v>45484.0</v>
      </c>
      <c r="N760" s="18">
        <v>50.0</v>
      </c>
      <c r="O760" s="19">
        <v>80.0</v>
      </c>
      <c r="P760" s="7"/>
      <c r="Q760" s="7"/>
      <c r="R760" s="7"/>
      <c r="S760" s="17">
        <v>45490.0</v>
      </c>
    </row>
    <row r="761" ht="13.5" customHeight="1">
      <c r="A761" s="13" t="s">
        <v>1028</v>
      </c>
      <c r="B761" s="8" t="s">
        <v>1004</v>
      </c>
      <c r="C761" s="8" t="s">
        <v>378</v>
      </c>
      <c r="D761" s="8" t="s">
        <v>1005</v>
      </c>
      <c r="E761" s="9" t="s">
        <v>1029</v>
      </c>
      <c r="F761" s="8" t="s">
        <v>1007</v>
      </c>
      <c r="G761" s="8" t="s">
        <v>226</v>
      </c>
      <c r="H761" s="11" t="s">
        <v>207</v>
      </c>
      <c r="I761" s="11" t="s">
        <v>91</v>
      </c>
      <c r="J761" s="11" t="s">
        <v>130</v>
      </c>
      <c r="K761" s="8" t="s">
        <v>675</v>
      </c>
      <c r="L761" s="8" t="s">
        <v>676</v>
      </c>
      <c r="M761" s="17">
        <v>45484.0</v>
      </c>
      <c r="N761" s="18">
        <v>50.0</v>
      </c>
      <c r="O761" s="19">
        <v>80.0</v>
      </c>
      <c r="P761" s="7"/>
      <c r="Q761" s="7"/>
      <c r="R761" s="7"/>
      <c r="S761" s="17"/>
    </row>
    <row r="762" ht="13.5" customHeight="1">
      <c r="A762" s="13" t="s">
        <v>1030</v>
      </c>
      <c r="B762" s="8" t="s">
        <v>1004</v>
      </c>
      <c r="C762" s="8" t="s">
        <v>378</v>
      </c>
      <c r="D762" s="8" t="s">
        <v>1005</v>
      </c>
      <c r="E762" s="9" t="s">
        <v>1031</v>
      </c>
      <c r="F762" s="8" t="s">
        <v>1007</v>
      </c>
      <c r="G762" s="8" t="s">
        <v>226</v>
      </c>
      <c r="H762" s="11" t="s">
        <v>207</v>
      </c>
      <c r="I762" s="11" t="s">
        <v>91</v>
      </c>
      <c r="J762" s="11" t="s">
        <v>130</v>
      </c>
      <c r="K762" s="8" t="s">
        <v>675</v>
      </c>
      <c r="L762" s="8" t="s">
        <v>676</v>
      </c>
      <c r="M762" s="17">
        <v>45484.0</v>
      </c>
      <c r="N762" s="18">
        <v>50.0</v>
      </c>
      <c r="O762" s="19">
        <v>80.0</v>
      </c>
      <c r="P762" s="7"/>
      <c r="Q762" s="7"/>
      <c r="R762" s="7"/>
      <c r="S762" s="17">
        <v>45490.0</v>
      </c>
    </row>
    <row r="763" ht="13.5" customHeight="1">
      <c r="A763" s="13" t="s">
        <v>1032</v>
      </c>
      <c r="B763" s="8" t="s">
        <v>167</v>
      </c>
      <c r="C763" s="8" t="s">
        <v>296</v>
      </c>
      <c r="D763" s="8" t="s">
        <v>1033</v>
      </c>
      <c r="E763" s="9" t="s">
        <v>1772</v>
      </c>
      <c r="F763" s="8" t="s">
        <v>1773</v>
      </c>
      <c r="G763" s="8" t="s">
        <v>709</v>
      </c>
      <c r="H763" s="11" t="s">
        <v>670</v>
      </c>
      <c r="I763" s="11" t="s">
        <v>260</v>
      </c>
      <c r="J763" s="11" t="s">
        <v>261</v>
      </c>
      <c r="K763" s="8" t="s">
        <v>675</v>
      </c>
      <c r="L763" s="8" t="s">
        <v>676</v>
      </c>
      <c r="M763" s="20">
        <v>45488.0</v>
      </c>
      <c r="N763" s="21">
        <v>855.93</v>
      </c>
      <c r="O763" s="22">
        <v>1010.0</v>
      </c>
      <c r="P763" s="7"/>
      <c r="Q763" s="7"/>
      <c r="R763" s="7"/>
      <c r="S763" s="17"/>
    </row>
    <row r="764" ht="13.5" customHeight="1">
      <c r="A764" s="13" t="s">
        <v>1036</v>
      </c>
      <c r="B764" s="8" t="s">
        <v>301</v>
      </c>
      <c r="C764" s="8" t="s">
        <v>296</v>
      </c>
      <c r="D764" s="8" t="s">
        <v>1037</v>
      </c>
      <c r="E764" s="9" t="s">
        <v>1038</v>
      </c>
      <c r="F764" s="8" t="s">
        <v>1775</v>
      </c>
      <c r="G764" s="8" t="s">
        <v>709</v>
      </c>
      <c r="H764" s="11" t="s">
        <v>670</v>
      </c>
      <c r="I764" s="11" t="s">
        <v>260</v>
      </c>
      <c r="J764" s="11" t="s">
        <v>261</v>
      </c>
      <c r="K764" s="8" t="s">
        <v>675</v>
      </c>
      <c r="L764" s="8" t="s">
        <v>676</v>
      </c>
      <c r="M764" s="20">
        <v>45488.0</v>
      </c>
      <c r="N764" s="21">
        <v>60.0</v>
      </c>
      <c r="O764" s="22">
        <v>70.0</v>
      </c>
      <c r="P764" s="7"/>
      <c r="Q764" s="7"/>
      <c r="R764" s="7"/>
      <c r="S764" s="17"/>
    </row>
    <row r="765" ht="13.5" customHeight="1">
      <c r="A765" s="13" t="s">
        <v>1040</v>
      </c>
      <c r="B765" s="8" t="s">
        <v>167</v>
      </c>
      <c r="C765" s="8" t="s">
        <v>296</v>
      </c>
      <c r="D765" s="8" t="s">
        <v>1033</v>
      </c>
      <c r="E765" s="9" t="s">
        <v>1041</v>
      </c>
      <c r="F765" s="8" t="s">
        <v>1042</v>
      </c>
      <c r="G765" s="8" t="s">
        <v>882</v>
      </c>
      <c r="H765" s="11" t="s">
        <v>670</v>
      </c>
      <c r="I765" s="11" t="s">
        <v>883</v>
      </c>
      <c r="J765" s="11" t="s">
        <v>884</v>
      </c>
      <c r="K765" s="8" t="s">
        <v>675</v>
      </c>
      <c r="L765" s="8" t="s">
        <v>676</v>
      </c>
      <c r="M765" s="20">
        <v>45488.0</v>
      </c>
      <c r="N765" s="21">
        <v>855.93</v>
      </c>
      <c r="O765" s="22">
        <v>1010.0</v>
      </c>
      <c r="P765" s="7"/>
      <c r="Q765" s="7"/>
      <c r="R765" s="7"/>
      <c r="S765" s="17"/>
    </row>
    <row r="766" ht="13.5" customHeight="1">
      <c r="A766" s="13" t="s">
        <v>1043</v>
      </c>
      <c r="B766" s="8" t="s">
        <v>301</v>
      </c>
      <c r="C766" s="8" t="s">
        <v>296</v>
      </c>
      <c r="D766" s="8" t="s">
        <v>1037</v>
      </c>
      <c r="E766" s="9" t="s">
        <v>1044</v>
      </c>
      <c r="F766" s="8" t="s">
        <v>1045</v>
      </c>
      <c r="G766" s="8" t="s">
        <v>882</v>
      </c>
      <c r="H766" s="11" t="s">
        <v>670</v>
      </c>
      <c r="I766" s="11" t="s">
        <v>883</v>
      </c>
      <c r="J766" s="11" t="s">
        <v>884</v>
      </c>
      <c r="K766" s="8" t="s">
        <v>675</v>
      </c>
      <c r="L766" s="8" t="s">
        <v>676</v>
      </c>
      <c r="M766" s="20">
        <v>45488.0</v>
      </c>
      <c r="N766" s="21">
        <v>60.0</v>
      </c>
      <c r="O766" s="22">
        <v>70.0</v>
      </c>
      <c r="P766" s="7"/>
      <c r="Q766" s="7"/>
      <c r="R766" s="7"/>
      <c r="S766" s="17"/>
    </row>
    <row r="767" ht="13.5" customHeight="1">
      <c r="A767" s="13" t="s">
        <v>1046</v>
      </c>
      <c r="B767" s="8" t="s">
        <v>167</v>
      </c>
      <c r="C767" s="8" t="s">
        <v>296</v>
      </c>
      <c r="D767" s="8" t="s">
        <v>1033</v>
      </c>
      <c r="E767" s="9" t="s">
        <v>1047</v>
      </c>
      <c r="F767" s="8" t="s">
        <v>1048</v>
      </c>
      <c r="G767" s="8" t="s">
        <v>956</v>
      </c>
      <c r="H767" s="11" t="s">
        <v>670</v>
      </c>
      <c r="I767" s="11" t="s">
        <v>27</v>
      </c>
      <c r="J767" s="11" t="s">
        <v>884</v>
      </c>
      <c r="K767" s="8" t="s">
        <v>675</v>
      </c>
      <c r="L767" s="8" t="s">
        <v>676</v>
      </c>
      <c r="M767" s="20">
        <v>45488.0</v>
      </c>
      <c r="N767" s="21">
        <v>855.93</v>
      </c>
      <c r="O767" s="22">
        <v>1010.0</v>
      </c>
      <c r="P767" s="8" t="s">
        <v>1050</v>
      </c>
      <c r="Q767" s="7"/>
      <c r="R767" s="7"/>
      <c r="S767" s="17"/>
    </row>
    <row r="768" ht="13.5" customHeight="1">
      <c r="A768" s="13" t="s">
        <v>1051</v>
      </c>
      <c r="B768" s="8" t="s">
        <v>301</v>
      </c>
      <c r="C768" s="8" t="s">
        <v>296</v>
      </c>
      <c r="D768" s="8" t="s">
        <v>1037</v>
      </c>
      <c r="E768" s="9" t="s">
        <v>1052</v>
      </c>
      <c r="F768" s="8" t="s">
        <v>1053</v>
      </c>
      <c r="G768" s="8" t="s">
        <v>956</v>
      </c>
      <c r="H768" s="11" t="s">
        <v>670</v>
      </c>
      <c r="I768" s="11" t="s">
        <v>27</v>
      </c>
      <c r="J768" s="11" t="s">
        <v>884</v>
      </c>
      <c r="K768" s="8" t="s">
        <v>675</v>
      </c>
      <c r="L768" s="8" t="s">
        <v>676</v>
      </c>
      <c r="M768" s="20">
        <v>45488.0</v>
      </c>
      <c r="N768" s="21">
        <v>60.0</v>
      </c>
      <c r="O768" s="22">
        <v>70.0</v>
      </c>
      <c r="P768" s="7"/>
      <c r="Q768" s="7"/>
      <c r="R768" s="7"/>
      <c r="S768" s="17"/>
    </row>
    <row r="769" ht="13.5" customHeight="1">
      <c r="A769" s="13" t="s">
        <v>1054</v>
      </c>
      <c r="B769" s="8" t="s">
        <v>167</v>
      </c>
      <c r="C769" s="8" t="s">
        <v>296</v>
      </c>
      <c r="D769" s="8" t="s">
        <v>1033</v>
      </c>
      <c r="E769" s="9" t="s">
        <v>1055</v>
      </c>
      <c r="F769" s="8" t="s">
        <v>1056</v>
      </c>
      <c r="G769" s="8" t="s">
        <v>1932</v>
      </c>
      <c r="H769" s="11" t="s">
        <v>259</v>
      </c>
      <c r="I769" s="11" t="s">
        <v>260</v>
      </c>
      <c r="J769" s="11" t="s">
        <v>294</v>
      </c>
      <c r="K769" s="8" t="s">
        <v>675</v>
      </c>
      <c r="L769" s="8" t="s">
        <v>676</v>
      </c>
      <c r="M769" s="20">
        <v>45488.0</v>
      </c>
      <c r="N769" s="21">
        <v>855.93</v>
      </c>
      <c r="O769" s="22">
        <v>1010.0</v>
      </c>
      <c r="P769" s="7"/>
      <c r="Q769" s="7"/>
      <c r="R769" s="7"/>
      <c r="S769" s="17"/>
    </row>
    <row r="770" ht="13.5" customHeight="1">
      <c r="A770" s="13" t="s">
        <v>1057</v>
      </c>
      <c r="B770" s="8" t="s">
        <v>301</v>
      </c>
      <c r="C770" s="8" t="s">
        <v>296</v>
      </c>
      <c r="D770" s="8" t="s">
        <v>1037</v>
      </c>
      <c r="E770" s="9" t="s">
        <v>1058</v>
      </c>
      <c r="F770" s="8" t="s">
        <v>1059</v>
      </c>
      <c r="G770" s="8" t="s">
        <v>1932</v>
      </c>
      <c r="H770" s="11" t="s">
        <v>259</v>
      </c>
      <c r="I770" s="11" t="s">
        <v>260</v>
      </c>
      <c r="J770" s="11" t="s">
        <v>294</v>
      </c>
      <c r="K770" s="8" t="s">
        <v>675</v>
      </c>
      <c r="L770" s="8" t="s">
        <v>676</v>
      </c>
      <c r="M770" s="20">
        <v>45488.0</v>
      </c>
      <c r="N770" s="21">
        <v>60.0</v>
      </c>
      <c r="O770" s="22">
        <v>70.0</v>
      </c>
      <c r="P770" s="7"/>
      <c r="Q770" s="7"/>
      <c r="R770" s="7"/>
      <c r="S770" s="17"/>
    </row>
    <row r="771" ht="13.5" customHeight="1">
      <c r="A771" s="13" t="s">
        <v>1060</v>
      </c>
      <c r="B771" s="8" t="s">
        <v>167</v>
      </c>
      <c r="C771" s="8" t="s">
        <v>296</v>
      </c>
      <c r="D771" s="8" t="s">
        <v>1061</v>
      </c>
      <c r="E771" s="9" t="s">
        <v>1062</v>
      </c>
      <c r="F771" s="8" t="s">
        <v>1063</v>
      </c>
      <c r="G771" s="8" t="s">
        <v>683</v>
      </c>
      <c r="H771" s="11" t="s">
        <v>670</v>
      </c>
      <c r="I771" s="11" t="s">
        <v>27</v>
      </c>
      <c r="J771" s="11" t="s">
        <v>684</v>
      </c>
      <c r="K771" s="8" t="s">
        <v>675</v>
      </c>
      <c r="L771" s="8" t="s">
        <v>676</v>
      </c>
      <c r="M771" s="20">
        <v>45488.0</v>
      </c>
      <c r="N771" s="21">
        <v>644.0</v>
      </c>
      <c r="O771" s="22">
        <v>760.0</v>
      </c>
      <c r="P771" s="7"/>
      <c r="Q771" s="7"/>
      <c r="R771" s="7"/>
      <c r="S771" s="17"/>
    </row>
    <row r="772" ht="13.5" customHeight="1">
      <c r="A772" s="13" t="s">
        <v>1064</v>
      </c>
      <c r="B772" s="8" t="s">
        <v>301</v>
      </c>
      <c r="C772" s="8" t="s">
        <v>296</v>
      </c>
      <c r="D772" s="8" t="s">
        <v>1065</v>
      </c>
      <c r="E772" s="9" t="s">
        <v>1066</v>
      </c>
      <c r="F772" s="8" t="s">
        <v>1067</v>
      </c>
      <c r="G772" s="8" t="s">
        <v>683</v>
      </c>
      <c r="H772" s="11" t="s">
        <v>670</v>
      </c>
      <c r="I772" s="11" t="s">
        <v>27</v>
      </c>
      <c r="J772" s="11" t="s">
        <v>684</v>
      </c>
      <c r="K772" s="8" t="s">
        <v>675</v>
      </c>
      <c r="L772" s="8" t="s">
        <v>676</v>
      </c>
      <c r="M772" s="20">
        <v>45488.0</v>
      </c>
      <c r="N772" s="21">
        <v>60.0</v>
      </c>
      <c r="O772" s="22">
        <v>50.0</v>
      </c>
      <c r="P772" s="7"/>
      <c r="Q772" s="7"/>
      <c r="R772" s="7"/>
      <c r="S772" s="17"/>
    </row>
    <row r="773" ht="13.5" customHeight="1">
      <c r="A773" s="13" t="s">
        <v>1068</v>
      </c>
      <c r="B773" s="8" t="s">
        <v>167</v>
      </c>
      <c r="C773" s="8" t="s">
        <v>296</v>
      </c>
      <c r="D773" s="8" t="s">
        <v>1061</v>
      </c>
      <c r="E773" s="9" t="s">
        <v>1069</v>
      </c>
      <c r="F773" s="8" t="s">
        <v>1070</v>
      </c>
      <c r="G773" s="8" t="s">
        <v>1071</v>
      </c>
      <c r="H773" s="11" t="s">
        <v>670</v>
      </c>
      <c r="I773" s="11" t="s">
        <v>91</v>
      </c>
      <c r="J773" s="11" t="s">
        <v>130</v>
      </c>
      <c r="K773" s="8" t="s">
        <v>675</v>
      </c>
      <c r="L773" s="8" t="s">
        <v>676</v>
      </c>
      <c r="M773" s="20">
        <v>45488.0</v>
      </c>
      <c r="N773" s="21">
        <v>644.0</v>
      </c>
      <c r="O773" s="22">
        <v>760.0</v>
      </c>
      <c r="P773" s="7"/>
      <c r="Q773" s="7"/>
      <c r="R773" s="7"/>
      <c r="S773" s="17"/>
    </row>
    <row r="774" ht="13.5" customHeight="1">
      <c r="A774" s="13" t="s">
        <v>1072</v>
      </c>
      <c r="B774" s="8" t="s">
        <v>301</v>
      </c>
      <c r="C774" s="8" t="s">
        <v>296</v>
      </c>
      <c r="D774" s="8" t="s">
        <v>1065</v>
      </c>
      <c r="E774" s="9" t="s">
        <v>1073</v>
      </c>
      <c r="F774" s="8" t="s">
        <v>1074</v>
      </c>
      <c r="G774" s="8" t="s">
        <v>1071</v>
      </c>
      <c r="H774" s="11" t="s">
        <v>670</v>
      </c>
      <c r="I774" s="11" t="s">
        <v>91</v>
      </c>
      <c r="J774" s="11" t="s">
        <v>130</v>
      </c>
      <c r="K774" s="8" t="s">
        <v>675</v>
      </c>
      <c r="L774" s="8" t="s">
        <v>676</v>
      </c>
      <c r="M774" s="20">
        <v>45488.0</v>
      </c>
      <c r="N774" s="21">
        <v>60.0</v>
      </c>
      <c r="O774" s="22">
        <v>50.0</v>
      </c>
      <c r="P774" s="7"/>
      <c r="Q774" s="7"/>
      <c r="R774" s="7"/>
      <c r="S774" s="17"/>
    </row>
    <row r="775" ht="13.5" customHeight="1">
      <c r="A775" s="13" t="s">
        <v>1075</v>
      </c>
      <c r="B775" s="8" t="s">
        <v>167</v>
      </c>
      <c r="C775" s="8" t="s">
        <v>296</v>
      </c>
      <c r="D775" s="8" t="s">
        <v>1061</v>
      </c>
      <c r="E775" s="9" t="s">
        <v>1076</v>
      </c>
      <c r="F775" s="8" t="s">
        <v>1077</v>
      </c>
      <c r="G775" s="8" t="s">
        <v>950</v>
      </c>
      <c r="H775" s="11" t="s">
        <v>670</v>
      </c>
      <c r="I775" s="11" t="s">
        <v>91</v>
      </c>
      <c r="J775" s="11" t="s">
        <v>1079</v>
      </c>
      <c r="K775" s="8" t="s">
        <v>675</v>
      </c>
      <c r="L775" s="8" t="s">
        <v>676</v>
      </c>
      <c r="M775" s="20">
        <v>45488.0</v>
      </c>
      <c r="N775" s="21">
        <v>644.0</v>
      </c>
      <c r="O775" s="22">
        <v>760.0</v>
      </c>
      <c r="P775" s="7"/>
      <c r="Q775" s="7"/>
      <c r="R775" s="7"/>
      <c r="S775" s="17"/>
    </row>
    <row r="776" ht="13.5" customHeight="1">
      <c r="A776" s="13" t="s">
        <v>1080</v>
      </c>
      <c r="B776" s="8" t="s">
        <v>301</v>
      </c>
      <c r="C776" s="8" t="s">
        <v>296</v>
      </c>
      <c r="D776" s="8" t="s">
        <v>1065</v>
      </c>
      <c r="E776" s="9" t="s">
        <v>1081</v>
      </c>
      <c r="F776" s="8" t="s">
        <v>1082</v>
      </c>
      <c r="G776" s="8" t="s">
        <v>950</v>
      </c>
      <c r="H776" s="11" t="s">
        <v>670</v>
      </c>
      <c r="I776" s="11" t="s">
        <v>91</v>
      </c>
      <c r="J776" s="11" t="s">
        <v>1079</v>
      </c>
      <c r="K776" s="8" t="s">
        <v>675</v>
      </c>
      <c r="L776" s="8" t="s">
        <v>676</v>
      </c>
      <c r="M776" s="20">
        <v>45488.0</v>
      </c>
      <c r="N776" s="21">
        <v>60.0</v>
      </c>
      <c r="O776" s="22">
        <v>50.0</v>
      </c>
      <c r="P776" s="7"/>
      <c r="Q776" s="7"/>
      <c r="R776" s="7"/>
      <c r="S776" s="17"/>
    </row>
    <row r="777" ht="13.5" customHeight="1">
      <c r="A777" s="13" t="s">
        <v>1083</v>
      </c>
      <c r="B777" s="8" t="s">
        <v>167</v>
      </c>
      <c r="C777" s="8" t="s">
        <v>296</v>
      </c>
      <c r="D777" s="8" t="s">
        <v>1061</v>
      </c>
      <c r="E777" s="9" t="s">
        <v>1084</v>
      </c>
      <c r="F777" s="8" t="s">
        <v>1085</v>
      </c>
      <c r="G777" s="8" t="s">
        <v>129</v>
      </c>
      <c r="H777" s="11" t="s">
        <v>103</v>
      </c>
      <c r="I777" s="11" t="s">
        <v>91</v>
      </c>
      <c r="J777" s="11" t="s">
        <v>130</v>
      </c>
      <c r="K777" s="8" t="s">
        <v>675</v>
      </c>
      <c r="L777" s="8" t="s">
        <v>676</v>
      </c>
      <c r="M777" s="20">
        <v>45488.0</v>
      </c>
      <c r="N777" s="21">
        <v>644.0</v>
      </c>
      <c r="O777" s="22">
        <v>760.0</v>
      </c>
      <c r="P777" s="7"/>
      <c r="Q777" s="7"/>
      <c r="R777" s="7"/>
      <c r="S777" s="17"/>
    </row>
    <row r="778" ht="13.5" customHeight="1">
      <c r="A778" s="13" t="s">
        <v>1086</v>
      </c>
      <c r="B778" s="8" t="s">
        <v>301</v>
      </c>
      <c r="C778" s="8" t="s">
        <v>296</v>
      </c>
      <c r="D778" s="8" t="s">
        <v>1065</v>
      </c>
      <c r="E778" s="9" t="s">
        <v>1087</v>
      </c>
      <c r="F778" s="8" t="s">
        <v>1088</v>
      </c>
      <c r="G778" s="8" t="s">
        <v>129</v>
      </c>
      <c r="H778" s="11" t="s">
        <v>103</v>
      </c>
      <c r="I778" s="11" t="s">
        <v>91</v>
      </c>
      <c r="J778" s="11" t="s">
        <v>130</v>
      </c>
      <c r="K778" s="8" t="s">
        <v>675</v>
      </c>
      <c r="L778" s="8" t="s">
        <v>676</v>
      </c>
      <c r="M778" s="20">
        <v>45488.0</v>
      </c>
      <c r="N778" s="21">
        <v>60.0</v>
      </c>
      <c r="O778" s="22">
        <v>50.0</v>
      </c>
      <c r="P778" s="7"/>
      <c r="Q778" s="7"/>
      <c r="R778" s="7"/>
      <c r="S778" s="17"/>
    </row>
    <row r="779" ht="13.5" customHeight="1">
      <c r="A779" s="13" t="s">
        <v>1089</v>
      </c>
      <c r="B779" s="8" t="s">
        <v>167</v>
      </c>
      <c r="C779" s="8" t="s">
        <v>296</v>
      </c>
      <c r="D779" s="8" t="s">
        <v>1061</v>
      </c>
      <c r="E779" s="9" t="s">
        <v>1090</v>
      </c>
      <c r="F779" s="8" t="s">
        <v>1091</v>
      </c>
      <c r="G779" s="8" t="s">
        <v>1092</v>
      </c>
      <c r="H779" s="11" t="s">
        <v>103</v>
      </c>
      <c r="I779" s="11" t="s">
        <v>91</v>
      </c>
      <c r="J779" s="11" t="s">
        <v>130</v>
      </c>
      <c r="K779" s="8" t="s">
        <v>675</v>
      </c>
      <c r="L779" s="8" t="s">
        <v>676</v>
      </c>
      <c r="M779" s="20">
        <v>45488.0</v>
      </c>
      <c r="N779" s="21">
        <v>644.0</v>
      </c>
      <c r="O779" s="22">
        <v>760.0</v>
      </c>
      <c r="P779" s="7"/>
      <c r="Q779" s="7"/>
      <c r="R779" s="7"/>
      <c r="S779" s="17"/>
    </row>
    <row r="780" ht="13.5" customHeight="1">
      <c r="A780" s="13" t="s">
        <v>1093</v>
      </c>
      <c r="B780" s="8" t="s">
        <v>301</v>
      </c>
      <c r="C780" s="8" t="s">
        <v>296</v>
      </c>
      <c r="D780" s="8" t="s">
        <v>1065</v>
      </c>
      <c r="E780" s="9" t="s">
        <v>1094</v>
      </c>
      <c r="F780" s="8" t="s">
        <v>1095</v>
      </c>
      <c r="G780" s="8" t="s">
        <v>1092</v>
      </c>
      <c r="H780" s="11" t="s">
        <v>103</v>
      </c>
      <c r="I780" s="11" t="s">
        <v>91</v>
      </c>
      <c r="J780" s="11" t="s">
        <v>130</v>
      </c>
      <c r="K780" s="8" t="s">
        <v>675</v>
      </c>
      <c r="L780" s="8" t="s">
        <v>676</v>
      </c>
      <c r="M780" s="20">
        <v>45488.0</v>
      </c>
      <c r="N780" s="21">
        <v>60.0</v>
      </c>
      <c r="O780" s="22">
        <v>50.0</v>
      </c>
      <c r="P780" s="7"/>
      <c r="Q780" s="7"/>
      <c r="R780" s="7"/>
      <c r="S780" s="17"/>
    </row>
    <row r="781" ht="13.5" customHeight="1">
      <c r="A781" s="13" t="s">
        <v>1096</v>
      </c>
      <c r="B781" s="8" t="s">
        <v>167</v>
      </c>
      <c r="C781" s="8" t="s">
        <v>296</v>
      </c>
      <c r="D781" s="8" t="s">
        <v>1061</v>
      </c>
      <c r="E781" s="9" t="s">
        <v>1097</v>
      </c>
      <c r="F781" s="8" t="s">
        <v>1098</v>
      </c>
      <c r="G781" s="8" t="s">
        <v>1099</v>
      </c>
      <c r="H781" s="11" t="s">
        <v>103</v>
      </c>
      <c r="I781" s="11" t="s">
        <v>91</v>
      </c>
      <c r="J781" s="11" t="s">
        <v>130</v>
      </c>
      <c r="K781" s="8" t="s">
        <v>675</v>
      </c>
      <c r="L781" s="8" t="s">
        <v>676</v>
      </c>
      <c r="M781" s="20">
        <v>45488.0</v>
      </c>
      <c r="N781" s="21">
        <v>644.0</v>
      </c>
      <c r="O781" s="22">
        <v>760.0</v>
      </c>
      <c r="P781" s="7"/>
      <c r="Q781" s="7"/>
      <c r="R781" s="7"/>
      <c r="S781" s="17"/>
    </row>
    <row r="782" ht="13.5" customHeight="1">
      <c r="A782" s="13" t="s">
        <v>1100</v>
      </c>
      <c r="B782" s="8" t="s">
        <v>301</v>
      </c>
      <c r="C782" s="8" t="s">
        <v>296</v>
      </c>
      <c r="D782" s="8" t="s">
        <v>1065</v>
      </c>
      <c r="E782" s="9" t="s">
        <v>1101</v>
      </c>
      <c r="F782" s="8" t="s">
        <v>1102</v>
      </c>
      <c r="G782" s="8" t="s">
        <v>1099</v>
      </c>
      <c r="H782" s="11" t="s">
        <v>103</v>
      </c>
      <c r="I782" s="11" t="s">
        <v>91</v>
      </c>
      <c r="J782" s="11" t="s">
        <v>130</v>
      </c>
      <c r="K782" s="8" t="s">
        <v>675</v>
      </c>
      <c r="L782" s="8" t="s">
        <v>676</v>
      </c>
      <c r="M782" s="20">
        <v>45488.0</v>
      </c>
      <c r="N782" s="21">
        <v>60.0</v>
      </c>
      <c r="O782" s="22">
        <v>50.0</v>
      </c>
      <c r="P782" s="7"/>
      <c r="Q782" s="7"/>
      <c r="R782" s="7"/>
      <c r="S782" s="17"/>
    </row>
    <row r="783" ht="13.5" customHeight="1">
      <c r="A783" s="13" t="s">
        <v>1103</v>
      </c>
      <c r="B783" s="8" t="s">
        <v>167</v>
      </c>
      <c r="C783" s="8" t="s">
        <v>296</v>
      </c>
      <c r="D783" s="8" t="s">
        <v>1061</v>
      </c>
      <c r="E783" s="9" t="s">
        <v>1104</v>
      </c>
      <c r="F783" s="8" t="s">
        <v>1105</v>
      </c>
      <c r="G783" s="8" t="s">
        <v>84</v>
      </c>
      <c r="H783" s="11" t="s">
        <v>103</v>
      </c>
      <c r="I783" s="11" t="s">
        <v>91</v>
      </c>
      <c r="J783" s="11" t="s">
        <v>294</v>
      </c>
      <c r="K783" s="8" t="s">
        <v>675</v>
      </c>
      <c r="L783" s="8" t="s">
        <v>676</v>
      </c>
      <c r="M783" s="20">
        <v>45488.0</v>
      </c>
      <c r="N783" s="21">
        <v>644.0</v>
      </c>
      <c r="O783" s="22">
        <v>760.0</v>
      </c>
      <c r="P783" s="7"/>
      <c r="Q783" s="7"/>
      <c r="R783" s="7"/>
      <c r="S783" s="17"/>
    </row>
    <row r="784" ht="13.5" customHeight="1">
      <c r="A784" s="13" t="s">
        <v>1107</v>
      </c>
      <c r="B784" s="8" t="s">
        <v>301</v>
      </c>
      <c r="C784" s="8" t="s">
        <v>296</v>
      </c>
      <c r="D784" s="8" t="s">
        <v>1065</v>
      </c>
      <c r="E784" s="9" t="s">
        <v>1108</v>
      </c>
      <c r="F784" s="8" t="s">
        <v>1109</v>
      </c>
      <c r="G784" s="8" t="s">
        <v>84</v>
      </c>
      <c r="H784" s="11" t="s">
        <v>103</v>
      </c>
      <c r="I784" s="11" t="s">
        <v>91</v>
      </c>
      <c r="J784" s="11" t="s">
        <v>294</v>
      </c>
      <c r="K784" s="8" t="s">
        <v>675</v>
      </c>
      <c r="L784" s="8" t="s">
        <v>676</v>
      </c>
      <c r="M784" s="20">
        <v>45488.0</v>
      </c>
      <c r="N784" s="21">
        <v>60.0</v>
      </c>
      <c r="O784" s="22">
        <v>50.0</v>
      </c>
      <c r="P784" s="7"/>
      <c r="Q784" s="7"/>
      <c r="R784" s="7"/>
      <c r="S784" s="17"/>
    </row>
    <row r="785" ht="13.5" customHeight="1">
      <c r="A785" s="13" t="s">
        <v>1110</v>
      </c>
      <c r="B785" s="8" t="s">
        <v>167</v>
      </c>
      <c r="C785" s="8" t="s">
        <v>296</v>
      </c>
      <c r="D785" s="8" t="s">
        <v>1061</v>
      </c>
      <c r="E785" s="9" t="s">
        <v>1111</v>
      </c>
      <c r="F785" s="8" t="s">
        <v>1112</v>
      </c>
      <c r="G785" s="8" t="s">
        <v>962</v>
      </c>
      <c r="H785" s="11" t="s">
        <v>259</v>
      </c>
      <c r="I785" s="11" t="s">
        <v>91</v>
      </c>
      <c r="J785" s="11" t="s">
        <v>130</v>
      </c>
      <c r="K785" s="8" t="s">
        <v>675</v>
      </c>
      <c r="L785" s="8" t="s">
        <v>676</v>
      </c>
      <c r="M785" s="20">
        <v>45488.0</v>
      </c>
      <c r="N785" s="21">
        <v>644.0</v>
      </c>
      <c r="O785" s="22">
        <v>760.0</v>
      </c>
      <c r="P785" s="7"/>
      <c r="Q785" s="7"/>
      <c r="R785" s="7"/>
      <c r="S785" s="17"/>
    </row>
    <row r="786" ht="13.5" customHeight="1">
      <c r="A786" s="13" t="s">
        <v>1113</v>
      </c>
      <c r="B786" s="8" t="s">
        <v>301</v>
      </c>
      <c r="C786" s="8" t="s">
        <v>296</v>
      </c>
      <c r="D786" s="8" t="s">
        <v>1065</v>
      </c>
      <c r="E786" s="9" t="s">
        <v>1114</v>
      </c>
      <c r="F786" s="8" t="s">
        <v>1115</v>
      </c>
      <c r="G786" s="8" t="s">
        <v>962</v>
      </c>
      <c r="H786" s="11" t="s">
        <v>259</v>
      </c>
      <c r="I786" s="11" t="s">
        <v>91</v>
      </c>
      <c r="J786" s="11" t="s">
        <v>130</v>
      </c>
      <c r="K786" s="8" t="s">
        <v>675</v>
      </c>
      <c r="L786" s="8" t="s">
        <v>676</v>
      </c>
      <c r="M786" s="20">
        <v>45488.0</v>
      </c>
      <c r="N786" s="21">
        <v>60.0</v>
      </c>
      <c r="O786" s="22">
        <v>50.0</v>
      </c>
      <c r="P786" s="7"/>
      <c r="Q786" s="7"/>
      <c r="R786" s="7"/>
      <c r="S786" s="17"/>
    </row>
    <row r="787" ht="13.5" customHeight="1">
      <c r="A787" s="13" t="s">
        <v>1116</v>
      </c>
      <c r="B787" s="8" t="s">
        <v>167</v>
      </c>
      <c r="C787" s="8" t="s">
        <v>296</v>
      </c>
      <c r="D787" s="8" t="s">
        <v>1061</v>
      </c>
      <c r="E787" s="9" t="s">
        <v>1117</v>
      </c>
      <c r="F787" s="8" t="s">
        <v>1118</v>
      </c>
      <c r="G787" s="8" t="s">
        <v>1119</v>
      </c>
      <c r="H787" s="11" t="s">
        <v>259</v>
      </c>
      <c r="I787" s="11" t="s">
        <v>91</v>
      </c>
      <c r="J787" s="11" t="s">
        <v>130</v>
      </c>
      <c r="K787" s="8" t="s">
        <v>675</v>
      </c>
      <c r="L787" s="8" t="s">
        <v>676</v>
      </c>
      <c r="M787" s="20">
        <v>45488.0</v>
      </c>
      <c r="N787" s="21">
        <v>644.0</v>
      </c>
      <c r="O787" s="22">
        <v>760.0</v>
      </c>
      <c r="P787" s="7"/>
      <c r="Q787" s="7"/>
      <c r="R787" s="7"/>
      <c r="S787" s="17"/>
    </row>
    <row r="788" ht="13.5" customHeight="1">
      <c r="A788" s="13" t="s">
        <v>1120</v>
      </c>
      <c r="B788" s="8" t="s">
        <v>301</v>
      </c>
      <c r="C788" s="8" t="s">
        <v>296</v>
      </c>
      <c r="D788" s="8" t="s">
        <v>1065</v>
      </c>
      <c r="E788" s="9" t="s">
        <v>1121</v>
      </c>
      <c r="F788" s="8" t="s">
        <v>1122</v>
      </c>
      <c r="G788" s="8" t="s">
        <v>1119</v>
      </c>
      <c r="H788" s="11" t="s">
        <v>259</v>
      </c>
      <c r="I788" s="11" t="s">
        <v>91</v>
      </c>
      <c r="J788" s="11" t="s">
        <v>130</v>
      </c>
      <c r="K788" s="8" t="s">
        <v>675</v>
      </c>
      <c r="L788" s="8" t="s">
        <v>676</v>
      </c>
      <c r="M788" s="20">
        <v>45488.0</v>
      </c>
      <c r="N788" s="21">
        <v>60.0</v>
      </c>
      <c r="O788" s="22">
        <v>50.0</v>
      </c>
      <c r="P788" s="7"/>
      <c r="Q788" s="7"/>
      <c r="R788" s="7"/>
      <c r="S788" s="17"/>
    </row>
    <row r="789" ht="13.5" customHeight="1">
      <c r="A789" s="13" t="s">
        <v>1123</v>
      </c>
      <c r="B789" s="8" t="s">
        <v>167</v>
      </c>
      <c r="C789" s="8" t="s">
        <v>296</v>
      </c>
      <c r="D789" s="8" t="s">
        <v>1061</v>
      </c>
      <c r="E789" s="9" t="s">
        <v>1124</v>
      </c>
      <c r="F789" s="8" t="s">
        <v>1125</v>
      </c>
      <c r="G789" s="8" t="s">
        <v>1126</v>
      </c>
      <c r="H789" s="11" t="s">
        <v>259</v>
      </c>
      <c r="I789" s="11" t="s">
        <v>91</v>
      </c>
      <c r="J789" s="11" t="s">
        <v>130</v>
      </c>
      <c r="K789" s="8" t="s">
        <v>675</v>
      </c>
      <c r="L789" s="8" t="s">
        <v>676</v>
      </c>
      <c r="M789" s="20">
        <v>45488.0</v>
      </c>
      <c r="N789" s="21">
        <v>644.0</v>
      </c>
      <c r="O789" s="22">
        <v>760.0</v>
      </c>
      <c r="P789" s="7"/>
      <c r="Q789" s="7"/>
      <c r="R789" s="7"/>
      <c r="S789" s="17"/>
    </row>
    <row r="790" ht="13.5" customHeight="1">
      <c r="A790" s="13" t="s">
        <v>1127</v>
      </c>
      <c r="B790" s="8" t="s">
        <v>301</v>
      </c>
      <c r="C790" s="8" t="s">
        <v>296</v>
      </c>
      <c r="D790" s="8" t="s">
        <v>1065</v>
      </c>
      <c r="E790" s="9" t="s">
        <v>1128</v>
      </c>
      <c r="F790" s="8" t="s">
        <v>1129</v>
      </c>
      <c r="G790" s="8" t="s">
        <v>1126</v>
      </c>
      <c r="H790" s="11" t="s">
        <v>259</v>
      </c>
      <c r="I790" s="11" t="s">
        <v>91</v>
      </c>
      <c r="J790" s="11" t="s">
        <v>130</v>
      </c>
      <c r="K790" s="8" t="s">
        <v>675</v>
      </c>
      <c r="L790" s="8" t="s">
        <v>676</v>
      </c>
      <c r="M790" s="20">
        <v>45488.0</v>
      </c>
      <c r="N790" s="21">
        <v>60.0</v>
      </c>
      <c r="O790" s="22">
        <v>50.0</v>
      </c>
      <c r="P790" s="7"/>
      <c r="Q790" s="7"/>
      <c r="R790" s="7"/>
      <c r="S790" s="17"/>
    </row>
    <row r="791" ht="13.5" customHeight="1">
      <c r="A791" s="13" t="s">
        <v>1130</v>
      </c>
      <c r="B791" s="8" t="s">
        <v>167</v>
      </c>
      <c r="C791" s="8" t="s">
        <v>296</v>
      </c>
      <c r="D791" s="8" t="s">
        <v>1061</v>
      </c>
      <c r="E791" s="9" t="s">
        <v>1131</v>
      </c>
      <c r="F791" s="8" t="s">
        <v>1132</v>
      </c>
      <c r="G791" s="8" t="s">
        <v>1133</v>
      </c>
      <c r="H791" s="11" t="s">
        <v>259</v>
      </c>
      <c r="I791" s="11" t="s">
        <v>91</v>
      </c>
      <c r="J791" s="11" t="s">
        <v>294</v>
      </c>
      <c r="K791" s="8" t="s">
        <v>1134</v>
      </c>
      <c r="L791" s="8" t="s">
        <v>676</v>
      </c>
      <c r="M791" s="20">
        <v>45488.0</v>
      </c>
      <c r="N791" s="21">
        <v>644.0</v>
      </c>
      <c r="O791" s="22">
        <v>760.0</v>
      </c>
      <c r="P791" s="7"/>
      <c r="Q791" s="7"/>
      <c r="R791" s="7"/>
      <c r="S791" s="17"/>
    </row>
    <row r="792" ht="13.5" customHeight="1">
      <c r="A792" s="13" t="s">
        <v>1135</v>
      </c>
      <c r="B792" s="8" t="s">
        <v>301</v>
      </c>
      <c r="C792" s="8" t="s">
        <v>296</v>
      </c>
      <c r="D792" s="8" t="s">
        <v>1065</v>
      </c>
      <c r="E792" s="9" t="s">
        <v>1136</v>
      </c>
      <c r="F792" s="8" t="s">
        <v>1137</v>
      </c>
      <c r="G792" s="8" t="s">
        <v>1133</v>
      </c>
      <c r="H792" s="11" t="s">
        <v>259</v>
      </c>
      <c r="I792" s="11" t="s">
        <v>91</v>
      </c>
      <c r="J792" s="11" t="s">
        <v>294</v>
      </c>
      <c r="K792" s="8" t="s">
        <v>1134</v>
      </c>
      <c r="L792" s="8" t="s">
        <v>676</v>
      </c>
      <c r="M792" s="20">
        <v>45488.0</v>
      </c>
      <c r="N792" s="21">
        <v>60.0</v>
      </c>
      <c r="O792" s="22">
        <v>50.0</v>
      </c>
      <c r="P792" s="7"/>
      <c r="Q792" s="7"/>
      <c r="R792" s="7"/>
      <c r="S792" s="17"/>
    </row>
    <row r="793" ht="13.5" customHeight="1">
      <c r="A793" s="13" t="s">
        <v>1138</v>
      </c>
      <c r="B793" s="8" t="s">
        <v>167</v>
      </c>
      <c r="C793" s="8" t="s">
        <v>296</v>
      </c>
      <c r="D793" s="8" t="s">
        <v>1061</v>
      </c>
      <c r="E793" s="9" t="s">
        <v>1139</v>
      </c>
      <c r="F793" s="8" t="s">
        <v>1140</v>
      </c>
      <c r="G793" s="8" t="s">
        <v>186</v>
      </c>
      <c r="H793" s="11" t="s">
        <v>143</v>
      </c>
      <c r="I793" s="11" t="s">
        <v>91</v>
      </c>
      <c r="J793" s="11" t="s">
        <v>294</v>
      </c>
      <c r="K793" s="8" t="s">
        <v>675</v>
      </c>
      <c r="L793" s="8" t="s">
        <v>676</v>
      </c>
      <c r="M793" s="20">
        <v>45488.0</v>
      </c>
      <c r="N793" s="21">
        <v>644.0</v>
      </c>
      <c r="O793" s="22">
        <v>760.0</v>
      </c>
      <c r="P793" s="7"/>
      <c r="Q793" s="7"/>
      <c r="R793" s="7"/>
      <c r="S793" s="17"/>
    </row>
    <row r="794" ht="13.5" customHeight="1">
      <c r="A794" s="13" t="s">
        <v>1141</v>
      </c>
      <c r="B794" s="8" t="s">
        <v>301</v>
      </c>
      <c r="C794" s="8" t="s">
        <v>296</v>
      </c>
      <c r="D794" s="8" t="s">
        <v>1065</v>
      </c>
      <c r="E794" s="9" t="s">
        <v>1142</v>
      </c>
      <c r="F794" s="8" t="s">
        <v>1143</v>
      </c>
      <c r="G794" s="8" t="s">
        <v>186</v>
      </c>
      <c r="H794" s="11" t="s">
        <v>143</v>
      </c>
      <c r="I794" s="11" t="s">
        <v>91</v>
      </c>
      <c r="J794" s="11" t="s">
        <v>294</v>
      </c>
      <c r="K794" s="8" t="s">
        <v>675</v>
      </c>
      <c r="L794" s="8" t="s">
        <v>676</v>
      </c>
      <c r="M794" s="20">
        <v>45488.0</v>
      </c>
      <c r="N794" s="21">
        <v>60.0</v>
      </c>
      <c r="O794" s="22">
        <v>50.0</v>
      </c>
      <c r="P794" s="7"/>
      <c r="Q794" s="7"/>
      <c r="R794" s="7"/>
      <c r="S794" s="17"/>
    </row>
    <row r="795" ht="13.5" customHeight="1">
      <c r="A795" s="13" t="s">
        <v>1144</v>
      </c>
      <c r="B795" s="8" t="s">
        <v>167</v>
      </c>
      <c r="C795" s="8" t="s">
        <v>296</v>
      </c>
      <c r="D795" s="8" t="s">
        <v>1061</v>
      </c>
      <c r="E795" s="9" t="s">
        <v>1145</v>
      </c>
      <c r="F795" s="8" t="s">
        <v>1146</v>
      </c>
      <c r="G795" s="8" t="s">
        <v>1147</v>
      </c>
      <c r="H795" s="11" t="s">
        <v>143</v>
      </c>
      <c r="I795" s="11" t="s">
        <v>91</v>
      </c>
      <c r="J795" s="11" t="s">
        <v>294</v>
      </c>
      <c r="K795" s="8" t="s">
        <v>675</v>
      </c>
      <c r="L795" s="8" t="s">
        <v>676</v>
      </c>
      <c r="M795" s="20">
        <v>45488.0</v>
      </c>
      <c r="N795" s="21">
        <v>644.0</v>
      </c>
      <c r="O795" s="22">
        <v>760.0</v>
      </c>
      <c r="P795" s="7"/>
      <c r="Q795" s="7"/>
      <c r="R795" s="7"/>
      <c r="S795" s="17"/>
    </row>
    <row r="796" ht="13.5" customHeight="1">
      <c r="A796" s="13" t="s">
        <v>1148</v>
      </c>
      <c r="B796" s="8" t="s">
        <v>301</v>
      </c>
      <c r="C796" s="8" t="s">
        <v>296</v>
      </c>
      <c r="D796" s="8" t="s">
        <v>1065</v>
      </c>
      <c r="E796" s="9" t="s">
        <v>1149</v>
      </c>
      <c r="F796" s="8" t="s">
        <v>1150</v>
      </c>
      <c r="G796" s="8" t="s">
        <v>1147</v>
      </c>
      <c r="H796" s="11" t="s">
        <v>143</v>
      </c>
      <c r="I796" s="11" t="s">
        <v>91</v>
      </c>
      <c r="J796" s="11" t="s">
        <v>294</v>
      </c>
      <c r="K796" s="8" t="s">
        <v>675</v>
      </c>
      <c r="L796" s="8" t="s">
        <v>676</v>
      </c>
      <c r="M796" s="20">
        <v>45488.0</v>
      </c>
      <c r="N796" s="21">
        <v>60.0</v>
      </c>
      <c r="O796" s="22">
        <v>50.0</v>
      </c>
      <c r="P796" s="7"/>
      <c r="Q796" s="7"/>
      <c r="R796" s="7"/>
      <c r="S796" s="17"/>
    </row>
    <row r="797" ht="13.5" customHeight="1">
      <c r="A797" s="13" t="s">
        <v>1151</v>
      </c>
      <c r="B797" s="8" t="s">
        <v>167</v>
      </c>
      <c r="C797" s="8" t="s">
        <v>296</v>
      </c>
      <c r="D797" s="8" t="s">
        <v>1061</v>
      </c>
      <c r="E797" s="9" t="s">
        <v>1152</v>
      </c>
      <c r="F797" s="8" t="s">
        <v>1153</v>
      </c>
      <c r="G797" s="8" t="s">
        <v>1154</v>
      </c>
      <c r="H797" s="11" t="s">
        <v>143</v>
      </c>
      <c r="I797" s="11" t="s">
        <v>91</v>
      </c>
      <c r="J797" s="11" t="s">
        <v>294</v>
      </c>
      <c r="K797" s="8" t="s">
        <v>675</v>
      </c>
      <c r="L797" s="8" t="s">
        <v>676</v>
      </c>
      <c r="M797" s="20">
        <v>45488.0</v>
      </c>
      <c r="N797" s="21">
        <v>644.0</v>
      </c>
      <c r="O797" s="22">
        <v>760.0</v>
      </c>
      <c r="P797" s="7"/>
      <c r="Q797" s="7"/>
      <c r="R797" s="7"/>
      <c r="S797" s="17"/>
    </row>
    <row r="798" ht="13.5" customHeight="1">
      <c r="A798" s="13" t="s">
        <v>1155</v>
      </c>
      <c r="B798" s="8" t="s">
        <v>301</v>
      </c>
      <c r="C798" s="8" t="s">
        <v>296</v>
      </c>
      <c r="D798" s="8" t="s">
        <v>1065</v>
      </c>
      <c r="E798" s="9" t="s">
        <v>1156</v>
      </c>
      <c r="F798" s="8" t="s">
        <v>1157</v>
      </c>
      <c r="G798" s="8" t="s">
        <v>1154</v>
      </c>
      <c r="H798" s="11" t="s">
        <v>143</v>
      </c>
      <c r="I798" s="11" t="s">
        <v>91</v>
      </c>
      <c r="J798" s="11" t="s">
        <v>294</v>
      </c>
      <c r="K798" s="8" t="s">
        <v>675</v>
      </c>
      <c r="L798" s="8" t="s">
        <v>676</v>
      </c>
      <c r="M798" s="20">
        <v>45488.0</v>
      </c>
      <c r="N798" s="21">
        <v>60.0</v>
      </c>
      <c r="O798" s="22">
        <v>50.0</v>
      </c>
      <c r="P798" s="7"/>
      <c r="Q798" s="7"/>
      <c r="R798" s="7"/>
      <c r="S798" s="17"/>
    </row>
    <row r="799" ht="13.5" customHeight="1">
      <c r="A799" s="13" t="s">
        <v>1158</v>
      </c>
      <c r="B799" s="8" t="s">
        <v>167</v>
      </c>
      <c r="C799" s="8" t="s">
        <v>296</v>
      </c>
      <c r="D799" s="8" t="s">
        <v>1061</v>
      </c>
      <c r="E799" s="9" t="s">
        <v>1159</v>
      </c>
      <c r="F799" s="8" t="s">
        <v>1160</v>
      </c>
      <c r="G799" s="8" t="s">
        <v>1161</v>
      </c>
      <c r="H799" s="11" t="s">
        <v>143</v>
      </c>
      <c r="I799" s="11" t="s">
        <v>91</v>
      </c>
      <c r="J799" s="11" t="s">
        <v>294</v>
      </c>
      <c r="K799" s="8" t="s">
        <v>675</v>
      </c>
      <c r="L799" s="8" t="s">
        <v>676</v>
      </c>
      <c r="M799" s="20">
        <v>45488.0</v>
      </c>
      <c r="N799" s="21">
        <v>644.0</v>
      </c>
      <c r="O799" s="22">
        <v>760.0</v>
      </c>
      <c r="P799" s="7"/>
      <c r="Q799" s="7"/>
      <c r="R799" s="7"/>
      <c r="S799" s="17"/>
    </row>
    <row r="800" ht="13.5" customHeight="1">
      <c r="A800" s="13" t="s">
        <v>1162</v>
      </c>
      <c r="B800" s="8" t="s">
        <v>301</v>
      </c>
      <c r="C800" s="8" t="s">
        <v>296</v>
      </c>
      <c r="D800" s="8" t="s">
        <v>1065</v>
      </c>
      <c r="E800" s="9" t="s">
        <v>1163</v>
      </c>
      <c r="F800" s="8" t="s">
        <v>1164</v>
      </c>
      <c r="G800" s="8" t="s">
        <v>1161</v>
      </c>
      <c r="H800" s="11" t="s">
        <v>143</v>
      </c>
      <c r="I800" s="11" t="s">
        <v>91</v>
      </c>
      <c r="J800" s="11" t="s">
        <v>294</v>
      </c>
      <c r="K800" s="8" t="s">
        <v>675</v>
      </c>
      <c r="L800" s="8" t="s">
        <v>676</v>
      </c>
      <c r="M800" s="20">
        <v>45488.0</v>
      </c>
      <c r="N800" s="21">
        <v>60.0</v>
      </c>
      <c r="O800" s="22">
        <v>50.0</v>
      </c>
      <c r="P800" s="7"/>
      <c r="Q800" s="7"/>
      <c r="R800" s="7"/>
      <c r="S800" s="17"/>
    </row>
    <row r="801" ht="13.5" customHeight="1">
      <c r="A801" s="13" t="s">
        <v>1165</v>
      </c>
      <c r="B801" s="8" t="s">
        <v>167</v>
      </c>
      <c r="C801" s="8" t="s">
        <v>296</v>
      </c>
      <c r="D801" s="8" t="s">
        <v>1061</v>
      </c>
      <c r="E801" s="9" t="s">
        <v>1166</v>
      </c>
      <c r="F801" s="8" t="s">
        <v>1167</v>
      </c>
      <c r="G801" s="8" t="s">
        <v>226</v>
      </c>
      <c r="H801" s="11" t="s">
        <v>207</v>
      </c>
      <c r="I801" s="11" t="s">
        <v>91</v>
      </c>
      <c r="J801" s="11" t="s">
        <v>294</v>
      </c>
      <c r="K801" s="8" t="s">
        <v>675</v>
      </c>
      <c r="L801" s="8" t="s">
        <v>676</v>
      </c>
      <c r="M801" s="20">
        <v>45488.0</v>
      </c>
      <c r="N801" s="21">
        <v>644.0</v>
      </c>
      <c r="O801" s="22">
        <v>760.0</v>
      </c>
      <c r="P801" s="7"/>
      <c r="Q801" s="7"/>
      <c r="R801" s="7"/>
      <c r="S801" s="17"/>
    </row>
    <row r="802" ht="13.5" customHeight="1">
      <c r="A802" s="13" t="s">
        <v>1168</v>
      </c>
      <c r="B802" s="8" t="s">
        <v>301</v>
      </c>
      <c r="C802" s="8" t="s">
        <v>296</v>
      </c>
      <c r="D802" s="8" t="s">
        <v>1065</v>
      </c>
      <c r="E802" s="9" t="s">
        <v>1169</v>
      </c>
      <c r="F802" s="8" t="s">
        <v>1170</v>
      </c>
      <c r="G802" s="8" t="s">
        <v>226</v>
      </c>
      <c r="H802" s="11" t="s">
        <v>207</v>
      </c>
      <c r="I802" s="11" t="s">
        <v>91</v>
      </c>
      <c r="J802" s="11" t="s">
        <v>294</v>
      </c>
      <c r="K802" s="8" t="s">
        <v>675</v>
      </c>
      <c r="L802" s="8" t="s">
        <v>676</v>
      </c>
      <c r="M802" s="20">
        <v>45488.0</v>
      </c>
      <c r="N802" s="21">
        <v>60.0</v>
      </c>
      <c r="O802" s="22">
        <v>50.0</v>
      </c>
      <c r="P802" s="7"/>
      <c r="Q802" s="7"/>
      <c r="R802" s="7"/>
      <c r="S802" s="17"/>
    </row>
    <row r="803" ht="13.5" customHeight="1">
      <c r="A803" s="13" t="s">
        <v>1171</v>
      </c>
      <c r="B803" s="8" t="s">
        <v>167</v>
      </c>
      <c r="C803" s="8" t="s">
        <v>296</v>
      </c>
      <c r="D803" s="8" t="s">
        <v>1061</v>
      </c>
      <c r="E803" s="9" t="s">
        <v>1172</v>
      </c>
      <c r="F803" s="8" t="s">
        <v>1173</v>
      </c>
      <c r="G803" s="8" t="s">
        <v>1174</v>
      </c>
      <c r="H803" s="11" t="s">
        <v>207</v>
      </c>
      <c r="I803" s="11" t="s">
        <v>91</v>
      </c>
      <c r="J803" s="11" t="s">
        <v>294</v>
      </c>
      <c r="K803" s="8" t="s">
        <v>675</v>
      </c>
      <c r="L803" s="8" t="s">
        <v>676</v>
      </c>
      <c r="M803" s="20">
        <v>45488.0</v>
      </c>
      <c r="N803" s="21">
        <v>644.0</v>
      </c>
      <c r="O803" s="22">
        <v>760.0</v>
      </c>
      <c r="P803" s="7"/>
      <c r="Q803" s="7"/>
      <c r="R803" s="7"/>
      <c r="S803" s="17"/>
    </row>
    <row r="804" ht="13.5" customHeight="1">
      <c r="A804" s="13" t="s">
        <v>1175</v>
      </c>
      <c r="B804" s="8" t="s">
        <v>301</v>
      </c>
      <c r="C804" s="8" t="s">
        <v>296</v>
      </c>
      <c r="D804" s="8" t="s">
        <v>1065</v>
      </c>
      <c r="E804" s="9" t="s">
        <v>1176</v>
      </c>
      <c r="F804" s="8" t="s">
        <v>1177</v>
      </c>
      <c r="G804" s="8" t="s">
        <v>1174</v>
      </c>
      <c r="H804" s="11" t="s">
        <v>207</v>
      </c>
      <c r="I804" s="11" t="s">
        <v>91</v>
      </c>
      <c r="J804" s="11" t="s">
        <v>294</v>
      </c>
      <c r="K804" s="8" t="s">
        <v>675</v>
      </c>
      <c r="L804" s="8" t="s">
        <v>676</v>
      </c>
      <c r="M804" s="20">
        <v>45488.0</v>
      </c>
      <c r="N804" s="21">
        <v>60.0</v>
      </c>
      <c r="O804" s="22">
        <v>50.0</v>
      </c>
      <c r="P804" s="7"/>
      <c r="Q804" s="7"/>
      <c r="R804" s="7"/>
      <c r="S804" s="17"/>
    </row>
    <row r="805" ht="13.5" customHeight="1">
      <c r="A805" s="13" t="s">
        <v>1178</v>
      </c>
      <c r="B805" s="8" t="s">
        <v>167</v>
      </c>
      <c r="C805" s="8" t="s">
        <v>296</v>
      </c>
      <c r="D805" s="8" t="s">
        <v>1061</v>
      </c>
      <c r="E805" s="9" t="s">
        <v>1179</v>
      </c>
      <c r="F805" s="8" t="s">
        <v>1180</v>
      </c>
      <c r="G805" s="8" t="s">
        <v>1181</v>
      </c>
      <c r="H805" s="11" t="s">
        <v>207</v>
      </c>
      <c r="I805" s="11" t="s">
        <v>91</v>
      </c>
      <c r="J805" s="11" t="s">
        <v>294</v>
      </c>
      <c r="K805" s="8" t="s">
        <v>675</v>
      </c>
      <c r="L805" s="8" t="s">
        <v>676</v>
      </c>
      <c r="M805" s="20">
        <v>45488.0</v>
      </c>
      <c r="N805" s="21">
        <v>644.0</v>
      </c>
      <c r="O805" s="22">
        <v>760.0</v>
      </c>
      <c r="P805" s="7"/>
      <c r="Q805" s="7"/>
      <c r="R805" s="7"/>
      <c r="S805" s="17"/>
    </row>
    <row r="806" ht="13.5" customHeight="1">
      <c r="A806" s="13" t="s">
        <v>1182</v>
      </c>
      <c r="B806" s="8" t="s">
        <v>301</v>
      </c>
      <c r="C806" s="8" t="s">
        <v>296</v>
      </c>
      <c r="D806" s="8" t="s">
        <v>1065</v>
      </c>
      <c r="E806" s="9" t="s">
        <v>1183</v>
      </c>
      <c r="F806" s="8" t="s">
        <v>1184</v>
      </c>
      <c r="G806" s="8" t="s">
        <v>1181</v>
      </c>
      <c r="H806" s="11" t="s">
        <v>207</v>
      </c>
      <c r="I806" s="11" t="s">
        <v>91</v>
      </c>
      <c r="J806" s="11" t="s">
        <v>294</v>
      </c>
      <c r="K806" s="8" t="s">
        <v>675</v>
      </c>
      <c r="L806" s="8" t="s">
        <v>676</v>
      </c>
      <c r="M806" s="20">
        <v>45488.0</v>
      </c>
      <c r="N806" s="21">
        <v>60.0</v>
      </c>
      <c r="O806" s="22">
        <v>50.0</v>
      </c>
      <c r="P806" s="7"/>
      <c r="Q806" s="7"/>
      <c r="R806" s="7"/>
      <c r="S806" s="17"/>
    </row>
    <row r="807" ht="13.5" customHeight="1">
      <c r="A807" s="13" t="s">
        <v>1185</v>
      </c>
      <c r="B807" s="8" t="s">
        <v>167</v>
      </c>
      <c r="C807" s="8" t="s">
        <v>296</v>
      </c>
      <c r="D807" s="8" t="s">
        <v>1061</v>
      </c>
      <c r="E807" s="9" t="s">
        <v>1186</v>
      </c>
      <c r="F807" s="8" t="s">
        <v>1187</v>
      </c>
      <c r="G807" s="8" t="s">
        <v>1188</v>
      </c>
      <c r="H807" s="11" t="s">
        <v>207</v>
      </c>
      <c r="I807" s="11" t="s">
        <v>91</v>
      </c>
      <c r="J807" s="11" t="s">
        <v>294</v>
      </c>
      <c r="K807" s="8" t="s">
        <v>675</v>
      </c>
      <c r="L807" s="8" t="s">
        <v>676</v>
      </c>
      <c r="M807" s="20">
        <v>45488.0</v>
      </c>
      <c r="N807" s="21">
        <v>644.0</v>
      </c>
      <c r="O807" s="22">
        <v>760.0</v>
      </c>
      <c r="P807" s="7"/>
      <c r="Q807" s="7"/>
      <c r="R807" s="7"/>
      <c r="S807" s="17"/>
    </row>
    <row r="808" ht="13.5" customHeight="1">
      <c r="A808" s="13" t="s">
        <v>1189</v>
      </c>
      <c r="B808" s="8" t="s">
        <v>301</v>
      </c>
      <c r="C808" s="8" t="s">
        <v>296</v>
      </c>
      <c r="D808" s="8" t="s">
        <v>1065</v>
      </c>
      <c r="E808" s="9" t="s">
        <v>1190</v>
      </c>
      <c r="F808" s="8" t="s">
        <v>1191</v>
      </c>
      <c r="G808" s="8" t="s">
        <v>1188</v>
      </c>
      <c r="H808" s="11" t="s">
        <v>207</v>
      </c>
      <c r="I808" s="11" t="s">
        <v>91</v>
      </c>
      <c r="J808" s="11" t="s">
        <v>294</v>
      </c>
      <c r="K808" s="8" t="s">
        <v>675</v>
      </c>
      <c r="L808" s="8" t="s">
        <v>676</v>
      </c>
      <c r="M808" s="20">
        <v>45488.0</v>
      </c>
      <c r="N808" s="21">
        <v>60.0</v>
      </c>
      <c r="O808" s="22">
        <v>50.0</v>
      </c>
      <c r="P808" s="7"/>
      <c r="Q808" s="7"/>
      <c r="R808" s="7"/>
      <c r="S808" s="17"/>
    </row>
    <row r="809" ht="13.5" customHeight="1">
      <c r="A809" s="13" t="s">
        <v>1192</v>
      </c>
      <c r="B809" s="8" t="s">
        <v>167</v>
      </c>
      <c r="C809" s="8" t="s">
        <v>296</v>
      </c>
      <c r="D809" s="8" t="s">
        <v>1061</v>
      </c>
      <c r="E809" s="9" t="s">
        <v>1193</v>
      </c>
      <c r="F809" s="8" t="s">
        <v>1194</v>
      </c>
      <c r="G809" s="8" t="s">
        <v>973</v>
      </c>
      <c r="H809" s="11" t="s">
        <v>26</v>
      </c>
      <c r="I809" s="11" t="s">
        <v>260</v>
      </c>
      <c r="J809" s="11" t="s">
        <v>294</v>
      </c>
      <c r="K809" s="8" t="s">
        <v>675</v>
      </c>
      <c r="L809" s="8" t="s">
        <v>676</v>
      </c>
      <c r="M809" s="20">
        <v>45488.0</v>
      </c>
      <c r="N809" s="21">
        <v>644.0</v>
      </c>
      <c r="O809" s="22">
        <v>760.0</v>
      </c>
      <c r="P809" s="7"/>
      <c r="Q809" s="7"/>
      <c r="R809" s="7"/>
      <c r="S809" s="17"/>
    </row>
    <row r="810" ht="13.5" customHeight="1">
      <c r="A810" s="13" t="s">
        <v>1195</v>
      </c>
      <c r="B810" s="8" t="s">
        <v>301</v>
      </c>
      <c r="C810" s="8" t="s">
        <v>296</v>
      </c>
      <c r="D810" s="8" t="s">
        <v>1065</v>
      </c>
      <c r="E810" s="9" t="s">
        <v>1196</v>
      </c>
      <c r="F810" s="8" t="s">
        <v>1197</v>
      </c>
      <c r="G810" s="8" t="s">
        <v>973</v>
      </c>
      <c r="H810" s="11" t="s">
        <v>26</v>
      </c>
      <c r="I810" s="11" t="s">
        <v>260</v>
      </c>
      <c r="J810" s="11" t="s">
        <v>294</v>
      </c>
      <c r="K810" s="8" t="s">
        <v>675</v>
      </c>
      <c r="L810" s="8" t="s">
        <v>676</v>
      </c>
      <c r="M810" s="20">
        <v>45488.0</v>
      </c>
      <c r="N810" s="21">
        <v>60.0</v>
      </c>
      <c r="O810" s="22">
        <v>50.0</v>
      </c>
      <c r="P810" s="7"/>
      <c r="Q810" s="7"/>
      <c r="R810" s="7"/>
      <c r="S810" s="17"/>
    </row>
    <row r="811" ht="13.5" customHeight="1">
      <c r="A811" s="13" t="s">
        <v>1198</v>
      </c>
      <c r="B811" s="8" t="s">
        <v>167</v>
      </c>
      <c r="C811" s="8" t="s">
        <v>296</v>
      </c>
      <c r="D811" s="8" t="s">
        <v>1061</v>
      </c>
      <c r="E811" s="9" t="s">
        <v>1199</v>
      </c>
      <c r="F811" s="8" t="s">
        <v>1200</v>
      </c>
      <c r="G811" s="8" t="s">
        <v>1201</v>
      </c>
      <c r="H811" s="11" t="s">
        <v>26</v>
      </c>
      <c r="I811" s="11" t="s">
        <v>260</v>
      </c>
      <c r="J811" s="11" t="s">
        <v>294</v>
      </c>
      <c r="K811" s="8" t="s">
        <v>675</v>
      </c>
      <c r="L811" s="8" t="s">
        <v>676</v>
      </c>
      <c r="M811" s="20">
        <v>45488.0</v>
      </c>
      <c r="N811" s="21">
        <v>644.0</v>
      </c>
      <c r="O811" s="22">
        <v>760.0</v>
      </c>
      <c r="P811" s="7"/>
      <c r="Q811" s="7"/>
      <c r="R811" s="7"/>
      <c r="S811" s="17"/>
    </row>
    <row r="812" ht="13.5" customHeight="1">
      <c r="A812" s="13" t="s">
        <v>1202</v>
      </c>
      <c r="B812" s="8" t="s">
        <v>301</v>
      </c>
      <c r="C812" s="8" t="s">
        <v>296</v>
      </c>
      <c r="D812" s="8" t="s">
        <v>1065</v>
      </c>
      <c r="E812" s="9" t="s">
        <v>1203</v>
      </c>
      <c r="F812" s="8" t="s">
        <v>1204</v>
      </c>
      <c r="G812" s="8" t="s">
        <v>1201</v>
      </c>
      <c r="H812" s="11" t="s">
        <v>26</v>
      </c>
      <c r="I812" s="11" t="s">
        <v>260</v>
      </c>
      <c r="J812" s="11" t="s">
        <v>294</v>
      </c>
      <c r="K812" s="8" t="s">
        <v>675</v>
      </c>
      <c r="L812" s="8" t="s">
        <v>676</v>
      </c>
      <c r="M812" s="20">
        <v>45488.0</v>
      </c>
      <c r="N812" s="21">
        <v>60.0</v>
      </c>
      <c r="O812" s="22">
        <v>50.0</v>
      </c>
      <c r="P812" s="7"/>
      <c r="Q812" s="7"/>
      <c r="R812" s="7"/>
      <c r="S812" s="17"/>
    </row>
    <row r="813" ht="13.5" customHeight="1">
      <c r="A813" s="13" t="s">
        <v>1205</v>
      </c>
      <c r="B813" s="8" t="s">
        <v>167</v>
      </c>
      <c r="C813" s="8" t="s">
        <v>296</v>
      </c>
      <c r="D813" s="8" t="s">
        <v>1061</v>
      </c>
      <c r="E813" s="9" t="s">
        <v>1206</v>
      </c>
      <c r="F813" s="8" t="s">
        <v>1207</v>
      </c>
      <c r="G813" s="8" t="s">
        <v>1208</v>
      </c>
      <c r="H813" s="11" t="s">
        <v>26</v>
      </c>
      <c r="I813" s="11" t="s">
        <v>260</v>
      </c>
      <c r="J813" s="11" t="s">
        <v>294</v>
      </c>
      <c r="K813" s="8" t="s">
        <v>675</v>
      </c>
      <c r="L813" s="8" t="s">
        <v>676</v>
      </c>
      <c r="M813" s="20">
        <v>45488.0</v>
      </c>
      <c r="N813" s="21">
        <v>644.0</v>
      </c>
      <c r="O813" s="22">
        <v>760.0</v>
      </c>
      <c r="P813" s="7"/>
      <c r="Q813" s="7"/>
      <c r="R813" s="7"/>
      <c r="S813" s="17"/>
    </row>
    <row r="814" ht="13.5" customHeight="1">
      <c r="A814" s="13" t="s">
        <v>1209</v>
      </c>
      <c r="B814" s="8" t="s">
        <v>301</v>
      </c>
      <c r="C814" s="8" t="s">
        <v>296</v>
      </c>
      <c r="D814" s="8" t="s">
        <v>1065</v>
      </c>
      <c r="E814" s="9" t="s">
        <v>1210</v>
      </c>
      <c r="F814" s="8" t="s">
        <v>1211</v>
      </c>
      <c r="G814" s="8" t="s">
        <v>1208</v>
      </c>
      <c r="H814" s="11" t="s">
        <v>26</v>
      </c>
      <c r="I814" s="11" t="s">
        <v>260</v>
      </c>
      <c r="J814" s="11" t="s">
        <v>294</v>
      </c>
      <c r="K814" s="8" t="s">
        <v>675</v>
      </c>
      <c r="L814" s="8" t="s">
        <v>676</v>
      </c>
      <c r="M814" s="20">
        <v>45488.0</v>
      </c>
      <c r="N814" s="21">
        <v>60.0</v>
      </c>
      <c r="O814" s="22">
        <v>50.0</v>
      </c>
      <c r="P814" s="7"/>
      <c r="Q814" s="7"/>
      <c r="R814" s="7"/>
      <c r="S814" s="17"/>
    </row>
    <row r="815" ht="13.5" customHeight="1">
      <c r="A815" s="13" t="s">
        <v>1212</v>
      </c>
      <c r="B815" s="8" t="s">
        <v>167</v>
      </c>
      <c r="C815" s="8" t="s">
        <v>296</v>
      </c>
      <c r="D815" s="8" t="s">
        <v>1061</v>
      </c>
      <c r="E815" s="9" t="s">
        <v>1213</v>
      </c>
      <c r="F815" s="8" t="s">
        <v>1214</v>
      </c>
      <c r="G815" s="8" t="s">
        <v>84</v>
      </c>
      <c r="H815" s="11" t="s">
        <v>26</v>
      </c>
      <c r="I815" s="11" t="s">
        <v>260</v>
      </c>
      <c r="J815" s="11" t="s">
        <v>294</v>
      </c>
      <c r="K815" s="8" t="s">
        <v>675</v>
      </c>
      <c r="L815" s="8" t="s">
        <v>676</v>
      </c>
      <c r="M815" s="20">
        <v>45488.0</v>
      </c>
      <c r="N815" s="21">
        <v>644.0</v>
      </c>
      <c r="O815" s="22">
        <v>760.0</v>
      </c>
      <c r="P815" s="7"/>
      <c r="Q815" s="7"/>
      <c r="R815" s="7"/>
      <c r="S815" s="17"/>
    </row>
    <row r="816" ht="13.5" customHeight="1">
      <c r="A816" s="13" t="s">
        <v>1216</v>
      </c>
      <c r="B816" s="8" t="s">
        <v>301</v>
      </c>
      <c r="C816" s="8" t="s">
        <v>296</v>
      </c>
      <c r="D816" s="8" t="s">
        <v>1065</v>
      </c>
      <c r="E816" s="9" t="s">
        <v>1217</v>
      </c>
      <c r="F816" s="8" t="s">
        <v>1218</v>
      </c>
      <c r="G816" s="8" t="s">
        <v>84</v>
      </c>
      <c r="H816" s="11" t="s">
        <v>26</v>
      </c>
      <c r="I816" s="11" t="s">
        <v>260</v>
      </c>
      <c r="J816" s="11" t="s">
        <v>294</v>
      </c>
      <c r="K816" s="8" t="s">
        <v>675</v>
      </c>
      <c r="L816" s="8" t="s">
        <v>676</v>
      </c>
      <c r="M816" s="20">
        <v>45488.0</v>
      </c>
      <c r="N816" s="21">
        <v>60.0</v>
      </c>
      <c r="O816" s="22">
        <v>50.0</v>
      </c>
      <c r="P816" s="7"/>
      <c r="Q816" s="7"/>
      <c r="R816" s="7"/>
      <c r="S816" s="17"/>
    </row>
    <row r="817" ht="13.5" customHeight="1">
      <c r="A817" s="24" t="s">
        <v>1219</v>
      </c>
      <c r="B817" s="25" t="s">
        <v>167</v>
      </c>
      <c r="C817" s="25" t="s">
        <v>296</v>
      </c>
      <c r="D817" s="25" t="s">
        <v>1061</v>
      </c>
      <c r="E817" s="26" t="s">
        <v>1220</v>
      </c>
      <c r="F817" s="25" t="s">
        <v>1221</v>
      </c>
      <c r="G817" s="25" t="s">
        <v>550</v>
      </c>
      <c r="H817" s="27" t="s">
        <v>259</v>
      </c>
      <c r="I817" s="27" t="s">
        <v>91</v>
      </c>
      <c r="J817" s="27" t="s">
        <v>275</v>
      </c>
      <c r="K817" s="25" t="s">
        <v>675</v>
      </c>
      <c r="L817" s="25" t="s">
        <v>676</v>
      </c>
      <c r="M817" s="28">
        <v>45488.0</v>
      </c>
      <c r="N817" s="29">
        <v>644.0</v>
      </c>
      <c r="O817" s="30">
        <v>760.0</v>
      </c>
      <c r="P817" s="31"/>
      <c r="Q817" s="31"/>
      <c r="R817" s="31"/>
      <c r="S817" s="32"/>
    </row>
    <row r="818" ht="13.5" customHeight="1">
      <c r="A818" s="24" t="s">
        <v>1222</v>
      </c>
      <c r="B818" s="25" t="s">
        <v>301</v>
      </c>
      <c r="C818" s="25" t="s">
        <v>296</v>
      </c>
      <c r="D818" s="25" t="s">
        <v>1065</v>
      </c>
      <c r="E818" s="26" t="s">
        <v>1223</v>
      </c>
      <c r="F818" s="25" t="s">
        <v>1224</v>
      </c>
      <c r="G818" s="25" t="s">
        <v>550</v>
      </c>
      <c r="H818" s="27" t="s">
        <v>259</v>
      </c>
      <c r="I818" s="27" t="s">
        <v>91</v>
      </c>
      <c r="J818" s="27" t="s">
        <v>275</v>
      </c>
      <c r="K818" s="25" t="s">
        <v>675</v>
      </c>
      <c r="L818" s="25" t="s">
        <v>676</v>
      </c>
      <c r="M818" s="28">
        <v>45488.0</v>
      </c>
      <c r="N818" s="29">
        <v>60.0</v>
      </c>
      <c r="O818" s="30">
        <v>50.0</v>
      </c>
      <c r="P818" s="31"/>
      <c r="Q818" s="31"/>
      <c r="R818" s="31"/>
      <c r="S818" s="32"/>
    </row>
    <row r="819" ht="13.5" customHeight="1">
      <c r="A819" s="13" t="s">
        <v>1225</v>
      </c>
      <c r="B819" s="8" t="s">
        <v>167</v>
      </c>
      <c r="C819" s="8" t="s">
        <v>296</v>
      </c>
      <c r="D819" s="8" t="s">
        <v>1061</v>
      </c>
      <c r="E819" s="9" t="s">
        <v>1226</v>
      </c>
      <c r="F819" s="8" t="s">
        <v>1227</v>
      </c>
      <c r="G819" s="8" t="s">
        <v>1228</v>
      </c>
      <c r="H819" s="11" t="s">
        <v>670</v>
      </c>
      <c r="I819" s="11" t="s">
        <v>91</v>
      </c>
      <c r="J819" s="11" t="s">
        <v>1079</v>
      </c>
      <c r="K819" s="8" t="s">
        <v>675</v>
      </c>
      <c r="L819" s="8" t="s">
        <v>676</v>
      </c>
      <c r="M819" s="20">
        <v>45488.0</v>
      </c>
      <c r="N819" s="21">
        <v>644.0</v>
      </c>
      <c r="O819" s="22">
        <v>760.0</v>
      </c>
      <c r="P819" s="7"/>
      <c r="Q819" s="7"/>
      <c r="R819" s="7"/>
      <c r="S819" s="17"/>
    </row>
    <row r="820" ht="13.5" customHeight="1">
      <c r="A820" s="13" t="s">
        <v>1229</v>
      </c>
      <c r="B820" s="8" t="s">
        <v>301</v>
      </c>
      <c r="C820" s="8" t="s">
        <v>296</v>
      </c>
      <c r="D820" s="8" t="s">
        <v>1065</v>
      </c>
      <c r="E820" s="9" t="s">
        <v>1230</v>
      </c>
      <c r="F820" s="8" t="s">
        <v>1231</v>
      </c>
      <c r="G820" s="8" t="s">
        <v>1228</v>
      </c>
      <c r="H820" s="11" t="s">
        <v>670</v>
      </c>
      <c r="I820" s="11" t="s">
        <v>91</v>
      </c>
      <c r="J820" s="11" t="s">
        <v>1079</v>
      </c>
      <c r="K820" s="8" t="s">
        <v>675</v>
      </c>
      <c r="L820" s="8" t="s">
        <v>676</v>
      </c>
      <c r="M820" s="20">
        <v>45488.0</v>
      </c>
      <c r="N820" s="21">
        <v>60.0</v>
      </c>
      <c r="O820" s="22">
        <v>50.0</v>
      </c>
      <c r="P820" s="7"/>
      <c r="Q820" s="7"/>
      <c r="R820" s="7"/>
      <c r="S820" s="17"/>
    </row>
    <row r="821" ht="13.5" customHeight="1">
      <c r="A821" s="13" t="s">
        <v>1232</v>
      </c>
      <c r="B821" s="8" t="s">
        <v>167</v>
      </c>
      <c r="C821" s="8" t="s">
        <v>296</v>
      </c>
      <c r="D821" s="8" t="s">
        <v>1061</v>
      </c>
      <c r="E821" s="9" t="s">
        <v>1233</v>
      </c>
      <c r="F821" s="8" t="s">
        <v>1234</v>
      </c>
      <c r="G821" s="8" t="s">
        <v>258</v>
      </c>
      <c r="H821" s="11" t="s">
        <v>259</v>
      </c>
      <c r="I821" s="11" t="s">
        <v>260</v>
      </c>
      <c r="J821" s="11" t="s">
        <v>261</v>
      </c>
      <c r="K821" s="8" t="s">
        <v>675</v>
      </c>
      <c r="L821" s="8" t="s">
        <v>676</v>
      </c>
      <c r="M821" s="20">
        <v>45488.0</v>
      </c>
      <c r="N821" s="21">
        <v>644.0</v>
      </c>
      <c r="O821" s="22">
        <v>760.0</v>
      </c>
      <c r="P821" s="7"/>
      <c r="Q821" s="7"/>
      <c r="R821" s="7"/>
      <c r="S821" s="17"/>
    </row>
    <row r="822" ht="13.5" customHeight="1">
      <c r="A822" s="13" t="s">
        <v>1235</v>
      </c>
      <c r="B822" s="8" t="s">
        <v>301</v>
      </c>
      <c r="C822" s="8" t="s">
        <v>296</v>
      </c>
      <c r="D822" s="8" t="s">
        <v>1065</v>
      </c>
      <c r="E822" s="9" t="s">
        <v>1236</v>
      </c>
      <c r="F822" s="8" t="s">
        <v>1237</v>
      </c>
      <c r="G822" s="8" t="s">
        <v>258</v>
      </c>
      <c r="H822" s="11" t="s">
        <v>259</v>
      </c>
      <c r="I822" s="11" t="s">
        <v>260</v>
      </c>
      <c r="J822" s="11" t="s">
        <v>261</v>
      </c>
      <c r="K822" s="8" t="s">
        <v>675</v>
      </c>
      <c r="L822" s="8" t="s">
        <v>676</v>
      </c>
      <c r="M822" s="20">
        <v>45488.0</v>
      </c>
      <c r="N822" s="21">
        <v>60.0</v>
      </c>
      <c r="O822" s="22">
        <v>50.0</v>
      </c>
      <c r="P822" s="7"/>
      <c r="Q822" s="7"/>
      <c r="R822" s="7"/>
      <c r="S822" s="17"/>
    </row>
    <row r="823" ht="13.5" customHeight="1">
      <c r="A823" s="13" t="s">
        <v>1238</v>
      </c>
      <c r="B823" s="8" t="s">
        <v>167</v>
      </c>
      <c r="C823" s="8" t="s">
        <v>296</v>
      </c>
      <c r="D823" s="8" t="s">
        <v>1061</v>
      </c>
      <c r="E823" s="9" t="s">
        <v>1239</v>
      </c>
      <c r="F823" s="8" t="s">
        <v>1240</v>
      </c>
      <c r="G823" s="8" t="s">
        <v>2147</v>
      </c>
      <c r="H823" s="11" t="s">
        <v>259</v>
      </c>
      <c r="I823" s="11" t="s">
        <v>260</v>
      </c>
      <c r="J823" s="11" t="s">
        <v>261</v>
      </c>
      <c r="K823" s="8" t="s">
        <v>675</v>
      </c>
      <c r="L823" s="8" t="s">
        <v>676</v>
      </c>
      <c r="M823" s="20">
        <v>45488.0</v>
      </c>
      <c r="N823" s="21">
        <v>644.0</v>
      </c>
      <c r="O823" s="22">
        <v>760.0</v>
      </c>
      <c r="P823" s="7"/>
      <c r="Q823" s="7"/>
      <c r="R823" s="7"/>
      <c r="S823" s="17"/>
    </row>
    <row r="824" ht="13.5" customHeight="1">
      <c r="A824" s="13" t="s">
        <v>1241</v>
      </c>
      <c r="B824" s="8" t="s">
        <v>301</v>
      </c>
      <c r="C824" s="8" t="s">
        <v>296</v>
      </c>
      <c r="D824" s="8" t="s">
        <v>1065</v>
      </c>
      <c r="E824" s="9" t="s">
        <v>1242</v>
      </c>
      <c r="F824" s="8" t="s">
        <v>1243</v>
      </c>
      <c r="G824" s="8" t="s">
        <v>2147</v>
      </c>
      <c r="H824" s="11" t="s">
        <v>259</v>
      </c>
      <c r="I824" s="11" t="s">
        <v>260</v>
      </c>
      <c r="J824" s="11" t="s">
        <v>261</v>
      </c>
      <c r="K824" s="8" t="s">
        <v>675</v>
      </c>
      <c r="L824" s="8" t="s">
        <v>676</v>
      </c>
      <c r="M824" s="20">
        <v>45488.0</v>
      </c>
      <c r="N824" s="21">
        <v>60.0</v>
      </c>
      <c r="O824" s="22">
        <v>50.0</v>
      </c>
      <c r="P824" s="7"/>
      <c r="Q824" s="7"/>
      <c r="R824" s="7"/>
      <c r="S824" s="17"/>
    </row>
    <row r="825" ht="13.5" customHeight="1">
      <c r="A825" s="13" t="s">
        <v>1244</v>
      </c>
      <c r="B825" s="8" t="s">
        <v>167</v>
      </c>
      <c r="C825" s="8" t="s">
        <v>296</v>
      </c>
      <c r="D825" s="8" t="s">
        <v>1061</v>
      </c>
      <c r="E825" s="9" t="s">
        <v>1245</v>
      </c>
      <c r="F825" s="8" t="s">
        <v>1246</v>
      </c>
      <c r="G825" s="8" t="s">
        <v>1247</v>
      </c>
      <c r="H825" s="11" t="s">
        <v>259</v>
      </c>
      <c r="I825" s="11" t="s">
        <v>260</v>
      </c>
      <c r="J825" s="11" t="s">
        <v>294</v>
      </c>
      <c r="K825" s="8" t="s">
        <v>675</v>
      </c>
      <c r="L825" s="8" t="s">
        <v>676</v>
      </c>
      <c r="M825" s="20">
        <v>45488.0</v>
      </c>
      <c r="N825" s="21">
        <v>644.0</v>
      </c>
      <c r="O825" s="22">
        <v>760.0</v>
      </c>
      <c r="P825" s="7"/>
      <c r="Q825" s="7"/>
      <c r="R825" s="7"/>
      <c r="S825" s="17"/>
    </row>
    <row r="826" ht="13.5" customHeight="1">
      <c r="A826" s="13" t="s">
        <v>1248</v>
      </c>
      <c r="B826" s="8" t="s">
        <v>301</v>
      </c>
      <c r="C826" s="8" t="s">
        <v>296</v>
      </c>
      <c r="D826" s="8" t="s">
        <v>1065</v>
      </c>
      <c r="E826" s="9" t="s">
        <v>1249</v>
      </c>
      <c r="F826" s="8" t="s">
        <v>1250</v>
      </c>
      <c r="G826" s="8" t="s">
        <v>1247</v>
      </c>
      <c r="H826" s="11" t="s">
        <v>259</v>
      </c>
      <c r="I826" s="11" t="s">
        <v>260</v>
      </c>
      <c r="J826" s="11" t="s">
        <v>294</v>
      </c>
      <c r="K826" s="8" t="s">
        <v>675</v>
      </c>
      <c r="L826" s="8" t="s">
        <v>676</v>
      </c>
      <c r="M826" s="20">
        <v>45488.0</v>
      </c>
      <c r="N826" s="21">
        <v>60.0</v>
      </c>
      <c r="O826" s="22">
        <v>50.0</v>
      </c>
      <c r="P826" s="7"/>
      <c r="Q826" s="7"/>
      <c r="R826" s="7"/>
      <c r="S826" s="17"/>
    </row>
    <row r="827" ht="13.5" customHeight="1">
      <c r="A827" s="13" t="s">
        <v>1251</v>
      </c>
      <c r="B827" s="8" t="s">
        <v>167</v>
      </c>
      <c r="C827" s="8" t="s">
        <v>296</v>
      </c>
      <c r="D827" s="8" t="s">
        <v>1061</v>
      </c>
      <c r="E827" s="9" t="s">
        <v>1252</v>
      </c>
      <c r="F827" s="8" t="s">
        <v>1253</v>
      </c>
      <c r="G827" s="8" t="s">
        <v>2520</v>
      </c>
      <c r="H827" s="11" t="s">
        <v>26</v>
      </c>
      <c r="I827" s="11" t="s">
        <v>260</v>
      </c>
      <c r="J827" s="11" t="s">
        <v>294</v>
      </c>
      <c r="K827" s="8" t="s">
        <v>675</v>
      </c>
      <c r="L827" s="8" t="s">
        <v>676</v>
      </c>
      <c r="M827" s="20">
        <v>45488.0</v>
      </c>
      <c r="N827" s="21">
        <v>644.0</v>
      </c>
      <c r="O827" s="22">
        <v>760.0</v>
      </c>
      <c r="P827" s="7"/>
      <c r="Q827" s="7"/>
      <c r="R827" s="7"/>
      <c r="S827" s="17"/>
    </row>
    <row r="828" ht="13.5" customHeight="1">
      <c r="A828" s="13" t="s">
        <v>1254</v>
      </c>
      <c r="B828" s="8" t="s">
        <v>301</v>
      </c>
      <c r="C828" s="8" t="s">
        <v>296</v>
      </c>
      <c r="D828" s="8" t="s">
        <v>2521</v>
      </c>
      <c r="E828" s="9" t="s">
        <v>1255</v>
      </c>
      <c r="F828" s="8" t="s">
        <v>1256</v>
      </c>
      <c r="G828" s="8" t="s">
        <v>2520</v>
      </c>
      <c r="H828" s="11" t="s">
        <v>26</v>
      </c>
      <c r="I828" s="11" t="s">
        <v>260</v>
      </c>
      <c r="J828" s="11" t="s">
        <v>294</v>
      </c>
      <c r="K828" s="8" t="s">
        <v>675</v>
      </c>
      <c r="L828" s="8" t="s">
        <v>676</v>
      </c>
      <c r="M828" s="20">
        <v>45488.0</v>
      </c>
      <c r="N828" s="21">
        <v>60.0</v>
      </c>
      <c r="O828" s="22">
        <v>50.0</v>
      </c>
      <c r="P828" s="7"/>
      <c r="Q828" s="7"/>
      <c r="R828" s="7"/>
      <c r="S828" s="17"/>
    </row>
    <row r="829" ht="13.5" customHeight="1">
      <c r="A829" s="13" t="s">
        <v>1257</v>
      </c>
      <c r="B829" s="8" t="s">
        <v>167</v>
      </c>
      <c r="C829" s="8" t="s">
        <v>296</v>
      </c>
      <c r="D829" s="8" t="s">
        <v>1061</v>
      </c>
      <c r="E829" s="9" t="s">
        <v>1258</v>
      </c>
      <c r="F829" s="8" t="s">
        <v>1259</v>
      </c>
      <c r="G829" s="8" t="s">
        <v>84</v>
      </c>
      <c r="H829" s="11" t="s">
        <v>259</v>
      </c>
      <c r="I829" s="11" t="s">
        <v>260</v>
      </c>
      <c r="J829" s="11" t="s">
        <v>294</v>
      </c>
      <c r="K829" s="8" t="s">
        <v>675</v>
      </c>
      <c r="L829" s="8" t="s">
        <v>676</v>
      </c>
      <c r="M829" s="20">
        <v>45488.0</v>
      </c>
      <c r="N829" s="21">
        <v>644.0</v>
      </c>
      <c r="O829" s="22">
        <v>760.0</v>
      </c>
      <c r="P829" s="7"/>
      <c r="Q829" s="7"/>
      <c r="R829" s="7"/>
      <c r="S829" s="17"/>
    </row>
    <row r="830" ht="13.5" customHeight="1">
      <c r="A830" s="13" t="s">
        <v>1260</v>
      </c>
      <c r="B830" s="8" t="s">
        <v>301</v>
      </c>
      <c r="C830" s="8" t="s">
        <v>296</v>
      </c>
      <c r="D830" s="8" t="s">
        <v>1065</v>
      </c>
      <c r="E830" s="9" t="s">
        <v>1261</v>
      </c>
      <c r="F830" s="8" t="s">
        <v>1262</v>
      </c>
      <c r="G830" s="8" t="s">
        <v>84</v>
      </c>
      <c r="H830" s="11" t="s">
        <v>259</v>
      </c>
      <c r="I830" s="11" t="s">
        <v>260</v>
      </c>
      <c r="J830" s="11" t="s">
        <v>294</v>
      </c>
      <c r="K830" s="8" t="s">
        <v>675</v>
      </c>
      <c r="L830" s="8" t="s">
        <v>676</v>
      </c>
      <c r="M830" s="20">
        <v>45488.0</v>
      </c>
      <c r="N830" s="21">
        <v>60.0</v>
      </c>
      <c r="O830" s="22">
        <v>50.0</v>
      </c>
      <c r="P830" s="7"/>
      <c r="Q830" s="7"/>
      <c r="R830" s="7"/>
      <c r="S830" s="17"/>
    </row>
    <row r="831" ht="13.5" customHeight="1">
      <c r="A831" s="13" t="s">
        <v>1263</v>
      </c>
      <c r="B831" s="8" t="s">
        <v>167</v>
      </c>
      <c r="C831" s="8" t="s">
        <v>296</v>
      </c>
      <c r="D831" s="8" t="s">
        <v>1061</v>
      </c>
      <c r="E831" s="9" t="s">
        <v>1264</v>
      </c>
      <c r="F831" s="8" t="s">
        <v>1265</v>
      </c>
      <c r="G831" s="8" t="s">
        <v>84</v>
      </c>
      <c r="H831" s="11" t="s">
        <v>259</v>
      </c>
      <c r="I831" s="11" t="s">
        <v>260</v>
      </c>
      <c r="J831" s="11" t="s">
        <v>294</v>
      </c>
      <c r="K831" s="8" t="s">
        <v>675</v>
      </c>
      <c r="L831" s="8" t="s">
        <v>676</v>
      </c>
      <c r="M831" s="20">
        <v>45488.0</v>
      </c>
      <c r="N831" s="21">
        <v>644.0</v>
      </c>
      <c r="O831" s="22">
        <v>760.0</v>
      </c>
      <c r="P831" s="7"/>
      <c r="Q831" s="7"/>
      <c r="R831" s="7"/>
      <c r="S831" s="17"/>
    </row>
    <row r="832" ht="13.5" customHeight="1">
      <c r="A832" s="13" t="s">
        <v>1266</v>
      </c>
      <c r="B832" s="8" t="s">
        <v>301</v>
      </c>
      <c r="C832" s="8" t="s">
        <v>296</v>
      </c>
      <c r="D832" s="8" t="s">
        <v>1065</v>
      </c>
      <c r="E832" s="9" t="s">
        <v>1267</v>
      </c>
      <c r="F832" s="8" t="s">
        <v>1268</v>
      </c>
      <c r="G832" s="8" t="s">
        <v>84</v>
      </c>
      <c r="H832" s="11" t="s">
        <v>259</v>
      </c>
      <c r="I832" s="11" t="s">
        <v>260</v>
      </c>
      <c r="J832" s="11" t="s">
        <v>294</v>
      </c>
      <c r="K832" s="8" t="s">
        <v>675</v>
      </c>
      <c r="L832" s="8" t="s">
        <v>676</v>
      </c>
      <c r="M832" s="20">
        <v>45488.0</v>
      </c>
      <c r="N832" s="21">
        <v>60.0</v>
      </c>
      <c r="O832" s="22">
        <v>50.0</v>
      </c>
      <c r="P832" s="7"/>
      <c r="Q832" s="7"/>
      <c r="R832" s="7"/>
      <c r="S832" s="17"/>
    </row>
    <row r="833" ht="13.5" customHeight="1">
      <c r="A833" s="13" t="s">
        <v>1269</v>
      </c>
      <c r="B833" s="8" t="s">
        <v>167</v>
      </c>
      <c r="C833" s="8" t="s">
        <v>296</v>
      </c>
      <c r="D833" s="8" t="s">
        <v>1061</v>
      </c>
      <c r="E833" s="9" t="s">
        <v>1270</v>
      </c>
      <c r="F833" s="8" t="s">
        <v>1271</v>
      </c>
      <c r="G833" s="8" t="s">
        <v>84</v>
      </c>
      <c r="H833" s="11" t="s">
        <v>259</v>
      </c>
      <c r="I833" s="11" t="s">
        <v>260</v>
      </c>
      <c r="J833" s="11" t="s">
        <v>294</v>
      </c>
      <c r="K833" s="8" t="s">
        <v>675</v>
      </c>
      <c r="L833" s="8" t="s">
        <v>676</v>
      </c>
      <c r="M833" s="20">
        <v>45488.0</v>
      </c>
      <c r="N833" s="21">
        <v>644.0</v>
      </c>
      <c r="O833" s="22">
        <v>760.0</v>
      </c>
      <c r="P833" s="7"/>
      <c r="Q833" s="7"/>
      <c r="R833" s="7"/>
      <c r="S833" s="17"/>
    </row>
    <row r="834" ht="13.5" customHeight="1">
      <c r="A834" s="13" t="s">
        <v>1272</v>
      </c>
      <c r="B834" s="8" t="s">
        <v>301</v>
      </c>
      <c r="C834" s="8" t="s">
        <v>296</v>
      </c>
      <c r="D834" s="8" t="s">
        <v>1065</v>
      </c>
      <c r="E834" s="9" t="s">
        <v>1273</v>
      </c>
      <c r="F834" s="8" t="s">
        <v>1274</v>
      </c>
      <c r="G834" s="8" t="s">
        <v>84</v>
      </c>
      <c r="H834" s="11" t="s">
        <v>259</v>
      </c>
      <c r="I834" s="11" t="s">
        <v>260</v>
      </c>
      <c r="J834" s="11" t="s">
        <v>294</v>
      </c>
      <c r="K834" s="8" t="s">
        <v>675</v>
      </c>
      <c r="L834" s="8" t="s">
        <v>676</v>
      </c>
      <c r="M834" s="20">
        <v>45488.0</v>
      </c>
      <c r="N834" s="21">
        <v>60.0</v>
      </c>
      <c r="O834" s="22">
        <v>50.0</v>
      </c>
      <c r="P834" s="7"/>
      <c r="Q834" s="7"/>
      <c r="R834" s="7"/>
      <c r="S834" s="17"/>
    </row>
    <row r="835" ht="13.5" customHeight="1">
      <c r="A835" s="13" t="s">
        <v>1275</v>
      </c>
      <c r="B835" s="8" t="s">
        <v>167</v>
      </c>
      <c r="C835" s="8" t="s">
        <v>296</v>
      </c>
      <c r="D835" s="8" t="s">
        <v>1061</v>
      </c>
      <c r="E835" s="9" t="s">
        <v>1276</v>
      </c>
      <c r="F835" s="8" t="s">
        <v>1277</v>
      </c>
      <c r="G835" s="8" t="s">
        <v>84</v>
      </c>
      <c r="H835" s="11" t="s">
        <v>259</v>
      </c>
      <c r="I835" s="11" t="s">
        <v>260</v>
      </c>
      <c r="J835" s="11" t="s">
        <v>294</v>
      </c>
      <c r="K835" s="8" t="s">
        <v>675</v>
      </c>
      <c r="L835" s="8" t="s">
        <v>676</v>
      </c>
      <c r="M835" s="20">
        <v>45488.0</v>
      </c>
      <c r="N835" s="21">
        <v>644.0</v>
      </c>
      <c r="O835" s="22">
        <v>760.0</v>
      </c>
      <c r="P835" s="7"/>
      <c r="Q835" s="7"/>
      <c r="R835" s="7"/>
      <c r="S835" s="17"/>
    </row>
    <row r="836" ht="13.5" customHeight="1">
      <c r="A836" s="13" t="s">
        <v>1278</v>
      </c>
      <c r="B836" s="8" t="s">
        <v>301</v>
      </c>
      <c r="C836" s="8" t="s">
        <v>296</v>
      </c>
      <c r="D836" s="8" t="s">
        <v>1065</v>
      </c>
      <c r="E836" s="9" t="s">
        <v>1279</v>
      </c>
      <c r="F836" s="8" t="s">
        <v>1280</v>
      </c>
      <c r="G836" s="8" t="s">
        <v>84</v>
      </c>
      <c r="H836" s="11" t="s">
        <v>259</v>
      </c>
      <c r="I836" s="11" t="s">
        <v>260</v>
      </c>
      <c r="J836" s="11" t="s">
        <v>294</v>
      </c>
      <c r="K836" s="8" t="s">
        <v>675</v>
      </c>
      <c r="L836" s="8" t="s">
        <v>676</v>
      </c>
      <c r="M836" s="20">
        <v>45488.0</v>
      </c>
      <c r="N836" s="21">
        <v>60.0</v>
      </c>
      <c r="O836" s="22">
        <v>50.0</v>
      </c>
      <c r="P836" s="7"/>
      <c r="Q836" s="7"/>
      <c r="R836" s="7"/>
      <c r="S836" s="17"/>
    </row>
    <row r="837" ht="13.5" customHeight="1">
      <c r="A837" s="13" t="s">
        <v>1281</v>
      </c>
      <c r="B837" s="8" t="s">
        <v>167</v>
      </c>
      <c r="C837" s="8" t="s">
        <v>296</v>
      </c>
      <c r="D837" s="8" t="s">
        <v>1282</v>
      </c>
      <c r="E837" s="9" t="s">
        <v>1283</v>
      </c>
      <c r="F837" s="8" t="s">
        <v>1284</v>
      </c>
      <c r="G837" s="8" t="s">
        <v>2522</v>
      </c>
      <c r="H837" s="11" t="s">
        <v>670</v>
      </c>
      <c r="I837" s="11" t="s">
        <v>260</v>
      </c>
      <c r="J837" s="11" t="s">
        <v>865</v>
      </c>
      <c r="K837" s="8" t="s">
        <v>675</v>
      </c>
      <c r="L837" s="8" t="s">
        <v>676</v>
      </c>
      <c r="M837" s="20">
        <v>45488.0</v>
      </c>
      <c r="N837" s="21">
        <v>322.0</v>
      </c>
      <c r="O837" s="22">
        <v>380.0</v>
      </c>
      <c r="P837" s="7"/>
      <c r="Q837" s="7"/>
      <c r="R837" s="7"/>
      <c r="S837" s="17"/>
    </row>
    <row r="838" ht="13.5" customHeight="1">
      <c r="A838" s="13" t="s">
        <v>1286</v>
      </c>
      <c r="B838" s="8" t="s">
        <v>301</v>
      </c>
      <c r="C838" s="8" t="s">
        <v>296</v>
      </c>
      <c r="D838" s="8" t="s">
        <v>1287</v>
      </c>
      <c r="E838" s="9" t="s">
        <v>1288</v>
      </c>
      <c r="F838" s="8" t="s">
        <v>1289</v>
      </c>
      <c r="G838" s="8" t="s">
        <v>2522</v>
      </c>
      <c r="H838" s="11" t="s">
        <v>670</v>
      </c>
      <c r="I838" s="11" t="s">
        <v>260</v>
      </c>
      <c r="J838" s="11" t="s">
        <v>865</v>
      </c>
      <c r="K838" s="8" t="s">
        <v>675</v>
      </c>
      <c r="L838" s="8" t="s">
        <v>676</v>
      </c>
      <c r="M838" s="20">
        <v>45488.0</v>
      </c>
      <c r="N838" s="21">
        <v>50.0</v>
      </c>
      <c r="O838" s="22">
        <v>50.0</v>
      </c>
      <c r="P838" s="7"/>
      <c r="Q838" s="7"/>
      <c r="R838" s="7"/>
      <c r="S838" s="17"/>
    </row>
    <row r="839" ht="13.5" customHeight="1">
      <c r="A839" s="13" t="s">
        <v>1290</v>
      </c>
      <c r="B839" s="8" t="s">
        <v>167</v>
      </c>
      <c r="C839" s="8" t="s">
        <v>296</v>
      </c>
      <c r="D839" s="8" t="s">
        <v>1282</v>
      </c>
      <c r="E839" s="9" t="s">
        <v>1291</v>
      </c>
      <c r="F839" s="8" t="s">
        <v>1292</v>
      </c>
      <c r="G839" s="8" t="s">
        <v>2523</v>
      </c>
      <c r="H839" s="11" t="s">
        <v>670</v>
      </c>
      <c r="I839" s="11" t="s">
        <v>27</v>
      </c>
      <c r="J839" s="11" t="s">
        <v>1294</v>
      </c>
      <c r="K839" s="8" t="s">
        <v>675</v>
      </c>
      <c r="L839" s="8" t="s">
        <v>676</v>
      </c>
      <c r="M839" s="20">
        <v>45488.0</v>
      </c>
      <c r="N839" s="21">
        <v>322.0</v>
      </c>
      <c r="O839" s="22">
        <v>380.0</v>
      </c>
      <c r="P839" s="7"/>
      <c r="Q839" s="7"/>
      <c r="R839" s="7"/>
      <c r="S839" s="17"/>
    </row>
    <row r="840" ht="13.5" customHeight="1">
      <c r="A840" s="13" t="s">
        <v>1295</v>
      </c>
      <c r="B840" s="8" t="s">
        <v>301</v>
      </c>
      <c r="C840" s="8" t="s">
        <v>296</v>
      </c>
      <c r="D840" s="8" t="s">
        <v>1287</v>
      </c>
      <c r="E840" s="9" t="s">
        <v>1296</v>
      </c>
      <c r="F840" s="8" t="s">
        <v>1297</v>
      </c>
      <c r="G840" s="8" t="s">
        <v>2523</v>
      </c>
      <c r="H840" s="11" t="s">
        <v>670</v>
      </c>
      <c r="I840" s="11" t="s">
        <v>27</v>
      </c>
      <c r="J840" s="11" t="s">
        <v>1294</v>
      </c>
      <c r="K840" s="8" t="s">
        <v>675</v>
      </c>
      <c r="L840" s="8" t="s">
        <v>676</v>
      </c>
      <c r="M840" s="20">
        <v>45488.0</v>
      </c>
      <c r="N840" s="21">
        <v>50.0</v>
      </c>
      <c r="O840" s="22">
        <v>50.0</v>
      </c>
      <c r="P840" s="7"/>
      <c r="Q840" s="7"/>
      <c r="R840" s="7"/>
      <c r="S840" s="17"/>
    </row>
    <row r="841" ht="13.5" customHeight="1">
      <c r="A841" s="13" t="s">
        <v>1298</v>
      </c>
      <c r="B841" s="8" t="s">
        <v>167</v>
      </c>
      <c r="C841" s="8" t="s">
        <v>296</v>
      </c>
      <c r="D841" s="8" t="s">
        <v>1282</v>
      </c>
      <c r="E841" s="9" t="s">
        <v>1299</v>
      </c>
      <c r="F841" s="8" t="s">
        <v>1300</v>
      </c>
      <c r="G841" s="8" t="s">
        <v>1301</v>
      </c>
      <c r="H841" s="11" t="s">
        <v>670</v>
      </c>
      <c r="I841" s="11" t="s">
        <v>260</v>
      </c>
      <c r="J841" s="11" t="s">
        <v>1302</v>
      </c>
      <c r="K841" s="8" t="s">
        <v>675</v>
      </c>
      <c r="L841" s="8" t="s">
        <v>676</v>
      </c>
      <c r="M841" s="20">
        <v>45488.0</v>
      </c>
      <c r="N841" s="21">
        <v>322.0</v>
      </c>
      <c r="O841" s="22">
        <v>380.0</v>
      </c>
      <c r="P841" s="7"/>
      <c r="Q841" s="7"/>
      <c r="R841" s="7"/>
      <c r="S841" s="17"/>
    </row>
    <row r="842" ht="13.5" customHeight="1">
      <c r="A842" s="13" t="s">
        <v>1303</v>
      </c>
      <c r="B842" s="8" t="s">
        <v>301</v>
      </c>
      <c r="C842" s="8" t="s">
        <v>296</v>
      </c>
      <c r="D842" s="8" t="s">
        <v>1287</v>
      </c>
      <c r="E842" s="9" t="s">
        <v>1304</v>
      </c>
      <c r="F842" s="8" t="s">
        <v>1305</v>
      </c>
      <c r="G842" s="8" t="s">
        <v>1301</v>
      </c>
      <c r="H842" s="11" t="s">
        <v>670</v>
      </c>
      <c r="I842" s="11" t="s">
        <v>260</v>
      </c>
      <c r="J842" s="11" t="s">
        <v>1302</v>
      </c>
      <c r="K842" s="8" t="s">
        <v>675</v>
      </c>
      <c r="L842" s="8" t="s">
        <v>676</v>
      </c>
      <c r="M842" s="20">
        <v>45488.0</v>
      </c>
      <c r="N842" s="21">
        <v>50.0</v>
      </c>
      <c r="O842" s="22">
        <v>50.0</v>
      </c>
      <c r="P842" s="7"/>
      <c r="Q842" s="7"/>
      <c r="R842" s="7"/>
      <c r="S842" s="17"/>
    </row>
    <row r="843" ht="13.5" customHeight="1">
      <c r="A843" s="13" t="s">
        <v>1306</v>
      </c>
      <c r="B843" s="8" t="s">
        <v>167</v>
      </c>
      <c r="C843" s="8" t="s">
        <v>296</v>
      </c>
      <c r="D843" s="8" t="s">
        <v>1282</v>
      </c>
      <c r="E843" s="9" t="s">
        <v>1307</v>
      </c>
      <c r="F843" s="8" t="s">
        <v>1308</v>
      </c>
      <c r="G843" s="8" t="s">
        <v>2358</v>
      </c>
      <c r="H843" s="11" t="s">
        <v>670</v>
      </c>
      <c r="I843" s="11" t="s">
        <v>91</v>
      </c>
      <c r="J843" s="11" t="s">
        <v>490</v>
      </c>
      <c r="K843" s="8" t="s">
        <v>675</v>
      </c>
      <c r="L843" s="8" t="s">
        <v>676</v>
      </c>
      <c r="M843" s="20">
        <v>45488.0</v>
      </c>
      <c r="N843" s="21">
        <v>322.0</v>
      </c>
      <c r="O843" s="22">
        <v>380.0</v>
      </c>
      <c r="P843" s="7"/>
      <c r="Q843" s="7"/>
      <c r="R843" s="7"/>
      <c r="S843" s="17"/>
    </row>
    <row r="844" ht="13.5" customHeight="1">
      <c r="A844" s="13" t="s">
        <v>1310</v>
      </c>
      <c r="B844" s="8" t="s">
        <v>301</v>
      </c>
      <c r="C844" s="8" t="s">
        <v>296</v>
      </c>
      <c r="D844" s="8" t="s">
        <v>1287</v>
      </c>
      <c r="E844" s="9" t="s">
        <v>1311</v>
      </c>
      <c r="F844" s="8" t="s">
        <v>1312</v>
      </c>
      <c r="G844" s="8" t="s">
        <v>2358</v>
      </c>
      <c r="H844" s="11" t="s">
        <v>670</v>
      </c>
      <c r="I844" s="11" t="s">
        <v>91</v>
      </c>
      <c r="J844" s="11" t="s">
        <v>490</v>
      </c>
      <c r="K844" s="8" t="s">
        <v>675</v>
      </c>
      <c r="L844" s="8" t="s">
        <v>676</v>
      </c>
      <c r="M844" s="20">
        <v>45488.0</v>
      </c>
      <c r="N844" s="21">
        <v>50.0</v>
      </c>
      <c r="O844" s="22">
        <v>50.0</v>
      </c>
      <c r="P844" s="7"/>
      <c r="Q844" s="7"/>
      <c r="R844" s="7"/>
      <c r="S844" s="17"/>
    </row>
    <row r="845" ht="13.5" customHeight="1">
      <c r="A845" s="13" t="s">
        <v>1313</v>
      </c>
      <c r="B845" s="8" t="s">
        <v>167</v>
      </c>
      <c r="C845" s="8" t="s">
        <v>296</v>
      </c>
      <c r="D845" s="8" t="s">
        <v>1282</v>
      </c>
      <c r="E845" s="9" t="s">
        <v>1314</v>
      </c>
      <c r="F845" s="8" t="s">
        <v>1315</v>
      </c>
      <c r="G845" s="8" t="s">
        <v>690</v>
      </c>
      <c r="H845" s="11" t="s">
        <v>670</v>
      </c>
      <c r="I845" s="11" t="s">
        <v>27</v>
      </c>
      <c r="J845" s="11" t="s">
        <v>691</v>
      </c>
      <c r="K845" s="8" t="s">
        <v>675</v>
      </c>
      <c r="L845" s="8" t="s">
        <v>676</v>
      </c>
      <c r="M845" s="20">
        <v>45488.0</v>
      </c>
      <c r="N845" s="21">
        <v>322.0</v>
      </c>
      <c r="O845" s="22">
        <v>380.0</v>
      </c>
      <c r="P845" s="7"/>
      <c r="Q845" s="7"/>
      <c r="R845" s="7"/>
      <c r="S845" s="17"/>
    </row>
    <row r="846" ht="13.5" customHeight="1">
      <c r="A846" s="13" t="s">
        <v>1316</v>
      </c>
      <c r="B846" s="8" t="s">
        <v>301</v>
      </c>
      <c r="C846" s="8" t="s">
        <v>296</v>
      </c>
      <c r="D846" s="8" t="s">
        <v>1287</v>
      </c>
      <c r="E846" s="9" t="s">
        <v>1317</v>
      </c>
      <c r="F846" s="8" t="s">
        <v>1318</v>
      </c>
      <c r="G846" s="8" t="s">
        <v>690</v>
      </c>
      <c r="H846" s="11" t="s">
        <v>670</v>
      </c>
      <c r="I846" s="11" t="s">
        <v>27</v>
      </c>
      <c r="J846" s="11" t="s">
        <v>691</v>
      </c>
      <c r="K846" s="8" t="s">
        <v>675</v>
      </c>
      <c r="L846" s="8" t="s">
        <v>676</v>
      </c>
      <c r="M846" s="20">
        <v>45488.0</v>
      </c>
      <c r="N846" s="21">
        <v>50.0</v>
      </c>
      <c r="O846" s="22">
        <v>50.0</v>
      </c>
      <c r="P846" s="7"/>
      <c r="Q846" s="7"/>
      <c r="R846" s="7"/>
      <c r="S846" s="17"/>
    </row>
    <row r="847" ht="13.5" customHeight="1">
      <c r="A847" s="13" t="s">
        <v>1319</v>
      </c>
      <c r="B847" s="8" t="s">
        <v>167</v>
      </c>
      <c r="C847" s="8" t="s">
        <v>296</v>
      </c>
      <c r="D847" s="8" t="s">
        <v>1282</v>
      </c>
      <c r="E847" s="9" t="s">
        <v>1320</v>
      </c>
      <c r="F847" s="8" t="s">
        <v>1321</v>
      </c>
      <c r="G847" s="8" t="s">
        <v>1322</v>
      </c>
      <c r="H847" s="11" t="s">
        <v>670</v>
      </c>
      <c r="I847" s="11" t="s">
        <v>260</v>
      </c>
      <c r="J847" s="11" t="s">
        <v>294</v>
      </c>
      <c r="K847" s="8" t="s">
        <v>675</v>
      </c>
      <c r="L847" s="8" t="s">
        <v>676</v>
      </c>
      <c r="M847" s="20">
        <v>45488.0</v>
      </c>
      <c r="N847" s="21">
        <v>322.0</v>
      </c>
      <c r="O847" s="22">
        <v>380.0</v>
      </c>
      <c r="P847" s="7"/>
      <c r="Q847" s="7"/>
      <c r="R847" s="7"/>
      <c r="S847" s="17"/>
    </row>
    <row r="848" ht="13.5" customHeight="1">
      <c r="A848" s="13" t="s">
        <v>1323</v>
      </c>
      <c r="B848" s="8" t="s">
        <v>301</v>
      </c>
      <c r="C848" s="8" t="s">
        <v>296</v>
      </c>
      <c r="D848" s="8" t="s">
        <v>1324</v>
      </c>
      <c r="E848" s="9" t="s">
        <v>1325</v>
      </c>
      <c r="F848" s="8" t="s">
        <v>1326</v>
      </c>
      <c r="G848" s="8" t="s">
        <v>1322</v>
      </c>
      <c r="H848" s="11" t="s">
        <v>670</v>
      </c>
      <c r="I848" s="11" t="s">
        <v>260</v>
      </c>
      <c r="J848" s="11" t="s">
        <v>294</v>
      </c>
      <c r="K848" s="8" t="s">
        <v>675</v>
      </c>
      <c r="L848" s="8" t="s">
        <v>676</v>
      </c>
      <c r="M848" s="20">
        <v>45488.0</v>
      </c>
      <c r="N848" s="21">
        <v>50.0</v>
      </c>
      <c r="O848" s="22">
        <v>50.0</v>
      </c>
      <c r="P848" s="7"/>
      <c r="Q848" s="7"/>
      <c r="R848" s="7"/>
      <c r="S848" s="17"/>
    </row>
    <row r="849" ht="13.5" customHeight="1">
      <c r="A849" s="13" t="s">
        <v>1327</v>
      </c>
      <c r="B849" s="8" t="s">
        <v>167</v>
      </c>
      <c r="C849" s="8" t="s">
        <v>296</v>
      </c>
      <c r="D849" s="8" t="s">
        <v>1282</v>
      </c>
      <c r="E849" s="9" t="s">
        <v>1328</v>
      </c>
      <c r="F849" s="8" t="s">
        <v>1329</v>
      </c>
      <c r="G849" s="8" t="s">
        <v>2362</v>
      </c>
      <c r="H849" s="11" t="s">
        <v>670</v>
      </c>
      <c r="I849" s="11" t="s">
        <v>260</v>
      </c>
      <c r="J849" s="11" t="s">
        <v>294</v>
      </c>
      <c r="K849" s="8" t="s">
        <v>675</v>
      </c>
      <c r="L849" s="8" t="s">
        <v>676</v>
      </c>
      <c r="M849" s="20">
        <v>45488.0</v>
      </c>
      <c r="N849" s="21">
        <v>322.0</v>
      </c>
      <c r="O849" s="22">
        <v>380.0</v>
      </c>
      <c r="P849" s="7"/>
      <c r="Q849" s="7"/>
      <c r="R849" s="7"/>
      <c r="S849" s="17"/>
    </row>
    <row r="850" ht="13.5" customHeight="1">
      <c r="A850" s="13" t="s">
        <v>1331</v>
      </c>
      <c r="B850" s="8" t="s">
        <v>301</v>
      </c>
      <c r="C850" s="8" t="s">
        <v>296</v>
      </c>
      <c r="D850" s="8" t="s">
        <v>1287</v>
      </c>
      <c r="E850" s="9" t="s">
        <v>1332</v>
      </c>
      <c r="F850" s="8" t="s">
        <v>1333</v>
      </c>
      <c r="G850" s="8" t="s">
        <v>2362</v>
      </c>
      <c r="H850" s="11" t="s">
        <v>670</v>
      </c>
      <c r="I850" s="11" t="s">
        <v>260</v>
      </c>
      <c r="J850" s="11" t="s">
        <v>294</v>
      </c>
      <c r="K850" s="8" t="s">
        <v>675</v>
      </c>
      <c r="L850" s="8" t="s">
        <v>676</v>
      </c>
      <c r="M850" s="20">
        <v>45488.0</v>
      </c>
      <c r="N850" s="21">
        <v>50.0</v>
      </c>
      <c r="O850" s="22">
        <v>50.0</v>
      </c>
      <c r="P850" s="7"/>
      <c r="Q850" s="7"/>
      <c r="R850" s="7"/>
      <c r="S850" s="17"/>
    </row>
    <row r="851" ht="13.5" customHeight="1">
      <c r="A851" s="13" t="s">
        <v>1334</v>
      </c>
      <c r="B851" s="8" t="s">
        <v>167</v>
      </c>
      <c r="C851" s="8" t="s">
        <v>296</v>
      </c>
      <c r="D851" s="8" t="s">
        <v>1282</v>
      </c>
      <c r="E851" s="9" t="s">
        <v>1335</v>
      </c>
      <c r="F851" s="8" t="s">
        <v>1336</v>
      </c>
      <c r="G851" s="8" t="s">
        <v>749</v>
      </c>
      <c r="H851" s="11" t="s">
        <v>670</v>
      </c>
      <c r="I851" s="11" t="s">
        <v>260</v>
      </c>
      <c r="J851" s="11" t="s">
        <v>294</v>
      </c>
      <c r="K851" s="8" t="s">
        <v>675</v>
      </c>
      <c r="L851" s="8" t="s">
        <v>676</v>
      </c>
      <c r="M851" s="20">
        <v>45488.0</v>
      </c>
      <c r="N851" s="21">
        <v>322.0</v>
      </c>
      <c r="O851" s="22">
        <v>380.0</v>
      </c>
      <c r="P851" s="7"/>
      <c r="Q851" s="7"/>
      <c r="R851" s="7"/>
      <c r="S851" s="17"/>
    </row>
    <row r="852" ht="13.5" customHeight="1">
      <c r="A852" s="13" t="s">
        <v>1337</v>
      </c>
      <c r="B852" s="8" t="s">
        <v>301</v>
      </c>
      <c r="C852" s="8" t="s">
        <v>296</v>
      </c>
      <c r="D852" s="8" t="s">
        <v>1287</v>
      </c>
      <c r="E852" s="9" t="s">
        <v>1338</v>
      </c>
      <c r="F852" s="8" t="s">
        <v>1339</v>
      </c>
      <c r="G852" s="8" t="s">
        <v>749</v>
      </c>
      <c r="H852" s="11" t="s">
        <v>670</v>
      </c>
      <c r="I852" s="11" t="s">
        <v>260</v>
      </c>
      <c r="J852" s="11" t="s">
        <v>294</v>
      </c>
      <c r="K852" s="8" t="s">
        <v>675</v>
      </c>
      <c r="L852" s="8" t="s">
        <v>676</v>
      </c>
      <c r="M852" s="20">
        <v>45488.0</v>
      </c>
      <c r="N852" s="21">
        <v>50.0</v>
      </c>
      <c r="O852" s="22">
        <v>50.0</v>
      </c>
      <c r="P852" s="7"/>
      <c r="Q852" s="7"/>
      <c r="R852" s="7"/>
      <c r="S852" s="17"/>
    </row>
    <row r="853" ht="13.5" customHeight="1">
      <c r="A853" s="13" t="s">
        <v>1340</v>
      </c>
      <c r="B853" s="8" t="s">
        <v>167</v>
      </c>
      <c r="C853" s="8" t="s">
        <v>296</v>
      </c>
      <c r="D853" s="8" t="s">
        <v>1282</v>
      </c>
      <c r="E853" s="9" t="s">
        <v>1341</v>
      </c>
      <c r="F853" s="8" t="s">
        <v>1342</v>
      </c>
      <c r="G853" s="8" t="s">
        <v>1343</v>
      </c>
      <c r="H853" s="11" t="s">
        <v>670</v>
      </c>
      <c r="I853" s="11" t="s">
        <v>27</v>
      </c>
      <c r="J853" s="11" t="s">
        <v>1344</v>
      </c>
      <c r="K853" s="8" t="s">
        <v>675</v>
      </c>
      <c r="L853" s="8" t="s">
        <v>676</v>
      </c>
      <c r="M853" s="20">
        <v>45488.0</v>
      </c>
      <c r="N853" s="21">
        <v>322.0</v>
      </c>
      <c r="O853" s="22">
        <v>380.0</v>
      </c>
      <c r="P853" s="7"/>
      <c r="Q853" s="7"/>
      <c r="R853" s="7"/>
      <c r="S853" s="17"/>
    </row>
    <row r="854" ht="13.5" customHeight="1">
      <c r="A854" s="13" t="s">
        <v>1345</v>
      </c>
      <c r="B854" s="8" t="s">
        <v>301</v>
      </c>
      <c r="C854" s="8" t="s">
        <v>296</v>
      </c>
      <c r="D854" s="8" t="s">
        <v>1287</v>
      </c>
      <c r="E854" s="9" t="s">
        <v>1346</v>
      </c>
      <c r="F854" s="8" t="s">
        <v>1347</v>
      </c>
      <c r="G854" s="8" t="s">
        <v>1343</v>
      </c>
      <c r="H854" s="11" t="s">
        <v>670</v>
      </c>
      <c r="I854" s="11" t="s">
        <v>27</v>
      </c>
      <c r="J854" s="11" t="s">
        <v>1344</v>
      </c>
      <c r="K854" s="8" t="s">
        <v>675</v>
      </c>
      <c r="L854" s="8" t="s">
        <v>676</v>
      </c>
      <c r="M854" s="20">
        <v>45488.0</v>
      </c>
      <c r="N854" s="21">
        <v>50.0</v>
      </c>
      <c r="O854" s="22">
        <v>50.0</v>
      </c>
      <c r="P854" s="7"/>
      <c r="Q854" s="7"/>
      <c r="R854" s="7"/>
      <c r="S854" s="17"/>
    </row>
    <row r="855" ht="13.5" customHeight="1">
      <c r="A855" s="13" t="s">
        <v>1348</v>
      </c>
      <c r="B855" s="8" t="s">
        <v>167</v>
      </c>
      <c r="C855" s="8" t="s">
        <v>296</v>
      </c>
      <c r="D855" s="8" t="s">
        <v>1282</v>
      </c>
      <c r="E855" s="9" t="s">
        <v>1349</v>
      </c>
      <c r="F855" s="8" t="s">
        <v>1350</v>
      </c>
      <c r="G855" s="8" t="s">
        <v>1351</v>
      </c>
      <c r="H855" s="11" t="s">
        <v>670</v>
      </c>
      <c r="I855" s="11" t="s">
        <v>260</v>
      </c>
      <c r="J855" s="11" t="s">
        <v>1302</v>
      </c>
      <c r="K855" s="8" t="s">
        <v>675</v>
      </c>
      <c r="L855" s="8" t="s">
        <v>676</v>
      </c>
      <c r="M855" s="20">
        <v>45488.0</v>
      </c>
      <c r="N855" s="21">
        <v>322.0</v>
      </c>
      <c r="O855" s="22">
        <v>380.0</v>
      </c>
      <c r="P855" s="7"/>
      <c r="Q855" s="7"/>
      <c r="R855" s="7"/>
      <c r="S855" s="17"/>
    </row>
    <row r="856" ht="13.5" customHeight="1">
      <c r="A856" s="13" t="s">
        <v>1352</v>
      </c>
      <c r="B856" s="8" t="s">
        <v>301</v>
      </c>
      <c r="C856" s="8" t="s">
        <v>296</v>
      </c>
      <c r="D856" s="8" t="s">
        <v>1287</v>
      </c>
      <c r="E856" s="9" t="s">
        <v>1353</v>
      </c>
      <c r="F856" s="8" t="s">
        <v>1354</v>
      </c>
      <c r="G856" s="8" t="s">
        <v>1351</v>
      </c>
      <c r="H856" s="11" t="s">
        <v>670</v>
      </c>
      <c r="I856" s="11" t="s">
        <v>260</v>
      </c>
      <c r="J856" s="11" t="s">
        <v>1302</v>
      </c>
      <c r="K856" s="8" t="s">
        <v>675</v>
      </c>
      <c r="L856" s="8" t="s">
        <v>676</v>
      </c>
      <c r="M856" s="20">
        <v>45488.0</v>
      </c>
      <c r="N856" s="21">
        <v>50.0</v>
      </c>
      <c r="O856" s="22">
        <v>50.0</v>
      </c>
      <c r="P856" s="7"/>
      <c r="Q856" s="7"/>
      <c r="R856" s="7"/>
      <c r="S856" s="17"/>
    </row>
    <row r="857" ht="13.5" customHeight="1">
      <c r="A857" s="13" t="s">
        <v>1355</v>
      </c>
      <c r="B857" s="8" t="s">
        <v>167</v>
      </c>
      <c r="C857" s="8" t="s">
        <v>296</v>
      </c>
      <c r="D857" s="8" t="s">
        <v>1282</v>
      </c>
      <c r="E857" s="9" t="s">
        <v>1356</v>
      </c>
      <c r="F857" s="8" t="s">
        <v>1357</v>
      </c>
      <c r="G857" s="8" t="s">
        <v>756</v>
      </c>
      <c r="H857" s="11" t="s">
        <v>670</v>
      </c>
      <c r="I857" s="11" t="s">
        <v>27</v>
      </c>
      <c r="J857" s="11" t="s">
        <v>684</v>
      </c>
      <c r="K857" s="8" t="s">
        <v>675</v>
      </c>
      <c r="L857" s="8" t="s">
        <v>676</v>
      </c>
      <c r="M857" s="20">
        <v>45488.0</v>
      </c>
      <c r="N857" s="21">
        <v>322.0</v>
      </c>
      <c r="O857" s="22">
        <v>380.0</v>
      </c>
      <c r="P857" s="7"/>
      <c r="Q857" s="7"/>
      <c r="R857" s="7"/>
      <c r="S857" s="17"/>
    </row>
    <row r="858" ht="13.5" customHeight="1">
      <c r="A858" s="13" t="s">
        <v>1358</v>
      </c>
      <c r="B858" s="8" t="s">
        <v>301</v>
      </c>
      <c r="C858" s="8" t="s">
        <v>296</v>
      </c>
      <c r="D858" s="8" t="s">
        <v>1287</v>
      </c>
      <c r="E858" s="9" t="s">
        <v>1359</v>
      </c>
      <c r="F858" s="8" t="s">
        <v>1360</v>
      </c>
      <c r="G858" s="8" t="s">
        <v>756</v>
      </c>
      <c r="H858" s="11" t="s">
        <v>670</v>
      </c>
      <c r="I858" s="11" t="s">
        <v>27</v>
      </c>
      <c r="J858" s="11" t="s">
        <v>684</v>
      </c>
      <c r="K858" s="8" t="s">
        <v>675</v>
      </c>
      <c r="L858" s="8" t="s">
        <v>676</v>
      </c>
      <c r="M858" s="20">
        <v>45488.0</v>
      </c>
      <c r="N858" s="21">
        <v>50.0</v>
      </c>
      <c r="O858" s="22">
        <v>50.0</v>
      </c>
      <c r="P858" s="7"/>
      <c r="Q858" s="7"/>
      <c r="R858" s="7"/>
      <c r="S858" s="17"/>
    </row>
    <row r="859" ht="13.5" customHeight="1">
      <c r="A859" s="13" t="s">
        <v>1361</v>
      </c>
      <c r="B859" s="8" t="s">
        <v>167</v>
      </c>
      <c r="C859" s="8" t="s">
        <v>296</v>
      </c>
      <c r="D859" s="8" t="s">
        <v>1282</v>
      </c>
      <c r="E859" s="9" t="s">
        <v>1362</v>
      </c>
      <c r="F859" s="8" t="s">
        <v>1363</v>
      </c>
      <c r="G859" s="8" t="s">
        <v>762</v>
      </c>
      <c r="H859" s="11" t="s">
        <v>670</v>
      </c>
      <c r="I859" s="11" t="s">
        <v>27</v>
      </c>
      <c r="J859" s="11" t="s">
        <v>684</v>
      </c>
      <c r="K859" s="8" t="s">
        <v>675</v>
      </c>
      <c r="L859" s="8" t="s">
        <v>676</v>
      </c>
      <c r="M859" s="20">
        <v>45488.0</v>
      </c>
      <c r="N859" s="21">
        <v>322.0</v>
      </c>
      <c r="O859" s="22">
        <v>380.0</v>
      </c>
      <c r="P859" s="7"/>
      <c r="Q859" s="7"/>
      <c r="R859" s="7"/>
      <c r="S859" s="20">
        <v>45516.0</v>
      </c>
    </row>
    <row r="860" ht="13.5" customHeight="1">
      <c r="A860" s="13" t="s">
        <v>1364</v>
      </c>
      <c r="B860" s="8" t="s">
        <v>301</v>
      </c>
      <c r="C860" s="8" t="s">
        <v>296</v>
      </c>
      <c r="D860" s="8" t="s">
        <v>1287</v>
      </c>
      <c r="E860" s="9" t="s">
        <v>1365</v>
      </c>
      <c r="F860" s="8" t="s">
        <v>1366</v>
      </c>
      <c r="G860" s="8" t="s">
        <v>762</v>
      </c>
      <c r="H860" s="11" t="s">
        <v>670</v>
      </c>
      <c r="I860" s="11" t="s">
        <v>27</v>
      </c>
      <c r="J860" s="11" t="s">
        <v>684</v>
      </c>
      <c r="K860" s="8" t="s">
        <v>675</v>
      </c>
      <c r="L860" s="8" t="s">
        <v>676</v>
      </c>
      <c r="M860" s="20">
        <v>45488.0</v>
      </c>
      <c r="N860" s="21">
        <v>50.0</v>
      </c>
      <c r="O860" s="22">
        <v>50.0</v>
      </c>
      <c r="P860" s="7"/>
      <c r="Q860" s="7"/>
      <c r="R860" s="7"/>
      <c r="S860" s="20">
        <v>45516.0</v>
      </c>
    </row>
    <row r="861" ht="13.5" customHeight="1">
      <c r="A861" s="13" t="s">
        <v>1367</v>
      </c>
      <c r="B861" s="8" t="s">
        <v>167</v>
      </c>
      <c r="C861" s="8" t="s">
        <v>296</v>
      </c>
      <c r="D861" s="8" t="s">
        <v>1282</v>
      </c>
      <c r="E861" s="9" t="s">
        <v>1368</v>
      </c>
      <c r="F861" s="8" t="s">
        <v>1369</v>
      </c>
      <c r="G861" s="8" t="s">
        <v>735</v>
      </c>
      <c r="H861" s="11" t="s">
        <v>670</v>
      </c>
      <c r="I861" s="11" t="s">
        <v>260</v>
      </c>
      <c r="J861" s="11" t="s">
        <v>555</v>
      </c>
      <c r="K861" s="8" t="s">
        <v>675</v>
      </c>
      <c r="L861" s="8" t="s">
        <v>676</v>
      </c>
      <c r="M861" s="20">
        <v>45488.0</v>
      </c>
      <c r="N861" s="21">
        <v>322.0</v>
      </c>
      <c r="O861" s="22">
        <v>380.0</v>
      </c>
      <c r="P861" s="7"/>
      <c r="Q861" s="7"/>
      <c r="R861" s="7"/>
      <c r="S861" s="17"/>
    </row>
    <row r="862" ht="13.5" customHeight="1">
      <c r="A862" s="13" t="s">
        <v>1370</v>
      </c>
      <c r="B862" s="8" t="s">
        <v>301</v>
      </c>
      <c r="C862" s="8" t="s">
        <v>296</v>
      </c>
      <c r="D862" s="8" t="s">
        <v>1287</v>
      </c>
      <c r="E862" s="9" t="s">
        <v>1371</v>
      </c>
      <c r="F862" s="8" t="s">
        <v>1372</v>
      </c>
      <c r="G862" s="8" t="s">
        <v>735</v>
      </c>
      <c r="H862" s="11" t="s">
        <v>670</v>
      </c>
      <c r="I862" s="11" t="s">
        <v>260</v>
      </c>
      <c r="J862" s="11" t="s">
        <v>555</v>
      </c>
      <c r="K862" s="8" t="s">
        <v>675</v>
      </c>
      <c r="L862" s="8" t="s">
        <v>676</v>
      </c>
      <c r="M862" s="20">
        <v>45488.0</v>
      </c>
      <c r="N862" s="21">
        <v>50.0</v>
      </c>
      <c r="O862" s="22">
        <v>50.0</v>
      </c>
      <c r="P862" s="7"/>
      <c r="Q862" s="7"/>
      <c r="R862" s="7"/>
      <c r="S862" s="17"/>
    </row>
    <row r="863" ht="13.5" customHeight="1">
      <c r="A863" s="13" t="s">
        <v>1373</v>
      </c>
      <c r="B863" s="8" t="s">
        <v>167</v>
      </c>
      <c r="C863" s="8" t="s">
        <v>296</v>
      </c>
      <c r="D863" s="8" t="s">
        <v>1282</v>
      </c>
      <c r="E863" s="9" t="s">
        <v>1374</v>
      </c>
      <c r="F863" s="8" t="s">
        <v>1375</v>
      </c>
      <c r="G863" s="8" t="s">
        <v>1376</v>
      </c>
      <c r="H863" s="11" t="s">
        <v>670</v>
      </c>
      <c r="I863" s="11" t="s">
        <v>27</v>
      </c>
      <c r="J863" s="11" t="s">
        <v>865</v>
      </c>
      <c r="K863" s="8" t="s">
        <v>675</v>
      </c>
      <c r="L863" s="8" t="s">
        <v>676</v>
      </c>
      <c r="M863" s="20">
        <v>45488.0</v>
      </c>
      <c r="N863" s="21">
        <v>322.0</v>
      </c>
      <c r="O863" s="22">
        <v>380.0</v>
      </c>
      <c r="P863" s="7"/>
      <c r="Q863" s="7"/>
      <c r="R863" s="7"/>
      <c r="S863" s="17"/>
    </row>
    <row r="864" ht="13.5" customHeight="1">
      <c r="A864" s="13" t="s">
        <v>1377</v>
      </c>
      <c r="B864" s="8" t="s">
        <v>301</v>
      </c>
      <c r="C864" s="8" t="s">
        <v>296</v>
      </c>
      <c r="D864" s="8" t="s">
        <v>1287</v>
      </c>
      <c r="E864" s="9" t="s">
        <v>1378</v>
      </c>
      <c r="F864" s="8" t="s">
        <v>1379</v>
      </c>
      <c r="G864" s="8" t="s">
        <v>864</v>
      </c>
      <c r="H864" s="11" t="s">
        <v>670</v>
      </c>
      <c r="I864" s="11" t="s">
        <v>27</v>
      </c>
      <c r="J864" s="11" t="s">
        <v>865</v>
      </c>
      <c r="K864" s="8" t="s">
        <v>675</v>
      </c>
      <c r="L864" s="8" t="s">
        <v>676</v>
      </c>
      <c r="M864" s="20">
        <v>45488.0</v>
      </c>
      <c r="N864" s="21">
        <v>50.0</v>
      </c>
      <c r="O864" s="22">
        <v>50.0</v>
      </c>
      <c r="P864" s="7"/>
      <c r="Q864" s="7"/>
      <c r="R864" s="7"/>
      <c r="S864" s="17"/>
    </row>
    <row r="865" ht="13.5" customHeight="1">
      <c r="A865" s="75" t="s">
        <v>1380</v>
      </c>
      <c r="B865" s="76" t="s">
        <v>167</v>
      </c>
      <c r="C865" s="76" t="s">
        <v>296</v>
      </c>
      <c r="D865" s="76" t="s">
        <v>1282</v>
      </c>
      <c r="E865" s="77" t="s">
        <v>1381</v>
      </c>
      <c r="F865" s="76" t="s">
        <v>1382</v>
      </c>
      <c r="G865" s="76" t="s">
        <v>956</v>
      </c>
      <c r="H865" s="78" t="s">
        <v>670</v>
      </c>
      <c r="I865" s="78" t="s">
        <v>27</v>
      </c>
      <c r="J865" s="79" t="s">
        <v>1344</v>
      </c>
      <c r="K865" s="76" t="s">
        <v>675</v>
      </c>
      <c r="L865" s="76" t="s">
        <v>676</v>
      </c>
      <c r="M865" s="80">
        <v>45488.0</v>
      </c>
      <c r="N865" s="81">
        <v>322.0</v>
      </c>
      <c r="O865" s="82">
        <v>380.0</v>
      </c>
      <c r="P865" s="83"/>
      <c r="Q865" s="83"/>
      <c r="R865" s="83"/>
      <c r="S865" s="84"/>
    </row>
    <row r="866" ht="13.5" customHeight="1">
      <c r="A866" s="24" t="s">
        <v>1383</v>
      </c>
      <c r="B866" s="25" t="s">
        <v>301</v>
      </c>
      <c r="C866" s="25" t="s">
        <v>296</v>
      </c>
      <c r="D866" s="25" t="s">
        <v>1287</v>
      </c>
      <c r="E866" s="26" t="s">
        <v>1384</v>
      </c>
      <c r="F866" s="25" t="s">
        <v>1385</v>
      </c>
      <c r="G866" s="25" t="s">
        <v>84</v>
      </c>
      <c r="H866" s="27" t="s">
        <v>670</v>
      </c>
      <c r="I866" s="27" t="s">
        <v>260</v>
      </c>
      <c r="J866" s="27" t="s">
        <v>294</v>
      </c>
      <c r="K866" s="25" t="s">
        <v>675</v>
      </c>
      <c r="L866" s="25" t="s">
        <v>676</v>
      </c>
      <c r="M866" s="28">
        <v>45488.0</v>
      </c>
      <c r="N866" s="29">
        <v>50.0</v>
      </c>
      <c r="O866" s="30">
        <v>50.0</v>
      </c>
      <c r="P866" s="31"/>
      <c r="Q866" s="31"/>
      <c r="R866" s="31"/>
      <c r="S866" s="32"/>
    </row>
    <row r="867" ht="13.5" customHeight="1">
      <c r="A867" s="13" t="s">
        <v>1386</v>
      </c>
      <c r="B867" s="8" t="s">
        <v>167</v>
      </c>
      <c r="C867" s="8" t="s">
        <v>296</v>
      </c>
      <c r="D867" s="8" t="s">
        <v>1282</v>
      </c>
      <c r="E867" s="9" t="s">
        <v>1387</v>
      </c>
      <c r="F867" s="8" t="s">
        <v>1388</v>
      </c>
      <c r="G867" s="8" t="s">
        <v>1389</v>
      </c>
      <c r="H867" s="11" t="s">
        <v>670</v>
      </c>
      <c r="I867" s="11" t="s">
        <v>27</v>
      </c>
      <c r="J867" s="11" t="s">
        <v>684</v>
      </c>
      <c r="K867" s="8" t="s">
        <v>675</v>
      </c>
      <c r="L867" s="8" t="s">
        <v>676</v>
      </c>
      <c r="M867" s="20">
        <v>45488.0</v>
      </c>
      <c r="N867" s="21">
        <v>322.0</v>
      </c>
      <c r="O867" s="22">
        <v>380.0</v>
      </c>
      <c r="P867" s="7"/>
      <c r="Q867" s="7"/>
      <c r="R867" s="7"/>
      <c r="S867" s="17"/>
    </row>
    <row r="868" ht="13.5" customHeight="1">
      <c r="A868" s="13" t="s">
        <v>1390</v>
      </c>
      <c r="B868" s="8" t="s">
        <v>301</v>
      </c>
      <c r="C868" s="8" t="s">
        <v>296</v>
      </c>
      <c r="D868" s="8" t="s">
        <v>1287</v>
      </c>
      <c r="E868" s="9" t="s">
        <v>1391</v>
      </c>
      <c r="F868" s="8" t="s">
        <v>1392</v>
      </c>
      <c r="G868" s="8" t="s">
        <v>1389</v>
      </c>
      <c r="H868" s="11" t="s">
        <v>670</v>
      </c>
      <c r="I868" s="11" t="s">
        <v>27</v>
      </c>
      <c r="J868" s="11" t="s">
        <v>684</v>
      </c>
      <c r="K868" s="8" t="s">
        <v>675</v>
      </c>
      <c r="L868" s="8" t="s">
        <v>676</v>
      </c>
      <c r="M868" s="20">
        <v>45488.0</v>
      </c>
      <c r="N868" s="21">
        <v>50.0</v>
      </c>
      <c r="O868" s="22">
        <v>50.0</v>
      </c>
      <c r="P868" s="7"/>
      <c r="Q868" s="7"/>
      <c r="R868" s="7"/>
      <c r="S868" s="17"/>
    </row>
    <row r="869" ht="13.5" customHeight="1">
      <c r="A869" s="8" t="s">
        <v>1393</v>
      </c>
      <c r="B869" s="8" t="s">
        <v>167</v>
      </c>
      <c r="C869" s="8" t="s">
        <v>296</v>
      </c>
      <c r="D869" s="8" t="s">
        <v>1282</v>
      </c>
      <c r="E869" s="9" t="s">
        <v>1394</v>
      </c>
      <c r="F869" s="8" t="s">
        <v>1395</v>
      </c>
      <c r="G869" s="8" t="s">
        <v>1396</v>
      </c>
      <c r="H869" s="11" t="s">
        <v>259</v>
      </c>
      <c r="I869" s="11" t="s">
        <v>91</v>
      </c>
      <c r="J869" s="11" t="s">
        <v>490</v>
      </c>
      <c r="K869" s="8" t="s">
        <v>1397</v>
      </c>
      <c r="L869" s="8" t="s">
        <v>1398</v>
      </c>
      <c r="M869" s="20">
        <v>45673.0</v>
      </c>
      <c r="N869" s="21">
        <v>380.0</v>
      </c>
      <c r="O869" s="22">
        <v>380.0</v>
      </c>
      <c r="P869" s="8" t="s">
        <v>1399</v>
      </c>
      <c r="Q869" s="7"/>
      <c r="R869" s="7"/>
      <c r="S869" s="17"/>
    </row>
    <row r="870" ht="13.5" customHeight="1">
      <c r="A870" s="8" t="s">
        <v>1400</v>
      </c>
      <c r="B870" s="8" t="s">
        <v>301</v>
      </c>
      <c r="C870" s="8" t="s">
        <v>296</v>
      </c>
      <c r="D870" s="8" t="s">
        <v>1287</v>
      </c>
      <c r="E870" s="9" t="s">
        <v>1391</v>
      </c>
      <c r="F870" s="8" t="s">
        <v>1392</v>
      </c>
      <c r="G870" s="8" t="s">
        <v>1396</v>
      </c>
      <c r="H870" s="11" t="s">
        <v>259</v>
      </c>
      <c r="I870" s="11" t="s">
        <v>91</v>
      </c>
      <c r="J870" s="11" t="s">
        <v>490</v>
      </c>
      <c r="K870" s="8" t="s">
        <v>1397</v>
      </c>
      <c r="L870" s="8" t="s">
        <v>1398</v>
      </c>
      <c r="M870" s="20">
        <v>45673.0</v>
      </c>
      <c r="N870" s="21">
        <v>50.0</v>
      </c>
      <c r="O870" s="22">
        <v>50.0</v>
      </c>
      <c r="P870" s="7"/>
      <c r="Q870" s="7"/>
      <c r="R870" s="7"/>
      <c r="S870" s="17"/>
    </row>
    <row r="871" ht="13.5" customHeight="1">
      <c r="A871" s="13" t="s">
        <v>1393</v>
      </c>
      <c r="B871" s="8" t="s">
        <v>167</v>
      </c>
      <c r="C871" s="8" t="s">
        <v>296</v>
      </c>
      <c r="D871" s="8" t="s">
        <v>1282</v>
      </c>
      <c r="E871" s="9" t="s">
        <v>1401</v>
      </c>
      <c r="F871" s="8" t="s">
        <v>1402</v>
      </c>
      <c r="G871" s="8" t="s">
        <v>2524</v>
      </c>
      <c r="H871" s="11" t="s">
        <v>666</v>
      </c>
      <c r="I871" s="11" t="s">
        <v>27</v>
      </c>
      <c r="J871" s="11" t="s">
        <v>865</v>
      </c>
      <c r="K871" s="8" t="s">
        <v>675</v>
      </c>
      <c r="L871" s="8" t="s">
        <v>676</v>
      </c>
      <c r="M871" s="20">
        <v>45488.0</v>
      </c>
      <c r="N871" s="21">
        <v>322.0</v>
      </c>
      <c r="O871" s="22">
        <v>380.0</v>
      </c>
      <c r="P871" s="7"/>
      <c r="Q871" s="7"/>
      <c r="R871" s="7"/>
      <c r="S871" s="17"/>
    </row>
    <row r="872" ht="13.5" customHeight="1">
      <c r="A872" s="13" t="s">
        <v>1400</v>
      </c>
      <c r="B872" s="8" t="s">
        <v>301</v>
      </c>
      <c r="C872" s="8" t="s">
        <v>296</v>
      </c>
      <c r="D872" s="8" t="s">
        <v>1287</v>
      </c>
      <c r="E872" s="9" t="s">
        <v>1404</v>
      </c>
      <c r="F872" s="8" t="s">
        <v>1405</v>
      </c>
      <c r="G872" s="8" t="s">
        <v>2524</v>
      </c>
      <c r="H872" s="11" t="s">
        <v>666</v>
      </c>
      <c r="I872" s="11" t="s">
        <v>27</v>
      </c>
      <c r="J872" s="11" t="s">
        <v>865</v>
      </c>
      <c r="K872" s="8" t="s">
        <v>675</v>
      </c>
      <c r="L872" s="8" t="s">
        <v>676</v>
      </c>
      <c r="M872" s="20">
        <v>45488.0</v>
      </c>
      <c r="N872" s="21">
        <v>50.0</v>
      </c>
      <c r="O872" s="22">
        <v>50.0</v>
      </c>
      <c r="P872" s="7"/>
      <c r="Q872" s="7"/>
      <c r="R872" s="7"/>
      <c r="S872" s="17"/>
    </row>
    <row r="873" ht="13.5" customHeight="1">
      <c r="A873" s="13" t="s">
        <v>1406</v>
      </c>
      <c r="B873" s="8" t="s">
        <v>167</v>
      </c>
      <c r="C873" s="8" t="s">
        <v>296</v>
      </c>
      <c r="D873" s="8" t="s">
        <v>1282</v>
      </c>
      <c r="E873" s="9" t="s">
        <v>1394</v>
      </c>
      <c r="F873" s="8" t="s">
        <v>1395</v>
      </c>
      <c r="G873" s="8" t="s">
        <v>1407</v>
      </c>
      <c r="H873" s="11" t="s">
        <v>259</v>
      </c>
      <c r="I873" s="11" t="s">
        <v>260</v>
      </c>
      <c r="J873" s="11" t="s">
        <v>490</v>
      </c>
      <c r="K873" s="8" t="s">
        <v>675</v>
      </c>
      <c r="L873" s="8" t="s">
        <v>676</v>
      </c>
      <c r="M873" s="20">
        <v>45488.0</v>
      </c>
      <c r="N873" s="21">
        <v>322.0</v>
      </c>
      <c r="O873" s="22">
        <v>380.0</v>
      </c>
      <c r="P873" s="7"/>
      <c r="Q873" s="7"/>
      <c r="R873" s="7"/>
      <c r="S873" s="17"/>
    </row>
    <row r="874" ht="13.5" customHeight="1">
      <c r="A874" s="13" t="s">
        <v>1408</v>
      </c>
      <c r="B874" s="8" t="s">
        <v>301</v>
      </c>
      <c r="C874" s="8" t="s">
        <v>296</v>
      </c>
      <c r="D874" s="8" t="s">
        <v>1287</v>
      </c>
      <c r="E874" s="9" t="s">
        <v>1409</v>
      </c>
      <c r="F874" s="8" t="s">
        <v>1410</v>
      </c>
      <c r="G874" s="8" t="s">
        <v>1407</v>
      </c>
      <c r="H874" s="11" t="s">
        <v>259</v>
      </c>
      <c r="I874" s="11" t="s">
        <v>260</v>
      </c>
      <c r="J874" s="11" t="s">
        <v>490</v>
      </c>
      <c r="K874" s="8" t="s">
        <v>675</v>
      </c>
      <c r="L874" s="8" t="s">
        <v>676</v>
      </c>
      <c r="M874" s="20">
        <v>45488.0</v>
      </c>
      <c r="N874" s="21">
        <v>50.0</v>
      </c>
      <c r="O874" s="22">
        <v>50.0</v>
      </c>
      <c r="P874" s="7"/>
      <c r="Q874" s="7"/>
      <c r="R874" s="7"/>
      <c r="S874" s="17"/>
    </row>
    <row r="875" ht="13.5" customHeight="1">
      <c r="A875" s="13" t="s">
        <v>1411</v>
      </c>
      <c r="B875" s="8" t="s">
        <v>167</v>
      </c>
      <c r="C875" s="8" t="s">
        <v>296</v>
      </c>
      <c r="D875" s="8" t="s">
        <v>1282</v>
      </c>
      <c r="E875" s="9" t="s">
        <v>1412</v>
      </c>
      <c r="F875" s="8" t="s">
        <v>1413</v>
      </c>
      <c r="G875" s="8" t="s">
        <v>489</v>
      </c>
      <c r="H875" s="11" t="s">
        <v>259</v>
      </c>
      <c r="I875" s="11" t="s">
        <v>260</v>
      </c>
      <c r="J875" s="11" t="s">
        <v>490</v>
      </c>
      <c r="K875" s="8" t="s">
        <v>675</v>
      </c>
      <c r="L875" s="8" t="s">
        <v>676</v>
      </c>
      <c r="M875" s="20">
        <v>45488.0</v>
      </c>
      <c r="N875" s="21">
        <v>322.0</v>
      </c>
      <c r="O875" s="22">
        <v>380.0</v>
      </c>
      <c r="P875" s="7"/>
      <c r="Q875" s="7"/>
      <c r="R875" s="7"/>
      <c r="S875" s="17"/>
    </row>
    <row r="876" ht="13.5" customHeight="1">
      <c r="A876" s="13" t="s">
        <v>1414</v>
      </c>
      <c r="B876" s="8" t="s">
        <v>301</v>
      </c>
      <c r="C876" s="8" t="s">
        <v>296</v>
      </c>
      <c r="D876" s="8" t="s">
        <v>1287</v>
      </c>
      <c r="E876" s="9" t="s">
        <v>1415</v>
      </c>
      <c r="F876" s="8" t="s">
        <v>1416</v>
      </c>
      <c r="G876" s="8" t="s">
        <v>489</v>
      </c>
      <c r="H876" s="11" t="s">
        <v>259</v>
      </c>
      <c r="I876" s="11" t="s">
        <v>260</v>
      </c>
      <c r="J876" s="11" t="s">
        <v>490</v>
      </c>
      <c r="K876" s="8" t="s">
        <v>675</v>
      </c>
      <c r="L876" s="8" t="s">
        <v>676</v>
      </c>
      <c r="M876" s="20">
        <v>45488.0</v>
      </c>
      <c r="N876" s="21">
        <v>50.0</v>
      </c>
      <c r="O876" s="22">
        <v>50.0</v>
      </c>
      <c r="P876" s="7"/>
      <c r="Q876" s="7"/>
      <c r="R876" s="7"/>
      <c r="S876" s="17"/>
    </row>
    <row r="877" ht="13.5" customHeight="1">
      <c r="A877" s="13" t="s">
        <v>1417</v>
      </c>
      <c r="B877" s="8" t="s">
        <v>167</v>
      </c>
      <c r="C877" s="8" t="s">
        <v>296</v>
      </c>
      <c r="D877" s="8" t="s">
        <v>1282</v>
      </c>
      <c r="E877" s="9" t="s">
        <v>1418</v>
      </c>
      <c r="F877" s="8" t="s">
        <v>1419</v>
      </c>
      <c r="G877" s="8" t="s">
        <v>2525</v>
      </c>
      <c r="H877" s="11" t="s">
        <v>259</v>
      </c>
      <c r="I877" s="11" t="s">
        <v>260</v>
      </c>
      <c r="J877" s="11" t="s">
        <v>294</v>
      </c>
      <c r="K877" s="8" t="s">
        <v>675</v>
      </c>
      <c r="L877" s="8" t="s">
        <v>676</v>
      </c>
      <c r="M877" s="20">
        <v>45488.0</v>
      </c>
      <c r="N877" s="21">
        <v>322.0</v>
      </c>
      <c r="O877" s="22">
        <v>380.0</v>
      </c>
      <c r="P877" s="7"/>
      <c r="Q877" s="7"/>
      <c r="R877" s="7"/>
      <c r="S877" s="17"/>
    </row>
    <row r="878" ht="13.5" customHeight="1">
      <c r="A878" s="13" t="s">
        <v>1420</v>
      </c>
      <c r="B878" s="8" t="s">
        <v>301</v>
      </c>
      <c r="C878" s="8" t="s">
        <v>296</v>
      </c>
      <c r="D878" s="8" t="s">
        <v>1287</v>
      </c>
      <c r="E878" s="9" t="s">
        <v>1421</v>
      </c>
      <c r="F878" s="8" t="s">
        <v>1422</v>
      </c>
      <c r="G878" s="8" t="s">
        <v>2525</v>
      </c>
      <c r="H878" s="11" t="s">
        <v>259</v>
      </c>
      <c r="I878" s="11" t="s">
        <v>260</v>
      </c>
      <c r="J878" s="11" t="s">
        <v>294</v>
      </c>
      <c r="K878" s="8" t="s">
        <v>675</v>
      </c>
      <c r="L878" s="8" t="s">
        <v>676</v>
      </c>
      <c r="M878" s="20">
        <v>45488.0</v>
      </c>
      <c r="N878" s="21">
        <v>50.0</v>
      </c>
      <c r="O878" s="22">
        <v>50.0</v>
      </c>
      <c r="P878" s="7"/>
      <c r="Q878" s="7"/>
      <c r="R878" s="7"/>
      <c r="S878" s="17"/>
    </row>
    <row r="879" ht="13.5" customHeight="1">
      <c r="A879" s="13" t="s">
        <v>1423</v>
      </c>
      <c r="B879" s="8" t="s">
        <v>167</v>
      </c>
      <c r="C879" s="8" t="s">
        <v>296</v>
      </c>
      <c r="D879" s="8" t="s">
        <v>1282</v>
      </c>
      <c r="E879" s="9" t="s">
        <v>1424</v>
      </c>
      <c r="F879" s="8" t="s">
        <v>1425</v>
      </c>
      <c r="G879" s="8" t="s">
        <v>2215</v>
      </c>
      <c r="H879" s="11" t="s">
        <v>259</v>
      </c>
      <c r="I879" s="11" t="s">
        <v>27</v>
      </c>
      <c r="J879" s="11" t="s">
        <v>635</v>
      </c>
      <c r="K879" s="8" t="s">
        <v>675</v>
      </c>
      <c r="L879" s="8" t="s">
        <v>676</v>
      </c>
      <c r="M879" s="20">
        <v>45488.0</v>
      </c>
      <c r="N879" s="21">
        <v>322.0</v>
      </c>
      <c r="O879" s="22">
        <v>380.0</v>
      </c>
      <c r="P879" s="8" t="s">
        <v>641</v>
      </c>
      <c r="Q879" s="7"/>
      <c r="R879" s="7"/>
      <c r="S879" s="17"/>
    </row>
    <row r="880" ht="13.5" customHeight="1">
      <c r="A880" s="13" t="s">
        <v>1426</v>
      </c>
      <c r="B880" s="8" t="s">
        <v>301</v>
      </c>
      <c r="C880" s="8" t="s">
        <v>296</v>
      </c>
      <c r="D880" s="8" t="s">
        <v>1287</v>
      </c>
      <c r="E880" s="9" t="s">
        <v>1427</v>
      </c>
      <c r="F880" s="8" t="s">
        <v>1428</v>
      </c>
      <c r="G880" s="8" t="s">
        <v>2215</v>
      </c>
      <c r="H880" s="11" t="s">
        <v>259</v>
      </c>
      <c r="I880" s="11" t="s">
        <v>27</v>
      </c>
      <c r="J880" s="11" t="s">
        <v>635</v>
      </c>
      <c r="K880" s="8" t="s">
        <v>675</v>
      </c>
      <c r="L880" s="8" t="s">
        <v>676</v>
      </c>
      <c r="M880" s="20">
        <v>45488.0</v>
      </c>
      <c r="N880" s="21">
        <v>50.0</v>
      </c>
      <c r="O880" s="22">
        <v>50.0</v>
      </c>
      <c r="P880" s="8" t="s">
        <v>641</v>
      </c>
      <c r="Q880" s="7"/>
      <c r="R880" s="7"/>
      <c r="S880" s="17"/>
    </row>
    <row r="881" ht="13.5" customHeight="1">
      <c r="A881" s="13" t="s">
        <v>1429</v>
      </c>
      <c r="B881" s="8" t="s">
        <v>167</v>
      </c>
      <c r="C881" s="8" t="s">
        <v>296</v>
      </c>
      <c r="D881" s="8" t="s">
        <v>1282</v>
      </c>
      <c r="E881" s="9" t="s">
        <v>1430</v>
      </c>
      <c r="F881" s="8" t="s">
        <v>1431</v>
      </c>
      <c r="G881" s="8" t="s">
        <v>634</v>
      </c>
      <c r="H881" s="11" t="s">
        <v>259</v>
      </c>
      <c r="I881" s="11" t="s">
        <v>27</v>
      </c>
      <c r="J881" s="11" t="s">
        <v>635</v>
      </c>
      <c r="K881" s="8" t="s">
        <v>675</v>
      </c>
      <c r="L881" s="8" t="s">
        <v>676</v>
      </c>
      <c r="M881" s="20">
        <v>45488.0</v>
      </c>
      <c r="N881" s="21">
        <v>322.0</v>
      </c>
      <c r="O881" s="22">
        <v>380.0</v>
      </c>
      <c r="P881" s="7"/>
      <c r="Q881" s="7"/>
      <c r="R881" s="7"/>
      <c r="S881" s="17"/>
    </row>
    <row r="882" ht="13.5" customHeight="1">
      <c r="A882" s="13" t="s">
        <v>1432</v>
      </c>
      <c r="B882" s="8" t="s">
        <v>301</v>
      </c>
      <c r="C882" s="8" t="s">
        <v>296</v>
      </c>
      <c r="D882" s="8" t="s">
        <v>1287</v>
      </c>
      <c r="E882" s="9" t="s">
        <v>1433</v>
      </c>
      <c r="F882" s="8" t="s">
        <v>1434</v>
      </c>
      <c r="G882" s="8" t="s">
        <v>634</v>
      </c>
      <c r="H882" s="11" t="s">
        <v>259</v>
      </c>
      <c r="I882" s="11" t="s">
        <v>27</v>
      </c>
      <c r="J882" s="11" t="s">
        <v>635</v>
      </c>
      <c r="K882" s="8" t="s">
        <v>675</v>
      </c>
      <c r="L882" s="8" t="s">
        <v>676</v>
      </c>
      <c r="M882" s="20">
        <v>45488.0</v>
      </c>
      <c r="N882" s="21">
        <v>50.0</v>
      </c>
      <c r="O882" s="22">
        <v>50.0</v>
      </c>
      <c r="P882" s="7"/>
      <c r="Q882" s="7"/>
      <c r="R882" s="7"/>
      <c r="S882" s="17"/>
    </row>
    <row r="883" ht="13.5" customHeight="1">
      <c r="A883" s="13" t="s">
        <v>1435</v>
      </c>
      <c r="B883" s="8" t="s">
        <v>167</v>
      </c>
      <c r="C883" s="8" t="s">
        <v>296</v>
      </c>
      <c r="D883" s="8" t="s">
        <v>1282</v>
      </c>
      <c r="E883" s="9" t="s">
        <v>1436</v>
      </c>
      <c r="F883" s="8" t="s">
        <v>1437</v>
      </c>
      <c r="G883" s="8" t="s">
        <v>771</v>
      </c>
      <c r="H883" s="11" t="s">
        <v>259</v>
      </c>
      <c r="I883" s="11" t="s">
        <v>27</v>
      </c>
      <c r="J883" s="11" t="s">
        <v>635</v>
      </c>
      <c r="K883" s="8" t="s">
        <v>675</v>
      </c>
      <c r="L883" s="8" t="s">
        <v>676</v>
      </c>
      <c r="M883" s="20">
        <v>45488.0</v>
      </c>
      <c r="N883" s="21">
        <v>322.0</v>
      </c>
      <c r="O883" s="22">
        <v>380.0</v>
      </c>
      <c r="P883" s="7"/>
      <c r="Q883" s="7"/>
      <c r="R883" s="7"/>
      <c r="S883" s="17"/>
    </row>
    <row r="884" ht="13.5" customHeight="1">
      <c r="A884" s="13" t="s">
        <v>1438</v>
      </c>
      <c r="B884" s="8" t="s">
        <v>301</v>
      </c>
      <c r="C884" s="8" t="s">
        <v>296</v>
      </c>
      <c r="D884" s="8" t="s">
        <v>1287</v>
      </c>
      <c r="E884" s="9" t="s">
        <v>1439</v>
      </c>
      <c r="F884" s="8" t="s">
        <v>1440</v>
      </c>
      <c r="G884" s="8" t="s">
        <v>771</v>
      </c>
      <c r="H884" s="11" t="s">
        <v>259</v>
      </c>
      <c r="I884" s="11" t="s">
        <v>27</v>
      </c>
      <c r="J884" s="11" t="s">
        <v>635</v>
      </c>
      <c r="K884" s="8" t="s">
        <v>675</v>
      </c>
      <c r="L884" s="8" t="s">
        <v>676</v>
      </c>
      <c r="M884" s="20">
        <v>45488.0</v>
      </c>
      <c r="N884" s="21">
        <v>50.0</v>
      </c>
      <c r="O884" s="22">
        <v>50.0</v>
      </c>
      <c r="P884" s="7"/>
      <c r="Q884" s="7"/>
      <c r="R884" s="7"/>
      <c r="S884" s="17"/>
    </row>
    <row r="885" ht="13.5" customHeight="1">
      <c r="A885" s="24" t="s">
        <v>1441</v>
      </c>
      <c r="B885" s="25" t="s">
        <v>167</v>
      </c>
      <c r="C885" s="25" t="s">
        <v>296</v>
      </c>
      <c r="D885" s="25" t="s">
        <v>1282</v>
      </c>
      <c r="E885" s="26" t="s">
        <v>1442</v>
      </c>
      <c r="F885" s="25" t="s">
        <v>1443</v>
      </c>
      <c r="G885" s="25" t="s">
        <v>1444</v>
      </c>
      <c r="H885" s="27" t="s">
        <v>670</v>
      </c>
      <c r="I885" s="27" t="s">
        <v>27</v>
      </c>
      <c r="J885" s="27" t="s">
        <v>635</v>
      </c>
      <c r="K885" s="25" t="s">
        <v>675</v>
      </c>
      <c r="L885" s="25" t="s">
        <v>676</v>
      </c>
      <c r="M885" s="28">
        <v>45488.0</v>
      </c>
      <c r="N885" s="29">
        <v>322.0</v>
      </c>
      <c r="O885" s="30">
        <v>380.0</v>
      </c>
      <c r="P885" s="31"/>
      <c r="Q885" s="31"/>
      <c r="R885" s="31"/>
      <c r="S885" s="32"/>
    </row>
    <row r="886" ht="13.5" customHeight="1">
      <c r="A886" s="24" t="s">
        <v>1445</v>
      </c>
      <c r="B886" s="25" t="s">
        <v>301</v>
      </c>
      <c r="C886" s="25" t="s">
        <v>296</v>
      </c>
      <c r="D886" s="25" t="s">
        <v>1287</v>
      </c>
      <c r="E886" s="26" t="s">
        <v>1446</v>
      </c>
      <c r="F886" s="25" t="s">
        <v>1447</v>
      </c>
      <c r="G886" s="25" t="s">
        <v>1444</v>
      </c>
      <c r="H886" s="27" t="s">
        <v>670</v>
      </c>
      <c r="I886" s="27" t="s">
        <v>27</v>
      </c>
      <c r="J886" s="27" t="s">
        <v>635</v>
      </c>
      <c r="K886" s="25" t="s">
        <v>675</v>
      </c>
      <c r="L886" s="25" t="s">
        <v>676</v>
      </c>
      <c r="M886" s="28">
        <v>45488.0</v>
      </c>
      <c r="N886" s="29">
        <v>50.0</v>
      </c>
      <c r="O886" s="30">
        <v>50.0</v>
      </c>
      <c r="P886" s="31"/>
      <c r="Q886" s="31"/>
      <c r="R886" s="31"/>
      <c r="S886" s="32"/>
    </row>
    <row r="887" ht="13.5" customHeight="1">
      <c r="A887" s="13" t="s">
        <v>1448</v>
      </c>
      <c r="B887" s="8" t="s">
        <v>167</v>
      </c>
      <c r="C887" s="8" t="s">
        <v>296</v>
      </c>
      <c r="D887" s="8" t="s">
        <v>1282</v>
      </c>
      <c r="E887" s="9" t="s">
        <v>1449</v>
      </c>
      <c r="F887" s="8" t="s">
        <v>1450</v>
      </c>
      <c r="G887" s="8" t="s">
        <v>834</v>
      </c>
      <c r="H887" s="11" t="s">
        <v>259</v>
      </c>
      <c r="I887" s="11" t="s">
        <v>27</v>
      </c>
      <c r="J887" s="11" t="s">
        <v>635</v>
      </c>
      <c r="K887" s="8" t="s">
        <v>675</v>
      </c>
      <c r="L887" s="8" t="s">
        <v>676</v>
      </c>
      <c r="M887" s="20">
        <v>45488.0</v>
      </c>
      <c r="N887" s="21">
        <v>322.0</v>
      </c>
      <c r="O887" s="22">
        <v>380.0</v>
      </c>
      <c r="P887" s="7"/>
      <c r="Q887" s="7"/>
      <c r="R887" s="7"/>
      <c r="S887" s="17"/>
    </row>
    <row r="888" ht="13.5" customHeight="1">
      <c r="A888" s="13" t="s">
        <v>1451</v>
      </c>
      <c r="B888" s="8" t="s">
        <v>301</v>
      </c>
      <c r="C888" s="8" t="s">
        <v>296</v>
      </c>
      <c r="D888" s="8" t="s">
        <v>1287</v>
      </c>
      <c r="E888" s="9" t="s">
        <v>1452</v>
      </c>
      <c r="F888" s="8" t="s">
        <v>1453</v>
      </c>
      <c r="G888" s="8" t="s">
        <v>834</v>
      </c>
      <c r="H888" s="11" t="s">
        <v>259</v>
      </c>
      <c r="I888" s="11" t="s">
        <v>27</v>
      </c>
      <c r="J888" s="11" t="s">
        <v>635</v>
      </c>
      <c r="K888" s="8" t="s">
        <v>675</v>
      </c>
      <c r="L888" s="8" t="s">
        <v>676</v>
      </c>
      <c r="M888" s="20">
        <v>45488.0</v>
      </c>
      <c r="N888" s="21">
        <v>50.0</v>
      </c>
      <c r="O888" s="22">
        <v>50.0</v>
      </c>
      <c r="P888" s="7"/>
      <c r="Q888" s="7"/>
      <c r="R888" s="7"/>
      <c r="S888" s="17"/>
    </row>
    <row r="889" ht="13.5" customHeight="1">
      <c r="A889" s="13" t="s">
        <v>1454</v>
      </c>
      <c r="B889" s="8" t="s">
        <v>167</v>
      </c>
      <c r="C889" s="8" t="s">
        <v>296</v>
      </c>
      <c r="D889" s="8" t="s">
        <v>1282</v>
      </c>
      <c r="E889" s="9" t="s">
        <v>1455</v>
      </c>
      <c r="F889" s="8" t="s">
        <v>1456</v>
      </c>
      <c r="G889" s="8" t="s">
        <v>774</v>
      </c>
      <c r="H889" s="11" t="s">
        <v>259</v>
      </c>
      <c r="I889" s="11" t="s">
        <v>27</v>
      </c>
      <c r="J889" s="11" t="s">
        <v>635</v>
      </c>
      <c r="K889" s="8" t="s">
        <v>675</v>
      </c>
      <c r="L889" s="8" t="s">
        <v>676</v>
      </c>
      <c r="M889" s="20">
        <v>45488.0</v>
      </c>
      <c r="N889" s="21">
        <v>322.0</v>
      </c>
      <c r="O889" s="22">
        <v>380.0</v>
      </c>
      <c r="P889" s="7"/>
      <c r="Q889" s="7"/>
      <c r="R889" s="7"/>
      <c r="S889" s="17"/>
    </row>
    <row r="890" ht="13.5" customHeight="1">
      <c r="A890" s="13" t="s">
        <v>1457</v>
      </c>
      <c r="B890" s="8" t="s">
        <v>301</v>
      </c>
      <c r="C890" s="8" t="s">
        <v>296</v>
      </c>
      <c r="D890" s="8" t="s">
        <v>1287</v>
      </c>
      <c r="E890" s="9" t="s">
        <v>1458</v>
      </c>
      <c r="F890" s="8" t="s">
        <v>1459</v>
      </c>
      <c r="G890" s="8" t="s">
        <v>774</v>
      </c>
      <c r="H890" s="11" t="s">
        <v>259</v>
      </c>
      <c r="I890" s="11" t="s">
        <v>27</v>
      </c>
      <c r="J890" s="11" t="s">
        <v>635</v>
      </c>
      <c r="K890" s="8" t="s">
        <v>675</v>
      </c>
      <c r="L890" s="8" t="s">
        <v>676</v>
      </c>
      <c r="M890" s="20">
        <v>45488.0</v>
      </c>
      <c r="N890" s="21">
        <v>50.0</v>
      </c>
      <c r="O890" s="22">
        <v>50.0</v>
      </c>
      <c r="P890" s="7"/>
      <c r="Q890" s="7"/>
      <c r="R890" s="7"/>
      <c r="S890" s="17"/>
    </row>
    <row r="891" ht="13.5" customHeight="1">
      <c r="A891" s="13" t="s">
        <v>1460</v>
      </c>
      <c r="B891" s="8" t="s">
        <v>167</v>
      </c>
      <c r="C891" s="8" t="s">
        <v>296</v>
      </c>
      <c r="D891" s="8" t="s">
        <v>1282</v>
      </c>
      <c r="E891" s="9" t="s">
        <v>1461</v>
      </c>
      <c r="F891" s="8" t="s">
        <v>1462</v>
      </c>
      <c r="G891" s="8" t="s">
        <v>646</v>
      </c>
      <c r="H891" s="11" t="s">
        <v>259</v>
      </c>
      <c r="I891" s="11" t="s">
        <v>27</v>
      </c>
      <c r="J891" s="11" t="s">
        <v>635</v>
      </c>
      <c r="K891" s="8" t="s">
        <v>675</v>
      </c>
      <c r="L891" s="8" t="s">
        <v>676</v>
      </c>
      <c r="M891" s="20">
        <v>45488.0</v>
      </c>
      <c r="N891" s="21">
        <v>322.0</v>
      </c>
      <c r="O891" s="22">
        <v>380.0</v>
      </c>
      <c r="P891" s="7"/>
      <c r="Q891" s="7"/>
      <c r="R891" s="7"/>
      <c r="S891" s="17"/>
    </row>
    <row r="892" ht="13.5" customHeight="1">
      <c r="A892" s="13" t="s">
        <v>1463</v>
      </c>
      <c r="B892" s="8" t="s">
        <v>301</v>
      </c>
      <c r="C892" s="8" t="s">
        <v>296</v>
      </c>
      <c r="D892" s="8" t="s">
        <v>1287</v>
      </c>
      <c r="E892" s="9" t="s">
        <v>1464</v>
      </c>
      <c r="F892" s="8" t="s">
        <v>1465</v>
      </c>
      <c r="G892" s="8" t="s">
        <v>646</v>
      </c>
      <c r="H892" s="11" t="s">
        <v>259</v>
      </c>
      <c r="I892" s="11" t="s">
        <v>27</v>
      </c>
      <c r="J892" s="11" t="s">
        <v>635</v>
      </c>
      <c r="K892" s="8" t="s">
        <v>675</v>
      </c>
      <c r="L892" s="8" t="s">
        <v>676</v>
      </c>
      <c r="M892" s="20">
        <v>45488.0</v>
      </c>
      <c r="N892" s="21">
        <v>50.0</v>
      </c>
      <c r="O892" s="22">
        <v>50.0</v>
      </c>
      <c r="P892" s="7"/>
      <c r="Q892" s="7"/>
      <c r="R892" s="7"/>
      <c r="S892" s="17"/>
    </row>
    <row r="893" ht="13.5" customHeight="1">
      <c r="A893" s="13" t="s">
        <v>1466</v>
      </c>
      <c r="B893" s="8" t="s">
        <v>167</v>
      </c>
      <c r="C893" s="8" t="s">
        <v>296</v>
      </c>
      <c r="D893" s="8" t="s">
        <v>1282</v>
      </c>
      <c r="E893" s="9" t="s">
        <v>1467</v>
      </c>
      <c r="F893" s="8" t="s">
        <v>1468</v>
      </c>
      <c r="G893" s="8" t="s">
        <v>777</v>
      </c>
      <c r="H893" s="11" t="s">
        <v>259</v>
      </c>
      <c r="I893" s="11" t="s">
        <v>27</v>
      </c>
      <c r="J893" s="11" t="s">
        <v>635</v>
      </c>
      <c r="K893" s="8" t="s">
        <v>675</v>
      </c>
      <c r="L893" s="8" t="s">
        <v>676</v>
      </c>
      <c r="M893" s="20">
        <v>45488.0</v>
      </c>
      <c r="N893" s="21">
        <v>322.0</v>
      </c>
      <c r="O893" s="22">
        <v>380.0</v>
      </c>
      <c r="P893" s="7"/>
      <c r="Q893" s="7"/>
      <c r="R893" s="7"/>
      <c r="S893" s="17"/>
    </row>
    <row r="894" ht="13.5" customHeight="1">
      <c r="A894" s="13" t="s">
        <v>1469</v>
      </c>
      <c r="B894" s="8" t="s">
        <v>301</v>
      </c>
      <c r="C894" s="8" t="s">
        <v>296</v>
      </c>
      <c r="D894" s="8" t="s">
        <v>1287</v>
      </c>
      <c r="E894" s="9" t="s">
        <v>1470</v>
      </c>
      <c r="F894" s="8" t="s">
        <v>1471</v>
      </c>
      <c r="G894" s="8" t="s">
        <v>777</v>
      </c>
      <c r="H894" s="11" t="s">
        <v>259</v>
      </c>
      <c r="I894" s="11" t="s">
        <v>27</v>
      </c>
      <c r="J894" s="11" t="s">
        <v>635</v>
      </c>
      <c r="K894" s="8" t="s">
        <v>675</v>
      </c>
      <c r="L894" s="8" t="s">
        <v>676</v>
      </c>
      <c r="M894" s="20">
        <v>45488.0</v>
      </c>
      <c r="N894" s="21">
        <v>50.0</v>
      </c>
      <c r="O894" s="22">
        <v>50.0</v>
      </c>
      <c r="P894" s="7"/>
      <c r="Q894" s="7"/>
      <c r="R894" s="7"/>
      <c r="S894" s="17"/>
    </row>
    <row r="895" ht="13.5" customHeight="1">
      <c r="A895" s="13" t="s">
        <v>1472</v>
      </c>
      <c r="B895" s="8" t="s">
        <v>167</v>
      </c>
      <c r="C895" s="8" t="s">
        <v>296</v>
      </c>
      <c r="D895" s="8" t="s">
        <v>1282</v>
      </c>
      <c r="E895" s="9" t="s">
        <v>1473</v>
      </c>
      <c r="F895" s="8" t="s">
        <v>1474</v>
      </c>
      <c r="G895" s="8" t="s">
        <v>662</v>
      </c>
      <c r="H895" s="11" t="s">
        <v>259</v>
      </c>
      <c r="I895" s="11" t="s">
        <v>27</v>
      </c>
      <c r="J895" s="11" t="s">
        <v>635</v>
      </c>
      <c r="K895" s="8" t="s">
        <v>675</v>
      </c>
      <c r="L895" s="8" t="s">
        <v>676</v>
      </c>
      <c r="M895" s="20">
        <v>45488.0</v>
      </c>
      <c r="N895" s="21">
        <v>322.0</v>
      </c>
      <c r="O895" s="22">
        <v>380.0</v>
      </c>
      <c r="P895" s="7"/>
      <c r="Q895" s="7"/>
      <c r="R895" s="7"/>
      <c r="S895" s="17"/>
    </row>
    <row r="896" ht="13.5" customHeight="1">
      <c r="A896" s="13" t="s">
        <v>1475</v>
      </c>
      <c r="B896" s="8" t="s">
        <v>301</v>
      </c>
      <c r="C896" s="8" t="s">
        <v>296</v>
      </c>
      <c r="D896" s="8" t="s">
        <v>1287</v>
      </c>
      <c r="E896" s="9" t="s">
        <v>1476</v>
      </c>
      <c r="F896" s="8" t="s">
        <v>1477</v>
      </c>
      <c r="G896" s="8" t="s">
        <v>662</v>
      </c>
      <c r="H896" s="11" t="s">
        <v>259</v>
      </c>
      <c r="I896" s="11" t="s">
        <v>27</v>
      </c>
      <c r="J896" s="11" t="s">
        <v>635</v>
      </c>
      <c r="K896" s="8" t="s">
        <v>675</v>
      </c>
      <c r="L896" s="8" t="s">
        <v>676</v>
      </c>
      <c r="M896" s="20">
        <v>45488.0</v>
      </c>
      <c r="N896" s="21">
        <v>50.0</v>
      </c>
      <c r="O896" s="22">
        <v>50.0</v>
      </c>
      <c r="P896" s="7"/>
      <c r="Q896" s="7"/>
      <c r="R896" s="7"/>
      <c r="S896" s="17"/>
    </row>
    <row r="897" ht="13.5" customHeight="1">
      <c r="A897" s="13" t="s">
        <v>1478</v>
      </c>
      <c r="B897" s="8" t="s">
        <v>167</v>
      </c>
      <c r="C897" s="8" t="s">
        <v>296</v>
      </c>
      <c r="D897" s="8" t="s">
        <v>1282</v>
      </c>
      <c r="E897" s="9" t="s">
        <v>1479</v>
      </c>
      <c r="F897" s="8" t="s">
        <v>1480</v>
      </c>
      <c r="G897" s="8" t="s">
        <v>825</v>
      </c>
      <c r="H897" s="11" t="s">
        <v>259</v>
      </c>
      <c r="I897" s="11" t="s">
        <v>27</v>
      </c>
      <c r="J897" s="11" t="s">
        <v>635</v>
      </c>
      <c r="K897" s="8" t="s">
        <v>675</v>
      </c>
      <c r="L897" s="8" t="s">
        <v>676</v>
      </c>
      <c r="M897" s="20">
        <v>45488.0</v>
      </c>
      <c r="N897" s="21">
        <v>322.0</v>
      </c>
      <c r="O897" s="22">
        <v>380.0</v>
      </c>
      <c r="P897" s="7"/>
      <c r="Q897" s="7"/>
      <c r="R897" s="7"/>
      <c r="S897" s="17"/>
    </row>
    <row r="898" ht="13.5" customHeight="1">
      <c r="A898" s="13" t="s">
        <v>1481</v>
      </c>
      <c r="B898" s="8" t="s">
        <v>301</v>
      </c>
      <c r="C898" s="8" t="s">
        <v>296</v>
      </c>
      <c r="D898" s="8" t="s">
        <v>1287</v>
      </c>
      <c r="E898" s="9" t="s">
        <v>1482</v>
      </c>
      <c r="F898" s="8" t="s">
        <v>1483</v>
      </c>
      <c r="G898" s="8" t="s">
        <v>825</v>
      </c>
      <c r="H898" s="11" t="s">
        <v>259</v>
      </c>
      <c r="I898" s="11" t="s">
        <v>27</v>
      </c>
      <c r="J898" s="11" t="s">
        <v>635</v>
      </c>
      <c r="K898" s="8" t="s">
        <v>675</v>
      </c>
      <c r="L898" s="8" t="s">
        <v>676</v>
      </c>
      <c r="M898" s="20">
        <v>45488.0</v>
      </c>
      <c r="N898" s="21">
        <v>50.0</v>
      </c>
      <c r="O898" s="22">
        <v>50.0</v>
      </c>
      <c r="P898" s="7"/>
      <c r="Q898" s="7"/>
      <c r="R898" s="7"/>
      <c r="S898" s="17"/>
    </row>
    <row r="899" ht="13.5" customHeight="1">
      <c r="A899" s="13" t="s">
        <v>1484</v>
      </c>
      <c r="B899" s="8" t="s">
        <v>167</v>
      </c>
      <c r="C899" s="8" t="s">
        <v>296</v>
      </c>
      <c r="D899" s="8" t="s">
        <v>1282</v>
      </c>
      <c r="E899" s="9" t="s">
        <v>1485</v>
      </c>
      <c r="F899" s="8" t="s">
        <v>1486</v>
      </c>
      <c r="G899" s="8" t="s">
        <v>1487</v>
      </c>
      <c r="H899" s="11" t="s">
        <v>259</v>
      </c>
      <c r="I899" s="11" t="s">
        <v>27</v>
      </c>
      <c r="J899" s="11" t="s">
        <v>28</v>
      </c>
      <c r="K899" s="8" t="s">
        <v>675</v>
      </c>
      <c r="L899" s="8" t="s">
        <v>676</v>
      </c>
      <c r="M899" s="20">
        <v>45488.0</v>
      </c>
      <c r="N899" s="21">
        <v>322.0</v>
      </c>
      <c r="O899" s="22">
        <v>380.0</v>
      </c>
      <c r="P899" s="7"/>
      <c r="Q899" s="7"/>
      <c r="R899" s="7"/>
      <c r="S899" s="17"/>
    </row>
    <row r="900" ht="13.5" customHeight="1">
      <c r="A900" s="13" t="s">
        <v>1488</v>
      </c>
      <c r="B900" s="8" t="s">
        <v>301</v>
      </c>
      <c r="C900" s="8" t="s">
        <v>296</v>
      </c>
      <c r="D900" s="8" t="s">
        <v>1287</v>
      </c>
      <c r="E900" s="9" t="s">
        <v>1489</v>
      </c>
      <c r="F900" s="8" t="s">
        <v>1490</v>
      </c>
      <c r="G900" s="8" t="s">
        <v>1487</v>
      </c>
      <c r="H900" s="11" t="s">
        <v>259</v>
      </c>
      <c r="I900" s="11" t="s">
        <v>27</v>
      </c>
      <c r="J900" s="11" t="s">
        <v>28</v>
      </c>
      <c r="K900" s="8" t="s">
        <v>675</v>
      </c>
      <c r="L900" s="8" t="s">
        <v>676</v>
      </c>
      <c r="M900" s="20">
        <v>45488.0</v>
      </c>
      <c r="N900" s="21">
        <v>50.0</v>
      </c>
      <c r="O900" s="22">
        <v>50.0</v>
      </c>
      <c r="P900" s="7"/>
      <c r="Q900" s="7"/>
      <c r="R900" s="7"/>
      <c r="S900" s="17"/>
    </row>
    <row r="901" ht="13.5" customHeight="1">
      <c r="A901" s="13" t="s">
        <v>1491</v>
      </c>
      <c r="B901" s="8" t="s">
        <v>167</v>
      </c>
      <c r="C901" s="8" t="s">
        <v>296</v>
      </c>
      <c r="D901" s="8" t="s">
        <v>1282</v>
      </c>
      <c r="E901" s="9" t="s">
        <v>1492</v>
      </c>
      <c r="F901" s="8" t="s">
        <v>1493</v>
      </c>
      <c r="G901" s="8" t="s">
        <v>1494</v>
      </c>
      <c r="H901" s="11" t="s">
        <v>259</v>
      </c>
      <c r="I901" s="11" t="s">
        <v>27</v>
      </c>
      <c r="J901" s="11" t="s">
        <v>28</v>
      </c>
      <c r="K901" s="8" t="s">
        <v>675</v>
      </c>
      <c r="L901" s="8" t="s">
        <v>676</v>
      </c>
      <c r="M901" s="20">
        <v>45488.0</v>
      </c>
      <c r="N901" s="21">
        <v>322.0</v>
      </c>
      <c r="O901" s="22">
        <v>380.0</v>
      </c>
      <c r="P901" s="7"/>
      <c r="Q901" s="7"/>
      <c r="R901" s="7"/>
      <c r="S901" s="17"/>
    </row>
    <row r="902" ht="13.5" customHeight="1">
      <c r="A902" s="13" t="s">
        <v>1495</v>
      </c>
      <c r="B902" s="8" t="s">
        <v>301</v>
      </c>
      <c r="C902" s="8" t="s">
        <v>296</v>
      </c>
      <c r="D902" s="8" t="s">
        <v>1287</v>
      </c>
      <c r="E902" s="9" t="s">
        <v>1496</v>
      </c>
      <c r="F902" s="8" t="s">
        <v>1497</v>
      </c>
      <c r="G902" s="8" t="s">
        <v>1494</v>
      </c>
      <c r="H902" s="11" t="s">
        <v>259</v>
      </c>
      <c r="I902" s="11" t="s">
        <v>27</v>
      </c>
      <c r="J902" s="11" t="s">
        <v>28</v>
      </c>
      <c r="K902" s="8" t="s">
        <v>675</v>
      </c>
      <c r="L902" s="8" t="s">
        <v>676</v>
      </c>
      <c r="M902" s="20">
        <v>45488.0</v>
      </c>
      <c r="N902" s="21">
        <v>50.0</v>
      </c>
      <c r="O902" s="22">
        <v>50.0</v>
      </c>
      <c r="P902" s="7"/>
      <c r="Q902" s="7"/>
      <c r="R902" s="7"/>
      <c r="S902" s="17"/>
    </row>
    <row r="903" ht="13.5" customHeight="1">
      <c r="A903" s="13" t="s">
        <v>1498</v>
      </c>
      <c r="B903" s="8" t="s">
        <v>167</v>
      </c>
      <c r="C903" s="8" t="s">
        <v>296</v>
      </c>
      <c r="D903" s="8" t="s">
        <v>1282</v>
      </c>
      <c r="E903" s="9" t="s">
        <v>1499</v>
      </c>
      <c r="F903" s="8" t="s">
        <v>1500</v>
      </c>
      <c r="G903" s="8" t="s">
        <v>148</v>
      </c>
      <c r="H903" s="11" t="s">
        <v>143</v>
      </c>
      <c r="I903" s="11" t="s">
        <v>27</v>
      </c>
      <c r="J903" s="11" t="s">
        <v>28</v>
      </c>
      <c r="K903" s="8" t="s">
        <v>675</v>
      </c>
      <c r="L903" s="8" t="s">
        <v>676</v>
      </c>
      <c r="M903" s="20">
        <v>45488.0</v>
      </c>
      <c r="N903" s="21">
        <v>322.0</v>
      </c>
      <c r="O903" s="22">
        <v>380.0</v>
      </c>
      <c r="P903" s="7"/>
      <c r="Q903" s="7"/>
      <c r="R903" s="7"/>
      <c r="S903" s="17"/>
    </row>
    <row r="904" ht="13.5" customHeight="1">
      <c r="A904" s="13" t="s">
        <v>1501</v>
      </c>
      <c r="B904" s="8" t="s">
        <v>301</v>
      </c>
      <c r="C904" s="8" t="s">
        <v>296</v>
      </c>
      <c r="D904" s="8" t="s">
        <v>1287</v>
      </c>
      <c r="E904" s="9" t="s">
        <v>1502</v>
      </c>
      <c r="F904" s="8" t="s">
        <v>1503</v>
      </c>
      <c r="G904" s="8" t="s">
        <v>148</v>
      </c>
      <c r="H904" s="11" t="s">
        <v>143</v>
      </c>
      <c r="I904" s="11" t="s">
        <v>27</v>
      </c>
      <c r="J904" s="11" t="s">
        <v>28</v>
      </c>
      <c r="K904" s="8" t="s">
        <v>675</v>
      </c>
      <c r="L904" s="8" t="s">
        <v>676</v>
      </c>
      <c r="M904" s="20">
        <v>45488.0</v>
      </c>
      <c r="N904" s="21">
        <v>50.0</v>
      </c>
      <c r="O904" s="22">
        <v>50.0</v>
      </c>
      <c r="P904" s="7"/>
      <c r="Q904" s="7"/>
      <c r="R904" s="7"/>
      <c r="S904" s="17"/>
    </row>
    <row r="905" ht="13.5" customHeight="1">
      <c r="A905" s="13" t="s">
        <v>1504</v>
      </c>
      <c r="B905" s="8" t="s">
        <v>167</v>
      </c>
      <c r="C905" s="8" t="s">
        <v>296</v>
      </c>
      <c r="D905" s="8" t="s">
        <v>1282</v>
      </c>
      <c r="E905" s="9" t="s">
        <v>1505</v>
      </c>
      <c r="F905" s="8" t="s">
        <v>1506</v>
      </c>
      <c r="G905" s="8" t="s">
        <v>1507</v>
      </c>
      <c r="H905" s="11" t="s">
        <v>103</v>
      </c>
      <c r="I905" s="11" t="s">
        <v>27</v>
      </c>
      <c r="J905" s="11" t="s">
        <v>28</v>
      </c>
      <c r="K905" s="8" t="s">
        <v>675</v>
      </c>
      <c r="L905" s="8" t="s">
        <v>676</v>
      </c>
      <c r="M905" s="20">
        <v>45488.0</v>
      </c>
      <c r="N905" s="21">
        <v>322.0</v>
      </c>
      <c r="O905" s="22">
        <v>380.0</v>
      </c>
      <c r="P905" s="7"/>
      <c r="Q905" s="7"/>
      <c r="R905" s="7"/>
      <c r="S905" s="17"/>
    </row>
    <row r="906" ht="13.5" customHeight="1">
      <c r="A906" s="13" t="s">
        <v>1508</v>
      </c>
      <c r="B906" s="8" t="s">
        <v>301</v>
      </c>
      <c r="C906" s="8" t="s">
        <v>296</v>
      </c>
      <c r="D906" s="8" t="s">
        <v>1287</v>
      </c>
      <c r="E906" s="9" t="s">
        <v>1509</v>
      </c>
      <c r="F906" s="8" t="s">
        <v>1510</v>
      </c>
      <c r="G906" s="8" t="s">
        <v>1507</v>
      </c>
      <c r="H906" s="11" t="s">
        <v>103</v>
      </c>
      <c r="I906" s="11" t="s">
        <v>27</v>
      </c>
      <c r="J906" s="11" t="s">
        <v>28</v>
      </c>
      <c r="K906" s="8" t="s">
        <v>675</v>
      </c>
      <c r="L906" s="8" t="s">
        <v>676</v>
      </c>
      <c r="M906" s="20">
        <v>45488.0</v>
      </c>
      <c r="N906" s="21">
        <v>50.0</v>
      </c>
      <c r="O906" s="22">
        <v>50.0</v>
      </c>
      <c r="P906" s="34"/>
      <c r="Q906" s="34"/>
      <c r="R906" s="34"/>
      <c r="S906" s="35"/>
    </row>
    <row r="907" ht="13.5" customHeight="1">
      <c r="A907" s="13" t="s">
        <v>1511</v>
      </c>
      <c r="B907" s="8" t="s">
        <v>167</v>
      </c>
      <c r="C907" s="8" t="s">
        <v>296</v>
      </c>
      <c r="D907" s="8" t="s">
        <v>1282</v>
      </c>
      <c r="E907" s="9" t="s">
        <v>1512</v>
      </c>
      <c r="F907" s="8" t="s">
        <v>1513</v>
      </c>
      <c r="G907" s="8" t="s">
        <v>211</v>
      </c>
      <c r="H907" s="11" t="s">
        <v>207</v>
      </c>
      <c r="I907" s="11" t="s">
        <v>27</v>
      </c>
      <c r="J907" s="11" t="s">
        <v>28</v>
      </c>
      <c r="K907" s="8" t="s">
        <v>675</v>
      </c>
      <c r="L907" s="8" t="s">
        <v>676</v>
      </c>
      <c r="M907" s="20">
        <v>45488.0</v>
      </c>
      <c r="N907" s="21">
        <v>322.0</v>
      </c>
      <c r="O907" s="22">
        <v>380.0</v>
      </c>
      <c r="P907" s="7"/>
      <c r="Q907" s="7"/>
      <c r="R907" s="7"/>
      <c r="S907" s="17"/>
    </row>
    <row r="908" ht="13.5" customHeight="1">
      <c r="A908" s="13" t="s">
        <v>1514</v>
      </c>
      <c r="B908" s="8" t="s">
        <v>301</v>
      </c>
      <c r="C908" s="8" t="s">
        <v>296</v>
      </c>
      <c r="D908" s="8" t="s">
        <v>1287</v>
      </c>
      <c r="E908" s="9" t="s">
        <v>1515</v>
      </c>
      <c r="F908" s="8" t="s">
        <v>1516</v>
      </c>
      <c r="G908" s="8" t="s">
        <v>211</v>
      </c>
      <c r="H908" s="11" t="s">
        <v>207</v>
      </c>
      <c r="I908" s="11" t="s">
        <v>27</v>
      </c>
      <c r="J908" s="11" t="s">
        <v>28</v>
      </c>
      <c r="K908" s="8" t="s">
        <v>675</v>
      </c>
      <c r="L908" s="8" t="s">
        <v>676</v>
      </c>
      <c r="M908" s="20">
        <v>45488.0</v>
      </c>
      <c r="N908" s="21">
        <v>50.0</v>
      </c>
      <c r="O908" s="22">
        <v>50.0</v>
      </c>
      <c r="P908" s="7"/>
      <c r="Q908" s="7"/>
      <c r="R908" s="7"/>
      <c r="S908" s="17"/>
    </row>
    <row r="909" ht="13.5" customHeight="1">
      <c r="A909" s="13" t="s">
        <v>1517</v>
      </c>
      <c r="B909" s="8" t="s">
        <v>167</v>
      </c>
      <c r="C909" s="8" t="s">
        <v>296</v>
      </c>
      <c r="D909" s="8" t="s">
        <v>1282</v>
      </c>
      <c r="E909" s="9" t="s">
        <v>1518</v>
      </c>
      <c r="F909" s="8" t="s">
        <v>1519</v>
      </c>
      <c r="G909" s="8" t="s">
        <v>235</v>
      </c>
      <c r="H909" s="11" t="s">
        <v>207</v>
      </c>
      <c r="I909" s="11" t="s">
        <v>27</v>
      </c>
      <c r="J909" s="11" t="s">
        <v>28</v>
      </c>
      <c r="K909" s="8" t="s">
        <v>675</v>
      </c>
      <c r="L909" s="8" t="s">
        <v>676</v>
      </c>
      <c r="M909" s="20">
        <v>45488.0</v>
      </c>
      <c r="N909" s="21">
        <v>322.0</v>
      </c>
      <c r="O909" s="22">
        <v>380.0</v>
      </c>
      <c r="P909" s="7"/>
      <c r="Q909" s="7"/>
      <c r="R909" s="7"/>
      <c r="S909" s="17"/>
    </row>
    <row r="910" ht="13.5" customHeight="1">
      <c r="A910" s="13" t="s">
        <v>1520</v>
      </c>
      <c r="B910" s="8" t="s">
        <v>301</v>
      </c>
      <c r="C910" s="8" t="s">
        <v>296</v>
      </c>
      <c r="D910" s="8" t="s">
        <v>1287</v>
      </c>
      <c r="E910" s="9" t="s">
        <v>1521</v>
      </c>
      <c r="F910" s="8" t="s">
        <v>1522</v>
      </c>
      <c r="G910" s="8" t="s">
        <v>235</v>
      </c>
      <c r="H910" s="11" t="s">
        <v>207</v>
      </c>
      <c r="I910" s="11" t="s">
        <v>27</v>
      </c>
      <c r="J910" s="11" t="s">
        <v>28</v>
      </c>
      <c r="K910" s="8" t="s">
        <v>675</v>
      </c>
      <c r="L910" s="8" t="s">
        <v>676</v>
      </c>
      <c r="M910" s="20">
        <v>45488.0</v>
      </c>
      <c r="N910" s="21">
        <v>50.0</v>
      </c>
      <c r="O910" s="22">
        <v>50.0</v>
      </c>
      <c r="P910" s="7"/>
      <c r="Q910" s="7"/>
      <c r="R910" s="7"/>
      <c r="S910" s="20"/>
    </row>
    <row r="911" ht="13.5" customHeight="1">
      <c r="A911" s="13" t="s">
        <v>1523</v>
      </c>
      <c r="B911" s="8" t="s">
        <v>167</v>
      </c>
      <c r="C911" s="8" t="s">
        <v>296</v>
      </c>
      <c r="D911" s="8" t="s">
        <v>1282</v>
      </c>
      <c r="E911" s="9" t="s">
        <v>1524</v>
      </c>
      <c r="F911" s="8" t="s">
        <v>1525</v>
      </c>
      <c r="G911" s="8" t="s">
        <v>25</v>
      </c>
      <c r="H911" s="11" t="s">
        <v>26</v>
      </c>
      <c r="I911" s="11" t="s">
        <v>27</v>
      </c>
      <c r="J911" s="11" t="s">
        <v>28</v>
      </c>
      <c r="K911" s="8" t="s">
        <v>675</v>
      </c>
      <c r="L911" s="8" t="s">
        <v>676</v>
      </c>
      <c r="M911" s="20">
        <v>45488.0</v>
      </c>
      <c r="N911" s="21">
        <v>322.0</v>
      </c>
      <c r="O911" s="22">
        <v>380.0</v>
      </c>
      <c r="P911" s="7"/>
      <c r="Q911" s="7"/>
      <c r="R911" s="7"/>
      <c r="S911" s="20"/>
    </row>
    <row r="912" ht="13.5" customHeight="1">
      <c r="A912" s="13" t="s">
        <v>1526</v>
      </c>
      <c r="B912" s="8" t="s">
        <v>301</v>
      </c>
      <c r="C912" s="8" t="s">
        <v>296</v>
      </c>
      <c r="D912" s="8" t="s">
        <v>1287</v>
      </c>
      <c r="E912" s="9" t="s">
        <v>1527</v>
      </c>
      <c r="F912" s="8" t="s">
        <v>1528</v>
      </c>
      <c r="G912" s="8" t="s">
        <v>25</v>
      </c>
      <c r="H912" s="11" t="s">
        <v>26</v>
      </c>
      <c r="I912" s="11" t="s">
        <v>27</v>
      </c>
      <c r="J912" s="11" t="s">
        <v>28</v>
      </c>
      <c r="K912" s="8" t="s">
        <v>675</v>
      </c>
      <c r="L912" s="8" t="s">
        <v>676</v>
      </c>
      <c r="M912" s="20">
        <v>45488.0</v>
      </c>
      <c r="N912" s="21">
        <v>50.0</v>
      </c>
      <c r="O912" s="22">
        <v>50.0</v>
      </c>
      <c r="P912" s="7"/>
      <c r="Q912" s="7"/>
      <c r="R912" s="7"/>
      <c r="S912" s="20"/>
    </row>
    <row r="913" ht="13.5" customHeight="1">
      <c r="A913" s="13" t="s">
        <v>1529</v>
      </c>
      <c r="B913" s="8" t="s">
        <v>167</v>
      </c>
      <c r="C913" s="8" t="s">
        <v>296</v>
      </c>
      <c r="D913" s="8" t="s">
        <v>1282</v>
      </c>
      <c r="E913" s="9" t="s">
        <v>1530</v>
      </c>
      <c r="F913" s="8" t="s">
        <v>1531</v>
      </c>
      <c r="G913" s="8" t="s">
        <v>472</v>
      </c>
      <c r="H913" s="11" t="s">
        <v>259</v>
      </c>
      <c r="I913" s="11" t="s">
        <v>91</v>
      </c>
      <c r="J913" s="11" t="s">
        <v>400</v>
      </c>
      <c r="K913" s="8" t="s">
        <v>675</v>
      </c>
      <c r="L913" s="8" t="s">
        <v>676</v>
      </c>
      <c r="M913" s="20">
        <v>45488.0</v>
      </c>
      <c r="N913" s="21">
        <v>322.0</v>
      </c>
      <c r="O913" s="22">
        <v>380.0</v>
      </c>
      <c r="P913" s="7"/>
      <c r="Q913" s="7"/>
      <c r="R913" s="7"/>
      <c r="S913" s="17"/>
    </row>
    <row r="914" ht="13.5" customHeight="1">
      <c r="A914" s="13" t="s">
        <v>1532</v>
      </c>
      <c r="B914" s="8" t="s">
        <v>301</v>
      </c>
      <c r="C914" s="8" t="s">
        <v>296</v>
      </c>
      <c r="D914" s="8" t="s">
        <v>1287</v>
      </c>
      <c r="E914" s="9" t="s">
        <v>1533</v>
      </c>
      <c r="F914" s="8" t="s">
        <v>1534</v>
      </c>
      <c r="G914" s="8" t="s">
        <v>472</v>
      </c>
      <c r="H914" s="11" t="s">
        <v>259</v>
      </c>
      <c r="I914" s="11" t="s">
        <v>91</v>
      </c>
      <c r="J914" s="11" t="s">
        <v>400</v>
      </c>
      <c r="K914" s="8" t="s">
        <v>675</v>
      </c>
      <c r="L914" s="8" t="s">
        <v>676</v>
      </c>
      <c r="M914" s="20">
        <v>45488.0</v>
      </c>
      <c r="N914" s="21">
        <v>50.0</v>
      </c>
      <c r="O914" s="22">
        <v>50.0</v>
      </c>
      <c r="P914" s="7"/>
      <c r="Q914" s="7"/>
      <c r="R914" s="7"/>
      <c r="S914" s="17"/>
    </row>
    <row r="915" ht="13.5" customHeight="1">
      <c r="A915" s="13" t="s">
        <v>1535</v>
      </c>
      <c r="B915" s="8" t="s">
        <v>167</v>
      </c>
      <c r="C915" s="8" t="s">
        <v>296</v>
      </c>
      <c r="D915" s="8" t="s">
        <v>1282</v>
      </c>
      <c r="E915" s="9" t="s">
        <v>1536</v>
      </c>
      <c r="F915" s="8" t="s">
        <v>1537</v>
      </c>
      <c r="G915" s="8" t="s">
        <v>374</v>
      </c>
      <c r="H915" s="11" t="s">
        <v>259</v>
      </c>
      <c r="I915" s="11" t="s">
        <v>91</v>
      </c>
      <c r="J915" s="11" t="s">
        <v>275</v>
      </c>
      <c r="K915" s="8" t="s">
        <v>675</v>
      </c>
      <c r="L915" s="8" t="s">
        <v>676</v>
      </c>
      <c r="M915" s="20">
        <v>45488.0</v>
      </c>
      <c r="N915" s="21">
        <v>322.0</v>
      </c>
      <c r="O915" s="22">
        <v>380.0</v>
      </c>
      <c r="P915" s="7"/>
      <c r="Q915" s="7"/>
      <c r="R915" s="7"/>
      <c r="S915" s="17"/>
    </row>
    <row r="916" ht="13.5" customHeight="1">
      <c r="A916" s="13" t="s">
        <v>1538</v>
      </c>
      <c r="B916" s="8" t="s">
        <v>301</v>
      </c>
      <c r="C916" s="8" t="s">
        <v>296</v>
      </c>
      <c r="D916" s="8" t="s">
        <v>1287</v>
      </c>
      <c r="E916" s="9" t="s">
        <v>1539</v>
      </c>
      <c r="F916" s="8" t="s">
        <v>1540</v>
      </c>
      <c r="G916" s="8" t="s">
        <v>374</v>
      </c>
      <c r="H916" s="11" t="s">
        <v>259</v>
      </c>
      <c r="I916" s="11" t="s">
        <v>91</v>
      </c>
      <c r="J916" s="11" t="s">
        <v>275</v>
      </c>
      <c r="K916" s="8" t="s">
        <v>675</v>
      </c>
      <c r="L916" s="8" t="s">
        <v>676</v>
      </c>
      <c r="M916" s="20">
        <v>45488.0</v>
      </c>
      <c r="N916" s="21">
        <v>50.0</v>
      </c>
      <c r="O916" s="22">
        <v>50.0</v>
      </c>
      <c r="P916" s="7"/>
      <c r="Q916" s="7"/>
      <c r="R916" s="7"/>
      <c r="S916" s="17"/>
    </row>
    <row r="917" ht="13.5" customHeight="1">
      <c r="A917" s="13" t="s">
        <v>1541</v>
      </c>
      <c r="B917" s="8" t="s">
        <v>167</v>
      </c>
      <c r="C917" s="8" t="s">
        <v>296</v>
      </c>
      <c r="D917" s="8" t="s">
        <v>1282</v>
      </c>
      <c r="E917" s="9" t="s">
        <v>1542</v>
      </c>
      <c r="F917" s="8" t="s">
        <v>1543</v>
      </c>
      <c r="G917" s="8" t="s">
        <v>508</v>
      </c>
      <c r="H917" s="11" t="s">
        <v>259</v>
      </c>
      <c r="I917" s="11" t="s">
        <v>91</v>
      </c>
      <c r="J917" s="11" t="s">
        <v>275</v>
      </c>
      <c r="K917" s="8" t="s">
        <v>675</v>
      </c>
      <c r="L917" s="8" t="s">
        <v>676</v>
      </c>
      <c r="M917" s="20">
        <v>45488.0</v>
      </c>
      <c r="N917" s="21">
        <v>322.0</v>
      </c>
      <c r="O917" s="22">
        <v>380.0</v>
      </c>
      <c r="P917" s="7"/>
      <c r="Q917" s="7"/>
      <c r="R917" s="7"/>
      <c r="S917" s="17"/>
    </row>
    <row r="918" ht="13.5" customHeight="1">
      <c r="A918" s="13" t="s">
        <v>1544</v>
      </c>
      <c r="B918" s="8" t="s">
        <v>301</v>
      </c>
      <c r="C918" s="8" t="s">
        <v>296</v>
      </c>
      <c r="D918" s="8" t="s">
        <v>1287</v>
      </c>
      <c r="E918" s="9" t="s">
        <v>1545</v>
      </c>
      <c r="F918" s="8" t="s">
        <v>1546</v>
      </c>
      <c r="G918" s="8" t="s">
        <v>508</v>
      </c>
      <c r="H918" s="11" t="s">
        <v>259</v>
      </c>
      <c r="I918" s="11" t="s">
        <v>91</v>
      </c>
      <c r="J918" s="11" t="s">
        <v>275</v>
      </c>
      <c r="K918" s="8" t="s">
        <v>675</v>
      </c>
      <c r="L918" s="8" t="s">
        <v>676</v>
      </c>
      <c r="M918" s="20">
        <v>45488.0</v>
      </c>
      <c r="N918" s="21">
        <v>50.0</v>
      </c>
      <c r="O918" s="22">
        <v>50.0</v>
      </c>
      <c r="P918" s="7"/>
      <c r="Q918" s="7"/>
      <c r="R918" s="7"/>
      <c r="S918" s="17"/>
    </row>
    <row r="919" ht="13.5" customHeight="1">
      <c r="A919" s="13" t="s">
        <v>1547</v>
      </c>
      <c r="B919" s="8" t="s">
        <v>167</v>
      </c>
      <c r="C919" s="8" t="s">
        <v>296</v>
      </c>
      <c r="D919" s="8" t="s">
        <v>1282</v>
      </c>
      <c r="E919" s="9" t="s">
        <v>1548</v>
      </c>
      <c r="F919" s="8" t="s">
        <v>1549</v>
      </c>
      <c r="G919" s="8" t="s">
        <v>1550</v>
      </c>
      <c r="H919" s="11" t="s">
        <v>259</v>
      </c>
      <c r="I919" s="11" t="s">
        <v>260</v>
      </c>
      <c r="J919" s="11" t="s">
        <v>1551</v>
      </c>
      <c r="K919" s="8" t="s">
        <v>675</v>
      </c>
      <c r="L919" s="8" t="s">
        <v>676</v>
      </c>
      <c r="M919" s="20">
        <v>45488.0</v>
      </c>
      <c r="N919" s="21">
        <v>322.0</v>
      </c>
      <c r="O919" s="22">
        <v>380.0</v>
      </c>
      <c r="P919" s="7"/>
      <c r="Q919" s="7"/>
      <c r="R919" s="7"/>
      <c r="S919" s="17"/>
    </row>
    <row r="920" ht="13.5" customHeight="1">
      <c r="A920" s="13" t="s">
        <v>1552</v>
      </c>
      <c r="B920" s="8" t="s">
        <v>301</v>
      </c>
      <c r="C920" s="8" t="s">
        <v>296</v>
      </c>
      <c r="D920" s="8" t="s">
        <v>1287</v>
      </c>
      <c r="E920" s="9" t="s">
        <v>1553</v>
      </c>
      <c r="F920" s="8" t="s">
        <v>1554</v>
      </c>
      <c r="G920" s="8" t="s">
        <v>1550</v>
      </c>
      <c r="H920" s="11" t="s">
        <v>259</v>
      </c>
      <c r="I920" s="11" t="s">
        <v>260</v>
      </c>
      <c r="J920" s="11" t="s">
        <v>1551</v>
      </c>
      <c r="K920" s="8" t="s">
        <v>675</v>
      </c>
      <c r="L920" s="8" t="s">
        <v>676</v>
      </c>
      <c r="M920" s="20">
        <v>45488.0</v>
      </c>
      <c r="N920" s="21">
        <v>50.0</v>
      </c>
      <c r="O920" s="22">
        <v>50.0</v>
      </c>
      <c r="P920" s="7"/>
      <c r="Q920" s="7"/>
      <c r="R920" s="7"/>
      <c r="S920" s="17"/>
    </row>
    <row r="921" ht="13.5" customHeight="1">
      <c r="A921" s="13" t="s">
        <v>1555</v>
      </c>
      <c r="B921" s="8" t="s">
        <v>167</v>
      </c>
      <c r="C921" s="8" t="s">
        <v>296</v>
      </c>
      <c r="D921" s="8" t="s">
        <v>1282</v>
      </c>
      <c r="E921" s="9" t="s">
        <v>1556</v>
      </c>
      <c r="F921" s="8" t="s">
        <v>1557</v>
      </c>
      <c r="G921" s="8" t="s">
        <v>1558</v>
      </c>
      <c r="H921" s="11" t="s">
        <v>259</v>
      </c>
      <c r="I921" s="11" t="s">
        <v>260</v>
      </c>
      <c r="J921" s="11" t="s">
        <v>1551</v>
      </c>
      <c r="K921" s="8" t="s">
        <v>675</v>
      </c>
      <c r="L921" s="8" t="s">
        <v>676</v>
      </c>
      <c r="M921" s="20">
        <v>45488.0</v>
      </c>
      <c r="N921" s="21">
        <v>322.0</v>
      </c>
      <c r="O921" s="22">
        <v>380.0</v>
      </c>
      <c r="P921" s="7"/>
      <c r="Q921" s="7"/>
      <c r="R921" s="7"/>
      <c r="S921" s="17"/>
    </row>
    <row r="922" ht="13.5" customHeight="1">
      <c r="A922" s="13" t="s">
        <v>1559</v>
      </c>
      <c r="B922" s="8" t="s">
        <v>301</v>
      </c>
      <c r="C922" s="8" t="s">
        <v>296</v>
      </c>
      <c r="D922" s="8" t="s">
        <v>1287</v>
      </c>
      <c r="E922" s="9" t="s">
        <v>1560</v>
      </c>
      <c r="F922" s="8" t="s">
        <v>1561</v>
      </c>
      <c r="G922" s="8" t="s">
        <v>1558</v>
      </c>
      <c r="H922" s="11" t="s">
        <v>259</v>
      </c>
      <c r="I922" s="11" t="s">
        <v>260</v>
      </c>
      <c r="J922" s="11" t="s">
        <v>1551</v>
      </c>
      <c r="K922" s="8" t="s">
        <v>675</v>
      </c>
      <c r="L922" s="8" t="s">
        <v>676</v>
      </c>
      <c r="M922" s="20">
        <v>45488.0</v>
      </c>
      <c r="N922" s="21">
        <v>50.0</v>
      </c>
      <c r="O922" s="22">
        <v>50.0</v>
      </c>
      <c r="P922" s="7"/>
      <c r="Q922" s="7"/>
      <c r="R922" s="7"/>
      <c r="S922" s="17"/>
    </row>
    <row r="923" ht="13.5" customHeight="1">
      <c r="A923" s="13" t="s">
        <v>1562</v>
      </c>
      <c r="B923" s="8" t="s">
        <v>167</v>
      </c>
      <c r="C923" s="8" t="s">
        <v>296</v>
      </c>
      <c r="D923" s="8" t="s">
        <v>1282</v>
      </c>
      <c r="E923" s="9" t="s">
        <v>1563</v>
      </c>
      <c r="F923" s="8" t="s">
        <v>1564</v>
      </c>
      <c r="G923" s="8" t="s">
        <v>1565</v>
      </c>
      <c r="H923" s="11" t="s">
        <v>259</v>
      </c>
      <c r="I923" s="11" t="s">
        <v>260</v>
      </c>
      <c r="J923" s="11" t="s">
        <v>294</v>
      </c>
      <c r="K923" s="8" t="s">
        <v>675</v>
      </c>
      <c r="L923" s="8" t="s">
        <v>676</v>
      </c>
      <c r="M923" s="20">
        <v>45488.0</v>
      </c>
      <c r="N923" s="21">
        <v>322.0</v>
      </c>
      <c r="O923" s="22">
        <v>380.0</v>
      </c>
      <c r="P923" s="7"/>
      <c r="Q923" s="7"/>
      <c r="R923" s="7"/>
      <c r="S923" s="17"/>
    </row>
    <row r="924" ht="13.5" customHeight="1">
      <c r="A924" s="13" t="s">
        <v>1566</v>
      </c>
      <c r="B924" s="8" t="s">
        <v>301</v>
      </c>
      <c r="C924" s="8" t="s">
        <v>296</v>
      </c>
      <c r="D924" s="8" t="s">
        <v>1287</v>
      </c>
      <c r="E924" s="9" t="s">
        <v>1567</v>
      </c>
      <c r="F924" s="8" t="s">
        <v>1568</v>
      </c>
      <c r="G924" s="8" t="s">
        <v>1565</v>
      </c>
      <c r="H924" s="11" t="s">
        <v>259</v>
      </c>
      <c r="I924" s="11" t="s">
        <v>260</v>
      </c>
      <c r="J924" s="11" t="s">
        <v>294</v>
      </c>
      <c r="K924" s="8" t="s">
        <v>675</v>
      </c>
      <c r="L924" s="8" t="s">
        <v>676</v>
      </c>
      <c r="M924" s="20">
        <v>45488.0</v>
      </c>
      <c r="N924" s="21">
        <v>50.0</v>
      </c>
      <c r="O924" s="22">
        <v>50.0</v>
      </c>
      <c r="P924" s="7"/>
      <c r="Q924" s="7"/>
      <c r="R924" s="7"/>
      <c r="S924" s="17"/>
    </row>
    <row r="925" ht="13.5" customHeight="1">
      <c r="A925" s="13" t="s">
        <v>1569</v>
      </c>
      <c r="B925" s="8" t="s">
        <v>167</v>
      </c>
      <c r="C925" s="8" t="s">
        <v>296</v>
      </c>
      <c r="D925" s="8" t="s">
        <v>1282</v>
      </c>
      <c r="E925" s="9" t="s">
        <v>1570</v>
      </c>
      <c r="F925" s="8" t="s">
        <v>1571</v>
      </c>
      <c r="G925" s="8" t="s">
        <v>787</v>
      </c>
      <c r="H925" s="11" t="s">
        <v>259</v>
      </c>
      <c r="I925" s="11" t="s">
        <v>260</v>
      </c>
      <c r="J925" s="11" t="s">
        <v>294</v>
      </c>
      <c r="K925" s="8" t="s">
        <v>675</v>
      </c>
      <c r="L925" s="8" t="s">
        <v>676</v>
      </c>
      <c r="M925" s="20">
        <v>45488.0</v>
      </c>
      <c r="N925" s="21">
        <v>322.0</v>
      </c>
      <c r="O925" s="22">
        <v>380.0</v>
      </c>
      <c r="P925" s="7"/>
      <c r="Q925" s="7"/>
      <c r="R925" s="7"/>
      <c r="S925" s="17"/>
    </row>
    <row r="926" ht="13.5" customHeight="1">
      <c r="A926" s="13" t="s">
        <v>1572</v>
      </c>
      <c r="B926" s="8" t="s">
        <v>301</v>
      </c>
      <c r="C926" s="8" t="s">
        <v>296</v>
      </c>
      <c r="D926" s="8" t="s">
        <v>1287</v>
      </c>
      <c r="E926" s="9" t="s">
        <v>1573</v>
      </c>
      <c r="F926" s="8" t="s">
        <v>1574</v>
      </c>
      <c r="G926" s="8" t="s">
        <v>787</v>
      </c>
      <c r="H926" s="11" t="s">
        <v>259</v>
      </c>
      <c r="I926" s="11" t="s">
        <v>260</v>
      </c>
      <c r="J926" s="11" t="s">
        <v>294</v>
      </c>
      <c r="K926" s="8" t="s">
        <v>675</v>
      </c>
      <c r="L926" s="8" t="s">
        <v>676</v>
      </c>
      <c r="M926" s="20">
        <v>45488.0</v>
      </c>
      <c r="N926" s="21">
        <v>50.0</v>
      </c>
      <c r="O926" s="22">
        <v>50.0</v>
      </c>
      <c r="P926" s="7"/>
      <c r="Q926" s="7"/>
      <c r="R926" s="7"/>
      <c r="S926" s="17"/>
    </row>
    <row r="927" ht="13.5" customHeight="1">
      <c r="A927" s="13" t="s">
        <v>1575</v>
      </c>
      <c r="B927" s="8" t="s">
        <v>167</v>
      </c>
      <c r="C927" s="8" t="s">
        <v>296</v>
      </c>
      <c r="D927" s="8" t="s">
        <v>1282</v>
      </c>
      <c r="E927" s="9" t="s">
        <v>1576</v>
      </c>
      <c r="F927" s="8" t="s">
        <v>1577</v>
      </c>
      <c r="G927" s="8" t="s">
        <v>780</v>
      </c>
      <c r="H927" s="11" t="s">
        <v>259</v>
      </c>
      <c r="I927" s="11" t="s">
        <v>260</v>
      </c>
      <c r="J927" s="11" t="s">
        <v>294</v>
      </c>
      <c r="K927" s="8" t="s">
        <v>675</v>
      </c>
      <c r="L927" s="8" t="s">
        <v>676</v>
      </c>
      <c r="M927" s="20">
        <v>45488.0</v>
      </c>
      <c r="N927" s="21">
        <v>322.0</v>
      </c>
      <c r="O927" s="22">
        <v>380.0</v>
      </c>
      <c r="P927" s="7"/>
      <c r="Q927" s="7"/>
      <c r="R927" s="7"/>
      <c r="S927" s="17"/>
    </row>
    <row r="928" ht="13.5" customHeight="1">
      <c r="A928" s="13" t="s">
        <v>1578</v>
      </c>
      <c r="B928" s="8" t="s">
        <v>301</v>
      </c>
      <c r="C928" s="8" t="s">
        <v>296</v>
      </c>
      <c r="D928" s="8" t="s">
        <v>1287</v>
      </c>
      <c r="E928" s="9" t="s">
        <v>1579</v>
      </c>
      <c r="F928" s="8" t="s">
        <v>1580</v>
      </c>
      <c r="G928" s="8" t="s">
        <v>780</v>
      </c>
      <c r="H928" s="11" t="s">
        <v>259</v>
      </c>
      <c r="I928" s="11" t="s">
        <v>260</v>
      </c>
      <c r="J928" s="11" t="s">
        <v>294</v>
      </c>
      <c r="K928" s="8" t="s">
        <v>675</v>
      </c>
      <c r="L928" s="8" t="s">
        <v>676</v>
      </c>
      <c r="M928" s="20">
        <v>45488.0</v>
      </c>
      <c r="N928" s="21">
        <v>50.0</v>
      </c>
      <c r="O928" s="22">
        <v>50.0</v>
      </c>
      <c r="P928" s="7"/>
      <c r="Q928" s="7"/>
      <c r="R928" s="7"/>
      <c r="S928" s="17"/>
    </row>
    <row r="929" ht="13.5" customHeight="1">
      <c r="A929" s="13" t="s">
        <v>1581</v>
      </c>
      <c r="B929" s="8" t="s">
        <v>167</v>
      </c>
      <c r="C929" s="8" t="s">
        <v>296</v>
      </c>
      <c r="D929" s="8" t="s">
        <v>1282</v>
      </c>
      <c r="E929" s="9" t="s">
        <v>1582</v>
      </c>
      <c r="F929" s="8" t="s">
        <v>1583</v>
      </c>
      <c r="G929" s="8" t="s">
        <v>84</v>
      </c>
      <c r="H929" s="11" t="s">
        <v>259</v>
      </c>
      <c r="I929" s="11" t="s">
        <v>260</v>
      </c>
      <c r="J929" s="11" t="s">
        <v>294</v>
      </c>
      <c r="K929" s="8" t="s">
        <v>675</v>
      </c>
      <c r="L929" s="8" t="s">
        <v>676</v>
      </c>
      <c r="M929" s="20">
        <v>45488.0</v>
      </c>
      <c r="N929" s="21">
        <v>322.0</v>
      </c>
      <c r="O929" s="22">
        <v>380.0</v>
      </c>
      <c r="P929" s="7"/>
      <c r="Q929" s="7"/>
      <c r="R929" s="7"/>
      <c r="S929" s="17"/>
    </row>
    <row r="930" ht="13.5" customHeight="1">
      <c r="A930" s="13" t="s">
        <v>1584</v>
      </c>
      <c r="B930" s="8" t="s">
        <v>301</v>
      </c>
      <c r="C930" s="8" t="s">
        <v>296</v>
      </c>
      <c r="D930" s="8" t="s">
        <v>1287</v>
      </c>
      <c r="E930" s="9" t="s">
        <v>1585</v>
      </c>
      <c r="F930" s="8" t="s">
        <v>1586</v>
      </c>
      <c r="G930" s="8" t="s">
        <v>84</v>
      </c>
      <c r="H930" s="11" t="s">
        <v>259</v>
      </c>
      <c r="I930" s="11" t="s">
        <v>260</v>
      </c>
      <c r="J930" s="11" t="s">
        <v>294</v>
      </c>
      <c r="K930" s="8" t="s">
        <v>675</v>
      </c>
      <c r="L930" s="8" t="s">
        <v>676</v>
      </c>
      <c r="M930" s="20">
        <v>45488.0</v>
      </c>
      <c r="N930" s="21">
        <v>50.0</v>
      </c>
      <c r="O930" s="22">
        <v>50.0</v>
      </c>
      <c r="P930" s="7"/>
      <c r="Q930" s="7"/>
      <c r="R930" s="7"/>
      <c r="S930" s="17"/>
    </row>
    <row r="931" ht="13.5" customHeight="1">
      <c r="A931" s="13" t="s">
        <v>1587</v>
      </c>
      <c r="B931" s="8" t="s">
        <v>167</v>
      </c>
      <c r="C931" s="8" t="s">
        <v>296</v>
      </c>
      <c r="D931" s="8" t="s">
        <v>1282</v>
      </c>
      <c r="E931" s="9" t="s">
        <v>1588</v>
      </c>
      <c r="F931" s="8" t="s">
        <v>1589</v>
      </c>
      <c r="G931" s="8" t="s">
        <v>84</v>
      </c>
      <c r="H931" s="11" t="s">
        <v>259</v>
      </c>
      <c r="I931" s="11" t="s">
        <v>260</v>
      </c>
      <c r="J931" s="11" t="s">
        <v>294</v>
      </c>
      <c r="K931" s="8" t="s">
        <v>675</v>
      </c>
      <c r="L931" s="8" t="s">
        <v>676</v>
      </c>
      <c r="M931" s="20">
        <v>45488.0</v>
      </c>
      <c r="N931" s="21">
        <v>322.0</v>
      </c>
      <c r="O931" s="22">
        <v>380.0</v>
      </c>
      <c r="P931" s="7"/>
      <c r="Q931" s="7"/>
      <c r="R931" s="7"/>
      <c r="S931" s="17"/>
    </row>
    <row r="932" ht="13.5" customHeight="1">
      <c r="A932" s="13" t="s">
        <v>1590</v>
      </c>
      <c r="B932" s="8" t="s">
        <v>301</v>
      </c>
      <c r="C932" s="8" t="s">
        <v>296</v>
      </c>
      <c r="D932" s="8" t="s">
        <v>1287</v>
      </c>
      <c r="E932" s="9" t="s">
        <v>1591</v>
      </c>
      <c r="F932" s="8" t="s">
        <v>1592</v>
      </c>
      <c r="G932" s="8" t="s">
        <v>84</v>
      </c>
      <c r="H932" s="11" t="s">
        <v>259</v>
      </c>
      <c r="I932" s="11" t="s">
        <v>260</v>
      </c>
      <c r="J932" s="11" t="s">
        <v>294</v>
      </c>
      <c r="K932" s="8" t="s">
        <v>675</v>
      </c>
      <c r="L932" s="8" t="s">
        <v>676</v>
      </c>
      <c r="M932" s="20">
        <v>45488.0</v>
      </c>
      <c r="N932" s="21">
        <v>50.0</v>
      </c>
      <c r="O932" s="22">
        <v>50.0</v>
      </c>
      <c r="P932" s="7"/>
      <c r="Q932" s="7"/>
      <c r="R932" s="7"/>
      <c r="S932" s="17"/>
    </row>
    <row r="933" ht="13.5" customHeight="1">
      <c r="A933" s="13" t="s">
        <v>1593</v>
      </c>
      <c r="B933" s="8" t="s">
        <v>167</v>
      </c>
      <c r="C933" s="8" t="s">
        <v>296</v>
      </c>
      <c r="D933" s="8" t="s">
        <v>1282</v>
      </c>
      <c r="E933" s="9" t="s">
        <v>1594</v>
      </c>
      <c r="F933" s="8" t="s">
        <v>1595</v>
      </c>
      <c r="G933" s="8" t="s">
        <v>84</v>
      </c>
      <c r="H933" s="11" t="s">
        <v>259</v>
      </c>
      <c r="I933" s="11" t="s">
        <v>260</v>
      </c>
      <c r="J933" s="11" t="s">
        <v>294</v>
      </c>
      <c r="K933" s="8" t="s">
        <v>675</v>
      </c>
      <c r="L933" s="8" t="s">
        <v>676</v>
      </c>
      <c r="M933" s="20">
        <v>45488.0</v>
      </c>
      <c r="N933" s="21">
        <v>322.0</v>
      </c>
      <c r="O933" s="22">
        <v>380.0</v>
      </c>
      <c r="P933" s="7"/>
      <c r="Q933" s="7"/>
      <c r="R933" s="7"/>
      <c r="S933" s="17"/>
    </row>
    <row r="934" ht="13.5" customHeight="1">
      <c r="A934" s="13" t="s">
        <v>1596</v>
      </c>
      <c r="B934" s="8" t="s">
        <v>301</v>
      </c>
      <c r="C934" s="8" t="s">
        <v>296</v>
      </c>
      <c r="D934" s="8" t="s">
        <v>1287</v>
      </c>
      <c r="E934" s="9" t="s">
        <v>1597</v>
      </c>
      <c r="F934" s="8" t="s">
        <v>1598</v>
      </c>
      <c r="G934" s="8" t="s">
        <v>84</v>
      </c>
      <c r="H934" s="11" t="s">
        <v>259</v>
      </c>
      <c r="I934" s="11" t="s">
        <v>260</v>
      </c>
      <c r="J934" s="11" t="s">
        <v>294</v>
      </c>
      <c r="K934" s="8" t="s">
        <v>675</v>
      </c>
      <c r="L934" s="8" t="s">
        <v>676</v>
      </c>
      <c r="M934" s="20">
        <v>45488.0</v>
      </c>
      <c r="N934" s="21">
        <v>50.0</v>
      </c>
      <c r="O934" s="22">
        <v>50.0</v>
      </c>
      <c r="P934" s="7"/>
      <c r="Q934" s="7"/>
      <c r="R934" s="7"/>
      <c r="S934" s="17"/>
    </row>
    <row r="935" ht="13.5" customHeight="1">
      <c r="A935" s="13" t="s">
        <v>1599</v>
      </c>
      <c r="B935" s="8" t="s">
        <v>167</v>
      </c>
      <c r="C935" s="8" t="s">
        <v>296</v>
      </c>
      <c r="D935" s="8" t="s">
        <v>1282</v>
      </c>
      <c r="E935" s="9" t="s">
        <v>1600</v>
      </c>
      <c r="F935" s="8" t="s">
        <v>1601</v>
      </c>
      <c r="G935" s="8" t="s">
        <v>84</v>
      </c>
      <c r="H935" s="11" t="s">
        <v>259</v>
      </c>
      <c r="I935" s="11" t="s">
        <v>260</v>
      </c>
      <c r="J935" s="11" t="s">
        <v>294</v>
      </c>
      <c r="K935" s="8" t="s">
        <v>675</v>
      </c>
      <c r="L935" s="8" t="s">
        <v>676</v>
      </c>
      <c r="M935" s="20">
        <v>45488.0</v>
      </c>
      <c r="N935" s="21">
        <v>322.0</v>
      </c>
      <c r="O935" s="22">
        <v>380.0</v>
      </c>
      <c r="P935" s="36"/>
      <c r="Q935" s="7"/>
      <c r="R935" s="7"/>
      <c r="S935" s="17"/>
    </row>
    <row r="936" ht="13.5" customHeight="1">
      <c r="A936" s="13" t="s">
        <v>1602</v>
      </c>
      <c r="B936" s="8" t="s">
        <v>301</v>
      </c>
      <c r="C936" s="8" t="s">
        <v>296</v>
      </c>
      <c r="D936" s="8" t="s">
        <v>1287</v>
      </c>
      <c r="E936" s="9" t="s">
        <v>1603</v>
      </c>
      <c r="F936" s="8" t="s">
        <v>1604</v>
      </c>
      <c r="G936" s="8" t="s">
        <v>84</v>
      </c>
      <c r="H936" s="11" t="s">
        <v>259</v>
      </c>
      <c r="I936" s="11" t="s">
        <v>260</v>
      </c>
      <c r="J936" s="11" t="s">
        <v>294</v>
      </c>
      <c r="K936" s="8" t="s">
        <v>675</v>
      </c>
      <c r="L936" s="8" t="s">
        <v>676</v>
      </c>
      <c r="M936" s="20">
        <v>45488.0</v>
      </c>
      <c r="N936" s="21">
        <v>50.0</v>
      </c>
      <c r="O936" s="22">
        <v>50.0</v>
      </c>
      <c r="P936" s="7"/>
      <c r="Q936" s="7"/>
      <c r="R936" s="7"/>
      <c r="S936" s="17"/>
    </row>
    <row r="937" ht="13.5" customHeight="1">
      <c r="A937" s="13" t="s">
        <v>1605</v>
      </c>
      <c r="B937" s="8" t="s">
        <v>167</v>
      </c>
      <c r="C937" s="8" t="s">
        <v>296</v>
      </c>
      <c r="D937" s="8" t="s">
        <v>1282</v>
      </c>
      <c r="E937" s="9" t="s">
        <v>1606</v>
      </c>
      <c r="F937" s="8" t="s">
        <v>1607</v>
      </c>
      <c r="G937" s="8" t="s">
        <v>84</v>
      </c>
      <c r="H937" s="11" t="s">
        <v>259</v>
      </c>
      <c r="I937" s="11" t="s">
        <v>260</v>
      </c>
      <c r="J937" s="11" t="s">
        <v>294</v>
      </c>
      <c r="K937" s="8" t="s">
        <v>675</v>
      </c>
      <c r="L937" s="8" t="s">
        <v>676</v>
      </c>
      <c r="M937" s="20">
        <v>45488.0</v>
      </c>
      <c r="N937" s="21">
        <v>322.0</v>
      </c>
      <c r="O937" s="22">
        <v>380.0</v>
      </c>
      <c r="P937" s="7"/>
      <c r="Q937" s="7"/>
      <c r="R937" s="7"/>
      <c r="S937" s="17"/>
    </row>
    <row r="938" ht="13.5" customHeight="1">
      <c r="A938" s="13" t="s">
        <v>1608</v>
      </c>
      <c r="B938" s="8" t="s">
        <v>301</v>
      </c>
      <c r="C938" s="8" t="s">
        <v>296</v>
      </c>
      <c r="D938" s="8" t="s">
        <v>1287</v>
      </c>
      <c r="E938" s="9" t="s">
        <v>1609</v>
      </c>
      <c r="F938" s="8" t="s">
        <v>1610</v>
      </c>
      <c r="G938" s="8" t="s">
        <v>84</v>
      </c>
      <c r="H938" s="11" t="s">
        <v>259</v>
      </c>
      <c r="I938" s="11" t="s">
        <v>260</v>
      </c>
      <c r="J938" s="11" t="s">
        <v>294</v>
      </c>
      <c r="K938" s="8" t="s">
        <v>675</v>
      </c>
      <c r="L938" s="8" t="s">
        <v>676</v>
      </c>
      <c r="M938" s="20">
        <v>45488.0</v>
      </c>
      <c r="N938" s="21">
        <v>50.0</v>
      </c>
      <c r="O938" s="22">
        <v>50.0</v>
      </c>
      <c r="P938" s="7"/>
      <c r="Q938" s="7"/>
      <c r="R938" s="7"/>
      <c r="S938" s="17"/>
    </row>
    <row r="939" ht="13.5" customHeight="1">
      <c r="A939" s="13" t="s">
        <v>1611</v>
      </c>
      <c r="B939" s="8" t="s">
        <v>167</v>
      </c>
      <c r="C939" s="8" t="s">
        <v>296</v>
      </c>
      <c r="D939" s="8" t="s">
        <v>1282</v>
      </c>
      <c r="E939" s="9" t="s">
        <v>1612</v>
      </c>
      <c r="F939" s="8" t="s">
        <v>1613</v>
      </c>
      <c r="G939" s="8" t="s">
        <v>84</v>
      </c>
      <c r="H939" s="11" t="s">
        <v>259</v>
      </c>
      <c r="I939" s="11" t="s">
        <v>260</v>
      </c>
      <c r="J939" s="11" t="s">
        <v>294</v>
      </c>
      <c r="K939" s="8" t="s">
        <v>675</v>
      </c>
      <c r="L939" s="8" t="s">
        <v>676</v>
      </c>
      <c r="M939" s="20">
        <v>45488.0</v>
      </c>
      <c r="N939" s="21">
        <v>322.0</v>
      </c>
      <c r="O939" s="22">
        <v>380.0</v>
      </c>
      <c r="P939" s="7"/>
      <c r="Q939" s="7"/>
      <c r="R939" s="7"/>
      <c r="S939" s="17"/>
    </row>
    <row r="940" ht="13.5" customHeight="1">
      <c r="A940" s="13" t="s">
        <v>1614</v>
      </c>
      <c r="B940" s="8" t="s">
        <v>301</v>
      </c>
      <c r="C940" s="8" t="s">
        <v>296</v>
      </c>
      <c r="D940" s="8" t="s">
        <v>1287</v>
      </c>
      <c r="E940" s="9" t="s">
        <v>1615</v>
      </c>
      <c r="F940" s="8" t="s">
        <v>1616</v>
      </c>
      <c r="G940" s="8" t="s">
        <v>84</v>
      </c>
      <c r="H940" s="11" t="s">
        <v>259</v>
      </c>
      <c r="I940" s="11" t="s">
        <v>260</v>
      </c>
      <c r="J940" s="11" t="s">
        <v>294</v>
      </c>
      <c r="K940" s="8" t="s">
        <v>675</v>
      </c>
      <c r="L940" s="8" t="s">
        <v>676</v>
      </c>
      <c r="M940" s="20">
        <v>45488.0</v>
      </c>
      <c r="N940" s="21">
        <v>50.0</v>
      </c>
      <c r="O940" s="22">
        <v>50.0</v>
      </c>
      <c r="P940" s="7"/>
      <c r="Q940" s="7"/>
      <c r="R940" s="7"/>
      <c r="S940" s="17"/>
    </row>
    <row r="941" ht="13.5" customHeight="1">
      <c r="A941" s="13" t="s">
        <v>1617</v>
      </c>
      <c r="B941" s="8" t="s">
        <v>167</v>
      </c>
      <c r="C941" s="8" t="s">
        <v>296</v>
      </c>
      <c r="D941" s="8" t="s">
        <v>1282</v>
      </c>
      <c r="E941" s="9" t="s">
        <v>1618</v>
      </c>
      <c r="F941" s="8" t="s">
        <v>1619</v>
      </c>
      <c r="G941" s="8" t="s">
        <v>84</v>
      </c>
      <c r="H941" s="11" t="s">
        <v>259</v>
      </c>
      <c r="I941" s="11" t="s">
        <v>260</v>
      </c>
      <c r="J941" s="11" t="s">
        <v>294</v>
      </c>
      <c r="K941" s="8" t="s">
        <v>675</v>
      </c>
      <c r="L941" s="8" t="s">
        <v>676</v>
      </c>
      <c r="M941" s="20">
        <v>45488.0</v>
      </c>
      <c r="N941" s="21">
        <v>322.0</v>
      </c>
      <c r="O941" s="22">
        <v>380.0</v>
      </c>
      <c r="P941" s="7"/>
      <c r="Q941" s="7"/>
      <c r="R941" s="7"/>
      <c r="S941" s="17"/>
    </row>
    <row r="942" ht="13.5" customHeight="1">
      <c r="A942" s="13" t="s">
        <v>1620</v>
      </c>
      <c r="B942" s="8" t="s">
        <v>301</v>
      </c>
      <c r="C942" s="8" t="s">
        <v>296</v>
      </c>
      <c r="D942" s="8" t="s">
        <v>1287</v>
      </c>
      <c r="E942" s="9" t="s">
        <v>1621</v>
      </c>
      <c r="F942" s="8" t="s">
        <v>1622</v>
      </c>
      <c r="G942" s="8" t="s">
        <v>84</v>
      </c>
      <c r="H942" s="11" t="s">
        <v>259</v>
      </c>
      <c r="I942" s="11" t="s">
        <v>260</v>
      </c>
      <c r="J942" s="11" t="s">
        <v>294</v>
      </c>
      <c r="K942" s="8" t="s">
        <v>675</v>
      </c>
      <c r="L942" s="8" t="s">
        <v>676</v>
      </c>
      <c r="M942" s="20">
        <v>45488.0</v>
      </c>
      <c r="N942" s="21">
        <v>50.0</v>
      </c>
      <c r="O942" s="22">
        <v>50.0</v>
      </c>
      <c r="P942" s="7"/>
      <c r="Q942" s="7"/>
      <c r="R942" s="7"/>
      <c r="S942" s="17"/>
    </row>
    <row r="943" ht="13.5" customHeight="1">
      <c r="A943" s="13" t="s">
        <v>1623</v>
      </c>
      <c r="B943" s="8" t="s">
        <v>167</v>
      </c>
      <c r="C943" s="8" t="s">
        <v>296</v>
      </c>
      <c r="D943" s="8" t="s">
        <v>1282</v>
      </c>
      <c r="E943" s="9" t="s">
        <v>1624</v>
      </c>
      <c r="F943" s="8" t="s">
        <v>1625</v>
      </c>
      <c r="G943" s="8" t="s">
        <v>84</v>
      </c>
      <c r="H943" s="11" t="s">
        <v>259</v>
      </c>
      <c r="I943" s="11" t="s">
        <v>260</v>
      </c>
      <c r="J943" s="11" t="s">
        <v>294</v>
      </c>
      <c r="K943" s="8" t="s">
        <v>675</v>
      </c>
      <c r="L943" s="8" t="s">
        <v>676</v>
      </c>
      <c r="M943" s="20">
        <v>45488.0</v>
      </c>
      <c r="N943" s="21">
        <v>322.0</v>
      </c>
      <c r="O943" s="22">
        <v>380.0</v>
      </c>
      <c r="P943" s="7"/>
      <c r="Q943" s="7"/>
      <c r="R943" s="7"/>
      <c r="S943" s="17"/>
    </row>
    <row r="944" ht="13.5" customHeight="1">
      <c r="A944" s="13" t="s">
        <v>1626</v>
      </c>
      <c r="B944" s="8" t="s">
        <v>301</v>
      </c>
      <c r="C944" s="8" t="s">
        <v>296</v>
      </c>
      <c r="D944" s="8" t="s">
        <v>1287</v>
      </c>
      <c r="E944" s="9" t="s">
        <v>1627</v>
      </c>
      <c r="F944" s="8" t="s">
        <v>1628</v>
      </c>
      <c r="G944" s="8" t="s">
        <v>84</v>
      </c>
      <c r="H944" s="11" t="s">
        <v>259</v>
      </c>
      <c r="I944" s="11" t="s">
        <v>260</v>
      </c>
      <c r="J944" s="11" t="s">
        <v>294</v>
      </c>
      <c r="K944" s="8" t="s">
        <v>675</v>
      </c>
      <c r="L944" s="8" t="s">
        <v>676</v>
      </c>
      <c r="M944" s="20">
        <v>45488.0</v>
      </c>
      <c r="N944" s="21">
        <v>50.0</v>
      </c>
      <c r="O944" s="22">
        <v>50.0</v>
      </c>
      <c r="P944" s="7"/>
      <c r="Q944" s="7"/>
      <c r="R944" s="7"/>
      <c r="S944" s="17"/>
    </row>
    <row r="945" ht="13.5" customHeight="1">
      <c r="A945" s="13" t="s">
        <v>1629</v>
      </c>
      <c r="B945" s="8" t="s">
        <v>167</v>
      </c>
      <c r="C945" s="8" t="s">
        <v>296</v>
      </c>
      <c r="D945" s="8" t="s">
        <v>1282</v>
      </c>
      <c r="E945" s="9" t="s">
        <v>1630</v>
      </c>
      <c r="F945" s="8" t="s">
        <v>1631</v>
      </c>
      <c r="G945" s="8" t="s">
        <v>84</v>
      </c>
      <c r="H945" s="11" t="s">
        <v>259</v>
      </c>
      <c r="I945" s="11" t="s">
        <v>260</v>
      </c>
      <c r="J945" s="11" t="s">
        <v>294</v>
      </c>
      <c r="K945" s="8" t="s">
        <v>675</v>
      </c>
      <c r="L945" s="8" t="s">
        <v>676</v>
      </c>
      <c r="M945" s="20">
        <v>45488.0</v>
      </c>
      <c r="N945" s="21">
        <v>322.0</v>
      </c>
      <c r="O945" s="22">
        <v>380.0</v>
      </c>
      <c r="P945" s="7"/>
      <c r="Q945" s="7"/>
      <c r="R945" s="7"/>
      <c r="S945" s="17"/>
    </row>
    <row r="946" ht="13.5" customHeight="1">
      <c r="A946" s="13" t="s">
        <v>1632</v>
      </c>
      <c r="B946" s="8" t="s">
        <v>301</v>
      </c>
      <c r="C946" s="8" t="s">
        <v>296</v>
      </c>
      <c r="D946" s="8" t="s">
        <v>1287</v>
      </c>
      <c r="E946" s="9" t="s">
        <v>1633</v>
      </c>
      <c r="F946" s="8" t="s">
        <v>1634</v>
      </c>
      <c r="G946" s="8" t="s">
        <v>84</v>
      </c>
      <c r="H946" s="11" t="s">
        <v>259</v>
      </c>
      <c r="I946" s="11" t="s">
        <v>260</v>
      </c>
      <c r="J946" s="11" t="s">
        <v>294</v>
      </c>
      <c r="K946" s="8" t="s">
        <v>675</v>
      </c>
      <c r="L946" s="8" t="s">
        <v>676</v>
      </c>
      <c r="M946" s="20">
        <v>45488.0</v>
      </c>
      <c r="N946" s="21">
        <v>50.0</v>
      </c>
      <c r="O946" s="22">
        <v>50.0</v>
      </c>
      <c r="P946" s="7"/>
      <c r="Q946" s="7"/>
      <c r="R946" s="7"/>
      <c r="S946" s="17"/>
    </row>
    <row r="947" ht="13.5" customHeight="1">
      <c r="A947" s="13" t="s">
        <v>1635</v>
      </c>
      <c r="B947" s="8" t="s">
        <v>167</v>
      </c>
      <c r="C947" s="8" t="s">
        <v>296</v>
      </c>
      <c r="D947" s="8" t="s">
        <v>1282</v>
      </c>
      <c r="E947" s="9" t="s">
        <v>1636</v>
      </c>
      <c r="F947" s="8" t="s">
        <v>1637</v>
      </c>
      <c r="G947" s="8" t="s">
        <v>84</v>
      </c>
      <c r="H947" s="11" t="s">
        <v>259</v>
      </c>
      <c r="I947" s="11" t="s">
        <v>260</v>
      </c>
      <c r="J947" s="11" t="s">
        <v>294</v>
      </c>
      <c r="K947" s="8" t="s">
        <v>675</v>
      </c>
      <c r="L947" s="8" t="s">
        <v>676</v>
      </c>
      <c r="M947" s="20">
        <v>45488.0</v>
      </c>
      <c r="N947" s="21">
        <v>322.0</v>
      </c>
      <c r="O947" s="22">
        <v>380.0</v>
      </c>
      <c r="P947" s="7"/>
      <c r="Q947" s="7"/>
      <c r="R947" s="7"/>
      <c r="S947" s="17"/>
    </row>
    <row r="948" ht="13.5" customHeight="1">
      <c r="A948" s="13" t="s">
        <v>1638</v>
      </c>
      <c r="B948" s="8" t="s">
        <v>301</v>
      </c>
      <c r="C948" s="8" t="s">
        <v>296</v>
      </c>
      <c r="D948" s="8" t="s">
        <v>1287</v>
      </c>
      <c r="E948" s="9" t="s">
        <v>1639</v>
      </c>
      <c r="F948" s="8" t="s">
        <v>1640</v>
      </c>
      <c r="G948" s="8" t="s">
        <v>84</v>
      </c>
      <c r="H948" s="11" t="s">
        <v>259</v>
      </c>
      <c r="I948" s="11" t="s">
        <v>260</v>
      </c>
      <c r="J948" s="11" t="s">
        <v>294</v>
      </c>
      <c r="K948" s="8" t="s">
        <v>675</v>
      </c>
      <c r="L948" s="8" t="s">
        <v>676</v>
      </c>
      <c r="M948" s="20">
        <v>45488.0</v>
      </c>
      <c r="N948" s="21">
        <v>50.0</v>
      </c>
      <c r="O948" s="22">
        <v>50.0</v>
      </c>
      <c r="P948" s="7"/>
      <c r="Q948" s="7"/>
      <c r="R948" s="7"/>
      <c r="S948" s="17"/>
    </row>
    <row r="949" ht="13.5" customHeight="1">
      <c r="A949" s="13" t="s">
        <v>1641</v>
      </c>
      <c r="B949" s="8" t="s">
        <v>167</v>
      </c>
      <c r="C949" s="8" t="s">
        <v>296</v>
      </c>
      <c r="D949" s="8" t="s">
        <v>1282</v>
      </c>
      <c r="E949" s="9" t="s">
        <v>1642</v>
      </c>
      <c r="F949" s="8" t="s">
        <v>1643</v>
      </c>
      <c r="G949" s="8" t="s">
        <v>84</v>
      </c>
      <c r="H949" s="11" t="s">
        <v>259</v>
      </c>
      <c r="I949" s="11" t="s">
        <v>260</v>
      </c>
      <c r="J949" s="11" t="s">
        <v>294</v>
      </c>
      <c r="K949" s="8" t="s">
        <v>675</v>
      </c>
      <c r="L949" s="8" t="s">
        <v>676</v>
      </c>
      <c r="M949" s="20">
        <v>45488.0</v>
      </c>
      <c r="N949" s="21">
        <v>322.0</v>
      </c>
      <c r="O949" s="22">
        <v>380.0</v>
      </c>
      <c r="P949" s="7"/>
      <c r="Q949" s="7"/>
      <c r="R949" s="7"/>
      <c r="S949" s="17"/>
    </row>
    <row r="950" ht="13.5" customHeight="1">
      <c r="A950" s="13" t="s">
        <v>1644</v>
      </c>
      <c r="B950" s="8" t="s">
        <v>301</v>
      </c>
      <c r="C950" s="8" t="s">
        <v>296</v>
      </c>
      <c r="D950" s="8" t="s">
        <v>1287</v>
      </c>
      <c r="E950" s="9" t="s">
        <v>1645</v>
      </c>
      <c r="F950" s="8" t="s">
        <v>1646</v>
      </c>
      <c r="G950" s="8" t="s">
        <v>84</v>
      </c>
      <c r="H950" s="11" t="s">
        <v>259</v>
      </c>
      <c r="I950" s="11" t="s">
        <v>260</v>
      </c>
      <c r="J950" s="11" t="s">
        <v>294</v>
      </c>
      <c r="K950" s="8" t="s">
        <v>675</v>
      </c>
      <c r="L950" s="8" t="s">
        <v>676</v>
      </c>
      <c r="M950" s="20">
        <v>45488.0</v>
      </c>
      <c r="N950" s="21">
        <v>50.0</v>
      </c>
      <c r="O950" s="22">
        <v>50.0</v>
      </c>
      <c r="P950" s="7"/>
      <c r="Q950" s="7"/>
      <c r="R950" s="7"/>
      <c r="S950" s="17"/>
    </row>
    <row r="951" ht="13.5" customHeight="1">
      <c r="A951" s="13" t="s">
        <v>1647</v>
      </c>
      <c r="B951" s="8" t="s">
        <v>167</v>
      </c>
      <c r="C951" s="8" t="s">
        <v>296</v>
      </c>
      <c r="D951" s="8" t="s">
        <v>1282</v>
      </c>
      <c r="E951" s="9" t="s">
        <v>1648</v>
      </c>
      <c r="F951" s="8" t="s">
        <v>1649</v>
      </c>
      <c r="G951" s="8" t="s">
        <v>84</v>
      </c>
      <c r="H951" s="11" t="s">
        <v>259</v>
      </c>
      <c r="I951" s="11" t="s">
        <v>260</v>
      </c>
      <c r="J951" s="11" t="s">
        <v>294</v>
      </c>
      <c r="K951" s="8" t="s">
        <v>675</v>
      </c>
      <c r="L951" s="8" t="s">
        <v>676</v>
      </c>
      <c r="M951" s="20">
        <v>45488.0</v>
      </c>
      <c r="N951" s="21">
        <v>322.0</v>
      </c>
      <c r="O951" s="22">
        <v>380.0</v>
      </c>
      <c r="P951" s="7"/>
      <c r="Q951" s="7"/>
      <c r="R951" s="7"/>
      <c r="S951" s="17"/>
    </row>
    <row r="952" ht="13.5" customHeight="1">
      <c r="A952" s="13" t="s">
        <v>1650</v>
      </c>
      <c r="B952" s="8" t="s">
        <v>301</v>
      </c>
      <c r="C952" s="8" t="s">
        <v>296</v>
      </c>
      <c r="D952" s="8" t="s">
        <v>1287</v>
      </c>
      <c r="E952" s="9" t="s">
        <v>1651</v>
      </c>
      <c r="F952" s="8" t="s">
        <v>1652</v>
      </c>
      <c r="G952" s="8" t="s">
        <v>84</v>
      </c>
      <c r="H952" s="11" t="s">
        <v>259</v>
      </c>
      <c r="I952" s="11" t="s">
        <v>260</v>
      </c>
      <c r="J952" s="11" t="s">
        <v>294</v>
      </c>
      <c r="K952" s="8" t="s">
        <v>675</v>
      </c>
      <c r="L952" s="8" t="s">
        <v>676</v>
      </c>
      <c r="M952" s="20">
        <v>45488.0</v>
      </c>
      <c r="N952" s="21">
        <v>50.0</v>
      </c>
      <c r="O952" s="22">
        <v>50.0</v>
      </c>
      <c r="P952" s="7"/>
      <c r="Q952" s="7"/>
      <c r="R952" s="7"/>
      <c r="S952" s="17"/>
    </row>
    <row r="953" ht="13.5" customHeight="1">
      <c r="A953" s="13" t="s">
        <v>1653</v>
      </c>
      <c r="B953" s="8" t="s">
        <v>167</v>
      </c>
      <c r="C953" s="8" t="s">
        <v>296</v>
      </c>
      <c r="D953" s="8" t="s">
        <v>1282</v>
      </c>
      <c r="E953" s="9" t="s">
        <v>1654</v>
      </c>
      <c r="F953" s="8" t="s">
        <v>1655</v>
      </c>
      <c r="G953" s="8" t="s">
        <v>84</v>
      </c>
      <c r="H953" s="11" t="s">
        <v>259</v>
      </c>
      <c r="I953" s="11" t="s">
        <v>260</v>
      </c>
      <c r="J953" s="11" t="s">
        <v>294</v>
      </c>
      <c r="K953" s="8" t="s">
        <v>675</v>
      </c>
      <c r="L953" s="8" t="s">
        <v>676</v>
      </c>
      <c r="M953" s="20">
        <v>45488.0</v>
      </c>
      <c r="N953" s="21">
        <v>322.0</v>
      </c>
      <c r="O953" s="22">
        <v>380.0</v>
      </c>
      <c r="P953" s="7"/>
      <c r="Q953" s="7"/>
      <c r="R953" s="7"/>
      <c r="S953" s="17"/>
    </row>
    <row r="954" ht="13.5" customHeight="1">
      <c r="A954" s="13" t="s">
        <v>1656</v>
      </c>
      <c r="B954" s="8" t="s">
        <v>301</v>
      </c>
      <c r="C954" s="8" t="s">
        <v>296</v>
      </c>
      <c r="D954" s="8" t="s">
        <v>1287</v>
      </c>
      <c r="E954" s="9" t="s">
        <v>1657</v>
      </c>
      <c r="F954" s="8" t="s">
        <v>1658</v>
      </c>
      <c r="G954" s="8" t="s">
        <v>84</v>
      </c>
      <c r="H954" s="11" t="s">
        <v>259</v>
      </c>
      <c r="I954" s="11" t="s">
        <v>260</v>
      </c>
      <c r="J954" s="11" t="s">
        <v>294</v>
      </c>
      <c r="K954" s="8" t="s">
        <v>675</v>
      </c>
      <c r="L954" s="8" t="s">
        <v>676</v>
      </c>
      <c r="M954" s="20">
        <v>45488.0</v>
      </c>
      <c r="N954" s="21">
        <v>50.0</v>
      </c>
      <c r="O954" s="22">
        <v>50.0</v>
      </c>
      <c r="P954" s="7"/>
      <c r="Q954" s="7"/>
      <c r="R954" s="7"/>
      <c r="S954" s="17"/>
    </row>
    <row r="955" ht="13.5" customHeight="1">
      <c r="A955" s="13" t="s">
        <v>1659</v>
      </c>
      <c r="B955" s="8" t="s">
        <v>167</v>
      </c>
      <c r="C955" s="8" t="s">
        <v>296</v>
      </c>
      <c r="D955" s="8" t="s">
        <v>1282</v>
      </c>
      <c r="E955" s="9" t="s">
        <v>1660</v>
      </c>
      <c r="F955" s="8" t="s">
        <v>1661</v>
      </c>
      <c r="G955" s="8" t="s">
        <v>84</v>
      </c>
      <c r="H955" s="11" t="s">
        <v>259</v>
      </c>
      <c r="I955" s="11" t="s">
        <v>260</v>
      </c>
      <c r="J955" s="11" t="s">
        <v>294</v>
      </c>
      <c r="K955" s="8" t="s">
        <v>675</v>
      </c>
      <c r="L955" s="8" t="s">
        <v>676</v>
      </c>
      <c r="M955" s="20">
        <v>45488.0</v>
      </c>
      <c r="N955" s="21">
        <v>322.0</v>
      </c>
      <c r="O955" s="22">
        <v>380.0</v>
      </c>
      <c r="P955" s="7"/>
      <c r="Q955" s="7"/>
      <c r="R955" s="7"/>
      <c r="S955" s="17"/>
    </row>
    <row r="956" ht="13.5" customHeight="1">
      <c r="A956" s="13" t="s">
        <v>1662</v>
      </c>
      <c r="B956" s="8" t="s">
        <v>301</v>
      </c>
      <c r="C956" s="8" t="s">
        <v>296</v>
      </c>
      <c r="D956" s="8" t="s">
        <v>1287</v>
      </c>
      <c r="E956" s="9" t="s">
        <v>1663</v>
      </c>
      <c r="F956" s="8" t="s">
        <v>1664</v>
      </c>
      <c r="G956" s="8" t="s">
        <v>84</v>
      </c>
      <c r="H956" s="11" t="s">
        <v>259</v>
      </c>
      <c r="I956" s="11" t="s">
        <v>260</v>
      </c>
      <c r="J956" s="11" t="s">
        <v>294</v>
      </c>
      <c r="K956" s="8" t="s">
        <v>675</v>
      </c>
      <c r="L956" s="8" t="s">
        <v>676</v>
      </c>
      <c r="M956" s="20">
        <v>45488.0</v>
      </c>
      <c r="N956" s="21">
        <v>50.0</v>
      </c>
      <c r="O956" s="22">
        <v>50.0</v>
      </c>
      <c r="P956" s="7"/>
      <c r="Q956" s="7"/>
      <c r="R956" s="7"/>
      <c r="S956" s="17"/>
    </row>
    <row r="957" ht="13.5" customHeight="1">
      <c r="A957" s="13" t="s">
        <v>1665</v>
      </c>
      <c r="B957" s="8" t="s">
        <v>167</v>
      </c>
      <c r="C957" s="8" t="s">
        <v>296</v>
      </c>
      <c r="D957" s="8" t="s">
        <v>1282</v>
      </c>
      <c r="E957" s="9" t="s">
        <v>1666</v>
      </c>
      <c r="F957" s="8" t="s">
        <v>1667</v>
      </c>
      <c r="G957" s="8" t="s">
        <v>84</v>
      </c>
      <c r="H957" s="11" t="s">
        <v>259</v>
      </c>
      <c r="I957" s="11" t="s">
        <v>260</v>
      </c>
      <c r="J957" s="11" t="s">
        <v>294</v>
      </c>
      <c r="K957" s="8" t="s">
        <v>675</v>
      </c>
      <c r="L957" s="8" t="s">
        <v>676</v>
      </c>
      <c r="M957" s="20">
        <v>45488.0</v>
      </c>
      <c r="N957" s="21">
        <v>322.0</v>
      </c>
      <c r="O957" s="22">
        <v>380.0</v>
      </c>
      <c r="P957" s="7"/>
      <c r="Q957" s="7"/>
      <c r="R957" s="7"/>
      <c r="S957" s="17"/>
    </row>
    <row r="958" ht="13.5" customHeight="1">
      <c r="A958" s="13" t="s">
        <v>1668</v>
      </c>
      <c r="B958" s="8" t="s">
        <v>301</v>
      </c>
      <c r="C958" s="8" t="s">
        <v>296</v>
      </c>
      <c r="D958" s="8" t="s">
        <v>1287</v>
      </c>
      <c r="E958" s="9" t="s">
        <v>1669</v>
      </c>
      <c r="F958" s="8" t="s">
        <v>1670</v>
      </c>
      <c r="G958" s="8" t="s">
        <v>84</v>
      </c>
      <c r="H958" s="11" t="s">
        <v>259</v>
      </c>
      <c r="I958" s="11" t="s">
        <v>260</v>
      </c>
      <c r="J958" s="11" t="s">
        <v>294</v>
      </c>
      <c r="K958" s="8" t="s">
        <v>675</v>
      </c>
      <c r="L958" s="8" t="s">
        <v>676</v>
      </c>
      <c r="M958" s="20">
        <v>45488.0</v>
      </c>
      <c r="N958" s="21">
        <v>50.0</v>
      </c>
      <c r="O958" s="22">
        <v>50.0</v>
      </c>
      <c r="P958" s="7"/>
      <c r="Q958" s="7"/>
      <c r="R958" s="7"/>
      <c r="S958" s="17"/>
    </row>
    <row r="959" ht="13.5" customHeight="1">
      <c r="A959" s="13" t="s">
        <v>1671</v>
      </c>
      <c r="B959" s="8" t="s">
        <v>167</v>
      </c>
      <c r="C959" s="8" t="s">
        <v>296</v>
      </c>
      <c r="D959" s="8" t="s">
        <v>1282</v>
      </c>
      <c r="E959" s="9" t="s">
        <v>1672</v>
      </c>
      <c r="F959" s="8" t="s">
        <v>1673</v>
      </c>
      <c r="G959" s="8" t="s">
        <v>84</v>
      </c>
      <c r="H959" s="11" t="s">
        <v>259</v>
      </c>
      <c r="I959" s="11" t="s">
        <v>260</v>
      </c>
      <c r="J959" s="11" t="s">
        <v>294</v>
      </c>
      <c r="K959" s="8" t="s">
        <v>675</v>
      </c>
      <c r="L959" s="8" t="s">
        <v>676</v>
      </c>
      <c r="M959" s="20">
        <v>45488.0</v>
      </c>
      <c r="N959" s="21">
        <v>322.0</v>
      </c>
      <c r="O959" s="22">
        <v>380.0</v>
      </c>
      <c r="P959" s="7"/>
      <c r="Q959" s="7"/>
      <c r="R959" s="7"/>
      <c r="S959" s="17"/>
    </row>
    <row r="960" ht="13.5" customHeight="1">
      <c r="A960" s="13" t="s">
        <v>1674</v>
      </c>
      <c r="B960" s="8" t="s">
        <v>301</v>
      </c>
      <c r="C960" s="8" t="s">
        <v>296</v>
      </c>
      <c r="D960" s="8" t="s">
        <v>1287</v>
      </c>
      <c r="E960" s="9" t="s">
        <v>1675</v>
      </c>
      <c r="F960" s="8" t="s">
        <v>1676</v>
      </c>
      <c r="G960" s="8" t="s">
        <v>84</v>
      </c>
      <c r="H960" s="11" t="s">
        <v>259</v>
      </c>
      <c r="I960" s="11" t="s">
        <v>260</v>
      </c>
      <c r="J960" s="11" t="s">
        <v>294</v>
      </c>
      <c r="K960" s="8" t="s">
        <v>675</v>
      </c>
      <c r="L960" s="8" t="s">
        <v>676</v>
      </c>
      <c r="M960" s="20">
        <v>45488.0</v>
      </c>
      <c r="N960" s="21">
        <v>50.0</v>
      </c>
      <c r="O960" s="22">
        <v>50.0</v>
      </c>
      <c r="P960" s="7"/>
      <c r="Q960" s="7"/>
      <c r="R960" s="7"/>
      <c r="S960" s="17"/>
    </row>
    <row r="961" ht="13.5" customHeight="1">
      <c r="A961" s="13" t="s">
        <v>1677</v>
      </c>
      <c r="B961" s="8" t="s">
        <v>167</v>
      </c>
      <c r="C961" s="8" t="s">
        <v>296</v>
      </c>
      <c r="D961" s="8" t="s">
        <v>1282</v>
      </c>
      <c r="E961" s="9" t="s">
        <v>1678</v>
      </c>
      <c r="F961" s="8" t="s">
        <v>1679</v>
      </c>
      <c r="G961" s="8" t="s">
        <v>84</v>
      </c>
      <c r="H961" s="11" t="s">
        <v>259</v>
      </c>
      <c r="I961" s="11" t="s">
        <v>260</v>
      </c>
      <c r="J961" s="11" t="s">
        <v>294</v>
      </c>
      <c r="K961" s="8" t="s">
        <v>675</v>
      </c>
      <c r="L961" s="8" t="s">
        <v>676</v>
      </c>
      <c r="M961" s="20">
        <v>45488.0</v>
      </c>
      <c r="N961" s="21">
        <v>322.0</v>
      </c>
      <c r="O961" s="22">
        <v>380.0</v>
      </c>
      <c r="P961" s="7"/>
      <c r="Q961" s="7"/>
      <c r="R961" s="7"/>
      <c r="S961" s="17"/>
    </row>
    <row r="962" ht="13.5" customHeight="1">
      <c r="A962" s="13" t="s">
        <v>1680</v>
      </c>
      <c r="B962" s="8" t="s">
        <v>301</v>
      </c>
      <c r="C962" s="8" t="s">
        <v>296</v>
      </c>
      <c r="D962" s="8" t="s">
        <v>1287</v>
      </c>
      <c r="E962" s="9" t="s">
        <v>1681</v>
      </c>
      <c r="F962" s="8" t="s">
        <v>1682</v>
      </c>
      <c r="G962" s="8" t="s">
        <v>84</v>
      </c>
      <c r="H962" s="11" t="s">
        <v>259</v>
      </c>
      <c r="I962" s="11" t="s">
        <v>260</v>
      </c>
      <c r="J962" s="11" t="s">
        <v>294</v>
      </c>
      <c r="K962" s="8" t="s">
        <v>675</v>
      </c>
      <c r="L962" s="8" t="s">
        <v>676</v>
      </c>
      <c r="M962" s="20">
        <v>45488.0</v>
      </c>
      <c r="N962" s="21">
        <v>50.0</v>
      </c>
      <c r="O962" s="22">
        <v>50.0</v>
      </c>
      <c r="P962" s="7"/>
      <c r="Q962" s="7"/>
      <c r="R962" s="7"/>
      <c r="S962" s="17"/>
    </row>
    <row r="963" ht="13.5" customHeight="1">
      <c r="A963" s="13" t="s">
        <v>1683</v>
      </c>
      <c r="B963" s="8" t="s">
        <v>167</v>
      </c>
      <c r="C963" s="8" t="s">
        <v>296</v>
      </c>
      <c r="D963" s="8" t="s">
        <v>1282</v>
      </c>
      <c r="E963" s="9" t="s">
        <v>1684</v>
      </c>
      <c r="F963" s="8" t="s">
        <v>1685</v>
      </c>
      <c r="G963" s="8" t="s">
        <v>84</v>
      </c>
      <c r="H963" s="11" t="s">
        <v>259</v>
      </c>
      <c r="I963" s="11" t="s">
        <v>260</v>
      </c>
      <c r="J963" s="11" t="s">
        <v>294</v>
      </c>
      <c r="K963" s="8" t="s">
        <v>675</v>
      </c>
      <c r="L963" s="8" t="s">
        <v>676</v>
      </c>
      <c r="M963" s="20">
        <v>45488.0</v>
      </c>
      <c r="N963" s="21">
        <v>322.0</v>
      </c>
      <c r="O963" s="22">
        <v>380.0</v>
      </c>
      <c r="P963" s="7"/>
      <c r="Q963" s="7"/>
      <c r="R963" s="7"/>
      <c r="S963" s="17"/>
    </row>
    <row r="964" ht="13.5" customHeight="1">
      <c r="A964" s="13" t="s">
        <v>1686</v>
      </c>
      <c r="B964" s="8" t="s">
        <v>301</v>
      </c>
      <c r="C964" s="8" t="s">
        <v>296</v>
      </c>
      <c r="D964" s="8" t="s">
        <v>1287</v>
      </c>
      <c r="E964" s="9" t="s">
        <v>1687</v>
      </c>
      <c r="F964" s="8" t="s">
        <v>1688</v>
      </c>
      <c r="G964" s="8" t="s">
        <v>84</v>
      </c>
      <c r="H964" s="11" t="s">
        <v>259</v>
      </c>
      <c r="I964" s="11" t="s">
        <v>260</v>
      </c>
      <c r="J964" s="11" t="s">
        <v>294</v>
      </c>
      <c r="K964" s="8" t="s">
        <v>675</v>
      </c>
      <c r="L964" s="8" t="s">
        <v>676</v>
      </c>
      <c r="M964" s="20">
        <v>45488.0</v>
      </c>
      <c r="N964" s="21">
        <v>50.0</v>
      </c>
      <c r="O964" s="22">
        <v>50.0</v>
      </c>
      <c r="P964" s="7"/>
      <c r="Q964" s="7"/>
      <c r="R964" s="7"/>
      <c r="S964" s="17"/>
    </row>
    <row r="965" ht="13.5" customHeight="1">
      <c r="A965" s="8" t="s">
        <v>1689</v>
      </c>
      <c r="B965" s="8" t="s">
        <v>67</v>
      </c>
      <c r="C965" s="8" t="s">
        <v>68</v>
      </c>
      <c r="D965" s="8" t="s">
        <v>1690</v>
      </c>
      <c r="E965" s="9" t="s">
        <v>1691</v>
      </c>
      <c r="F965" s="8" t="s">
        <v>1692</v>
      </c>
      <c r="G965" s="8" t="s">
        <v>882</v>
      </c>
      <c r="H965" s="11" t="s">
        <v>670</v>
      </c>
      <c r="I965" s="11" t="s">
        <v>883</v>
      </c>
      <c r="J965" s="11" t="s">
        <v>884</v>
      </c>
      <c r="K965" s="8" t="s">
        <v>675</v>
      </c>
      <c r="L965" s="8" t="s">
        <v>676</v>
      </c>
      <c r="M965" s="20">
        <v>45489.0</v>
      </c>
      <c r="N965" s="21">
        <v>2864.0</v>
      </c>
      <c r="O965" s="22">
        <v>3000.0</v>
      </c>
      <c r="P965" s="7"/>
      <c r="Q965" s="7"/>
      <c r="R965" s="7"/>
      <c r="S965" s="17"/>
    </row>
    <row r="966" ht="13.5" customHeight="1">
      <c r="A966" s="8" t="s">
        <v>1693</v>
      </c>
      <c r="B966" s="8" t="s">
        <v>132</v>
      </c>
      <c r="C966" s="8" t="s">
        <v>68</v>
      </c>
      <c r="D966" s="8" t="s">
        <v>1694</v>
      </c>
      <c r="E966" s="9" t="s">
        <v>1695</v>
      </c>
      <c r="F966" s="8" t="s">
        <v>1696</v>
      </c>
      <c r="G966" s="8" t="s">
        <v>882</v>
      </c>
      <c r="H966" s="11" t="s">
        <v>670</v>
      </c>
      <c r="I966" s="11" t="s">
        <v>883</v>
      </c>
      <c r="J966" s="11" t="s">
        <v>884</v>
      </c>
      <c r="K966" s="8" t="s">
        <v>675</v>
      </c>
      <c r="L966" s="8" t="s">
        <v>676</v>
      </c>
      <c r="M966" s="20">
        <v>45489.0</v>
      </c>
      <c r="N966" s="21">
        <v>300.0</v>
      </c>
      <c r="O966" s="22">
        <v>300.0</v>
      </c>
      <c r="P966" s="7"/>
      <c r="Q966" s="7"/>
      <c r="R966" s="7"/>
      <c r="S966" s="17"/>
    </row>
    <row r="967" ht="13.5" customHeight="1">
      <c r="A967" s="8" t="s">
        <v>1697</v>
      </c>
      <c r="B967" s="8" t="s">
        <v>67</v>
      </c>
      <c r="C967" s="8" t="s">
        <v>68</v>
      </c>
      <c r="D967" s="8" t="s">
        <v>1698</v>
      </c>
      <c r="E967" s="9" t="s">
        <v>1699</v>
      </c>
      <c r="F967" s="8" t="s">
        <v>1700</v>
      </c>
      <c r="G967" s="8" t="s">
        <v>1701</v>
      </c>
      <c r="H967" s="11" t="s">
        <v>670</v>
      </c>
      <c r="I967" s="11" t="s">
        <v>260</v>
      </c>
      <c r="J967" s="11" t="s">
        <v>884</v>
      </c>
      <c r="K967" s="8" t="s">
        <v>675</v>
      </c>
      <c r="L967" s="8" t="s">
        <v>676</v>
      </c>
      <c r="M967" s="20">
        <v>45489.0</v>
      </c>
      <c r="N967" s="21">
        <v>4561.0</v>
      </c>
      <c r="O967" s="22">
        <v>7630.0</v>
      </c>
      <c r="P967" s="7"/>
      <c r="Q967" s="7"/>
      <c r="R967" s="7"/>
      <c r="S967" s="20">
        <v>45509.0</v>
      </c>
    </row>
    <row r="968" ht="13.5" customHeight="1">
      <c r="A968" s="8" t="s">
        <v>1702</v>
      </c>
      <c r="B968" s="8" t="s">
        <v>132</v>
      </c>
      <c r="C968" s="8" t="s">
        <v>68</v>
      </c>
      <c r="D968" s="8" t="s">
        <v>1703</v>
      </c>
      <c r="E968" s="9" t="s">
        <v>1704</v>
      </c>
      <c r="F968" s="8" t="s">
        <v>1705</v>
      </c>
      <c r="G968" s="8" t="s">
        <v>1701</v>
      </c>
      <c r="H968" s="11" t="s">
        <v>670</v>
      </c>
      <c r="I968" s="11" t="s">
        <v>260</v>
      </c>
      <c r="J968" s="11" t="s">
        <v>884</v>
      </c>
      <c r="K968" s="8" t="s">
        <v>675</v>
      </c>
      <c r="L968" s="8" t="s">
        <v>676</v>
      </c>
      <c r="M968" s="20">
        <v>45489.0</v>
      </c>
      <c r="N968" s="21">
        <v>300.0</v>
      </c>
      <c r="O968" s="22">
        <v>300.0</v>
      </c>
      <c r="P968" s="7"/>
      <c r="Q968" s="7"/>
      <c r="R968" s="7"/>
      <c r="S968" s="20">
        <v>45509.0</v>
      </c>
    </row>
    <row r="969" ht="13.5" customHeight="1">
      <c r="A969" s="8" t="s">
        <v>1706</v>
      </c>
      <c r="B969" s="8" t="s">
        <v>132</v>
      </c>
      <c r="C969" s="8" t="s">
        <v>270</v>
      </c>
      <c r="D969" s="8" t="s">
        <v>277</v>
      </c>
      <c r="E969" s="9" t="s">
        <v>1707</v>
      </c>
      <c r="F969" s="8" t="s">
        <v>1708</v>
      </c>
      <c r="G969" s="8" t="s">
        <v>1709</v>
      </c>
      <c r="H969" s="11" t="s">
        <v>670</v>
      </c>
      <c r="I969" s="11" t="s">
        <v>27</v>
      </c>
      <c r="J969" s="11" t="s">
        <v>684</v>
      </c>
      <c r="K969" s="8" t="s">
        <v>675</v>
      </c>
      <c r="L969" s="8" t="s">
        <v>676</v>
      </c>
      <c r="M969" s="20">
        <v>45524.0</v>
      </c>
      <c r="N969" s="21">
        <v>192.5</v>
      </c>
      <c r="O969" s="22">
        <v>250.0</v>
      </c>
      <c r="P969" s="7"/>
      <c r="Q969" s="7"/>
      <c r="R969" s="7"/>
      <c r="S969" s="20">
        <v>45527.0</v>
      </c>
    </row>
    <row r="970" ht="13.5" customHeight="1">
      <c r="A970" s="8" t="s">
        <v>1710</v>
      </c>
      <c r="B970" s="8" t="s">
        <v>132</v>
      </c>
      <c r="C970" s="8" t="s">
        <v>270</v>
      </c>
      <c r="D970" s="8" t="s">
        <v>277</v>
      </c>
      <c r="E970" s="9" t="s">
        <v>1711</v>
      </c>
      <c r="F970" s="8" t="s">
        <v>1708</v>
      </c>
      <c r="G970" s="8" t="s">
        <v>84</v>
      </c>
      <c r="H970" s="11" t="s">
        <v>259</v>
      </c>
      <c r="I970" s="11" t="s">
        <v>260</v>
      </c>
      <c r="J970" s="11" t="s">
        <v>294</v>
      </c>
      <c r="K970" s="8" t="s">
        <v>675</v>
      </c>
      <c r="L970" s="8" t="s">
        <v>676</v>
      </c>
      <c r="M970" s="20">
        <v>45524.0</v>
      </c>
      <c r="N970" s="21">
        <v>192.5</v>
      </c>
      <c r="O970" s="22">
        <v>250.0</v>
      </c>
      <c r="P970" s="7"/>
      <c r="Q970" s="7"/>
      <c r="R970" s="7"/>
      <c r="S970" s="20"/>
    </row>
    <row r="971" ht="13.5" customHeight="1">
      <c r="A971" s="8" t="s">
        <v>1712</v>
      </c>
      <c r="B971" s="8" t="s">
        <v>801</v>
      </c>
      <c r="C971" s="8" t="s">
        <v>68</v>
      </c>
      <c r="D971" s="8" t="s">
        <v>802</v>
      </c>
      <c r="E971" s="9" t="s">
        <v>1713</v>
      </c>
      <c r="F971" s="8" t="s">
        <v>804</v>
      </c>
      <c r="G971" s="8" t="s">
        <v>777</v>
      </c>
      <c r="H971" s="11" t="s">
        <v>259</v>
      </c>
      <c r="I971" s="11" t="s">
        <v>27</v>
      </c>
      <c r="J971" s="11" t="s">
        <v>635</v>
      </c>
      <c r="K971" s="8" t="s">
        <v>675</v>
      </c>
      <c r="L971" s="8" t="s">
        <v>676</v>
      </c>
      <c r="M971" s="20">
        <v>45528.0</v>
      </c>
      <c r="N971" s="21">
        <v>2035.0</v>
      </c>
      <c r="O971" s="22">
        <v>2250.0</v>
      </c>
      <c r="P971" s="7"/>
      <c r="Q971" s="7"/>
      <c r="R971" s="7"/>
      <c r="S971" s="17"/>
    </row>
    <row r="972" ht="13.5" customHeight="1">
      <c r="A972" s="8" t="s">
        <v>1714</v>
      </c>
      <c r="B972" s="8" t="s">
        <v>132</v>
      </c>
      <c r="C972" s="8" t="s">
        <v>68</v>
      </c>
      <c r="D972" s="8" t="s">
        <v>806</v>
      </c>
      <c r="E972" s="9" t="s">
        <v>1715</v>
      </c>
      <c r="F972" s="8" t="s">
        <v>808</v>
      </c>
      <c r="G972" s="8" t="s">
        <v>777</v>
      </c>
      <c r="H972" s="11" t="s">
        <v>259</v>
      </c>
      <c r="I972" s="11" t="s">
        <v>27</v>
      </c>
      <c r="J972" s="11" t="s">
        <v>635</v>
      </c>
      <c r="K972" s="8" t="s">
        <v>675</v>
      </c>
      <c r="L972" s="8" t="s">
        <v>676</v>
      </c>
      <c r="M972" s="20">
        <v>45528.0</v>
      </c>
      <c r="N972" s="21">
        <v>250.0</v>
      </c>
      <c r="O972" s="22">
        <v>300.0</v>
      </c>
      <c r="P972" s="7"/>
      <c r="Q972" s="7"/>
      <c r="R972" s="7"/>
      <c r="S972" s="17"/>
    </row>
    <row r="973" ht="13.5" customHeight="1">
      <c r="A973" s="8" t="s">
        <v>1716</v>
      </c>
      <c r="B973" s="8" t="s">
        <v>34</v>
      </c>
      <c r="C973" s="8" t="s">
        <v>68</v>
      </c>
      <c r="D973" s="8" t="s">
        <v>810</v>
      </c>
      <c r="E973" s="9" t="s">
        <v>1717</v>
      </c>
      <c r="F973" s="8" t="s">
        <v>267</v>
      </c>
      <c r="G973" s="8" t="s">
        <v>777</v>
      </c>
      <c r="H973" s="11" t="s">
        <v>259</v>
      </c>
      <c r="I973" s="11" t="s">
        <v>27</v>
      </c>
      <c r="J973" s="11" t="s">
        <v>635</v>
      </c>
      <c r="K973" s="8" t="s">
        <v>675</v>
      </c>
      <c r="L973" s="8" t="s">
        <v>676</v>
      </c>
      <c r="M973" s="20">
        <v>45528.0</v>
      </c>
      <c r="N973" s="21">
        <v>50.0</v>
      </c>
      <c r="O973" s="22">
        <v>50.0</v>
      </c>
      <c r="P973" s="7"/>
      <c r="Q973" s="7"/>
      <c r="R973" s="7"/>
      <c r="S973" s="17"/>
    </row>
    <row r="974" ht="13.5" customHeight="1">
      <c r="A974" s="8" t="s">
        <v>1718</v>
      </c>
      <c r="B974" s="8" t="s">
        <v>41</v>
      </c>
      <c r="C974" s="8" t="s">
        <v>68</v>
      </c>
      <c r="D974" s="8" t="s">
        <v>813</v>
      </c>
      <c r="E974" s="9" t="s">
        <v>1719</v>
      </c>
      <c r="F974" s="8" t="s">
        <v>350</v>
      </c>
      <c r="G974" s="8" t="s">
        <v>777</v>
      </c>
      <c r="H974" s="11" t="s">
        <v>259</v>
      </c>
      <c r="I974" s="11" t="s">
        <v>27</v>
      </c>
      <c r="J974" s="11" t="s">
        <v>635</v>
      </c>
      <c r="K974" s="8" t="s">
        <v>675</v>
      </c>
      <c r="L974" s="8" t="s">
        <v>676</v>
      </c>
      <c r="M974" s="20">
        <v>45528.0</v>
      </c>
      <c r="N974" s="21">
        <v>50.0</v>
      </c>
      <c r="O974" s="22">
        <v>50.0</v>
      </c>
      <c r="P974" s="7"/>
      <c r="Q974" s="7"/>
      <c r="R974" s="7"/>
      <c r="S974" s="17"/>
    </row>
    <row r="975" ht="13.5" customHeight="1">
      <c r="A975" s="8" t="s">
        <v>1720</v>
      </c>
      <c r="B975" s="8" t="s">
        <v>801</v>
      </c>
      <c r="C975" s="8" t="s">
        <v>68</v>
      </c>
      <c r="D975" s="8" t="s">
        <v>802</v>
      </c>
      <c r="E975" s="9" t="s">
        <v>1721</v>
      </c>
      <c r="F975" s="8" t="s">
        <v>804</v>
      </c>
      <c r="G975" s="8" t="s">
        <v>2526</v>
      </c>
      <c r="H975" s="11" t="s">
        <v>259</v>
      </c>
      <c r="I975" s="11" t="s">
        <v>27</v>
      </c>
      <c r="J975" s="11" t="s">
        <v>635</v>
      </c>
      <c r="K975" s="8" t="s">
        <v>675</v>
      </c>
      <c r="L975" s="17" t="s">
        <v>676</v>
      </c>
      <c r="M975" s="20">
        <v>45528.0</v>
      </c>
      <c r="N975" s="18">
        <v>2035.0</v>
      </c>
      <c r="O975" s="22">
        <v>2250.0</v>
      </c>
      <c r="P975" s="7"/>
      <c r="Q975" s="7"/>
      <c r="R975" s="7"/>
      <c r="S975" s="17"/>
    </row>
    <row r="976" ht="13.5" customHeight="1">
      <c r="A976" s="8" t="s">
        <v>1722</v>
      </c>
      <c r="B976" s="8" t="s">
        <v>132</v>
      </c>
      <c r="C976" s="8" t="s">
        <v>68</v>
      </c>
      <c r="D976" s="8" t="s">
        <v>806</v>
      </c>
      <c r="E976" s="9" t="s">
        <v>1723</v>
      </c>
      <c r="F976" s="8" t="s">
        <v>808</v>
      </c>
      <c r="G976" s="8" t="s">
        <v>2526</v>
      </c>
      <c r="H976" s="11" t="s">
        <v>259</v>
      </c>
      <c r="I976" s="11" t="s">
        <v>27</v>
      </c>
      <c r="J976" s="11" t="s">
        <v>635</v>
      </c>
      <c r="K976" s="8" t="s">
        <v>675</v>
      </c>
      <c r="L976" s="17" t="s">
        <v>676</v>
      </c>
      <c r="M976" s="20">
        <v>45528.0</v>
      </c>
      <c r="N976" s="18">
        <v>250.0</v>
      </c>
      <c r="O976" s="22">
        <v>300.0</v>
      </c>
      <c r="P976" s="7"/>
      <c r="Q976" s="7"/>
      <c r="R976" s="7"/>
      <c r="S976" s="17"/>
    </row>
    <row r="977" ht="13.5" customHeight="1">
      <c r="A977" s="8" t="s">
        <v>1724</v>
      </c>
      <c r="B977" s="8" t="s">
        <v>34</v>
      </c>
      <c r="C977" s="8" t="s">
        <v>68</v>
      </c>
      <c r="D977" s="8" t="s">
        <v>810</v>
      </c>
      <c r="E977" s="9" t="s">
        <v>1725</v>
      </c>
      <c r="F977" s="8" t="s">
        <v>267</v>
      </c>
      <c r="G977" s="8" t="s">
        <v>2526</v>
      </c>
      <c r="H977" s="11" t="s">
        <v>259</v>
      </c>
      <c r="I977" s="11" t="s">
        <v>27</v>
      </c>
      <c r="J977" s="11" t="s">
        <v>635</v>
      </c>
      <c r="K977" s="8" t="s">
        <v>675</v>
      </c>
      <c r="L977" s="17" t="s">
        <v>676</v>
      </c>
      <c r="M977" s="20">
        <v>45528.0</v>
      </c>
      <c r="N977" s="18">
        <v>50.0</v>
      </c>
      <c r="O977" s="22">
        <v>50.0</v>
      </c>
      <c r="P977" s="7"/>
      <c r="Q977" s="7"/>
      <c r="R977" s="7"/>
      <c r="S977" s="17"/>
    </row>
    <row r="978" ht="13.5" customHeight="1">
      <c r="A978" s="8" t="s">
        <v>1726</v>
      </c>
      <c r="B978" s="8" t="s">
        <v>41</v>
      </c>
      <c r="C978" s="8" t="s">
        <v>68</v>
      </c>
      <c r="D978" s="8" t="s">
        <v>813</v>
      </c>
      <c r="E978" s="9" t="s">
        <v>1727</v>
      </c>
      <c r="F978" s="8" t="s">
        <v>350</v>
      </c>
      <c r="G978" s="8" t="s">
        <v>2526</v>
      </c>
      <c r="H978" s="11" t="s">
        <v>259</v>
      </c>
      <c r="I978" s="11" t="s">
        <v>27</v>
      </c>
      <c r="J978" s="11" t="s">
        <v>635</v>
      </c>
      <c r="K978" s="8" t="s">
        <v>675</v>
      </c>
      <c r="L978" s="17" t="s">
        <v>676</v>
      </c>
      <c r="M978" s="20">
        <v>45528.0</v>
      </c>
      <c r="N978" s="18">
        <v>50.0</v>
      </c>
      <c r="O978" s="22">
        <v>50.0</v>
      </c>
      <c r="P978" s="7"/>
      <c r="Q978" s="7"/>
      <c r="R978" s="7"/>
      <c r="S978" s="17"/>
    </row>
    <row r="979" ht="13.5" customHeight="1">
      <c r="A979" s="8" t="s">
        <v>1728</v>
      </c>
      <c r="B979" s="8" t="s">
        <v>56</v>
      </c>
      <c r="C979" s="8" t="s">
        <v>1729</v>
      </c>
      <c r="D979" s="8" t="s">
        <v>1730</v>
      </c>
      <c r="E979" s="14" t="s">
        <v>1731</v>
      </c>
      <c r="F979" s="8" t="s">
        <v>1732</v>
      </c>
      <c r="G979" s="8" t="s">
        <v>1733</v>
      </c>
      <c r="H979" s="11" t="s">
        <v>26</v>
      </c>
      <c r="I979" s="11" t="s">
        <v>260</v>
      </c>
      <c r="J979" s="11" t="s">
        <v>1734</v>
      </c>
      <c r="K979" s="8" t="s">
        <v>675</v>
      </c>
      <c r="L979" s="8" t="s">
        <v>1734</v>
      </c>
      <c r="M979" s="20">
        <v>45532.0</v>
      </c>
      <c r="N979" s="21">
        <v>5910.0</v>
      </c>
      <c r="O979" s="22">
        <v>7000.0</v>
      </c>
      <c r="P979" s="7"/>
      <c r="Q979" s="7"/>
      <c r="R979" s="7"/>
      <c r="S979" s="17"/>
    </row>
    <row r="980" ht="13.5" customHeight="1">
      <c r="A980" s="8" t="s">
        <v>1735</v>
      </c>
      <c r="B980" s="8" t="s">
        <v>56</v>
      </c>
      <c r="C980" s="8" t="s">
        <v>1729</v>
      </c>
      <c r="D980" s="8" t="s">
        <v>1730</v>
      </c>
      <c r="E980" s="14" t="s">
        <v>1736</v>
      </c>
      <c r="F980" s="8" t="s">
        <v>1732</v>
      </c>
      <c r="G980" s="8" t="s">
        <v>1733</v>
      </c>
      <c r="H980" s="11" t="s">
        <v>103</v>
      </c>
      <c r="I980" s="11" t="s">
        <v>260</v>
      </c>
      <c r="J980" s="11" t="s">
        <v>1734</v>
      </c>
      <c r="K980" s="8" t="s">
        <v>675</v>
      </c>
      <c r="L980" s="8" t="s">
        <v>1734</v>
      </c>
      <c r="M980" s="20">
        <v>45532.0</v>
      </c>
      <c r="N980" s="21">
        <v>5910.0</v>
      </c>
      <c r="O980" s="22">
        <v>7000.0</v>
      </c>
      <c r="P980" s="7"/>
      <c r="Q980" s="7"/>
      <c r="R980" s="7"/>
      <c r="S980" s="17"/>
    </row>
    <row r="981" ht="13.5" customHeight="1">
      <c r="A981" s="8" t="s">
        <v>1737</v>
      </c>
      <c r="B981" s="8" t="s">
        <v>98</v>
      </c>
      <c r="C981" s="8" t="s">
        <v>99</v>
      </c>
      <c r="D981" s="8" t="s">
        <v>1738</v>
      </c>
      <c r="E981" s="14" t="s">
        <v>1739</v>
      </c>
      <c r="F981" s="8" t="s">
        <v>1740</v>
      </c>
      <c r="G981" s="8" t="s">
        <v>1733</v>
      </c>
      <c r="H981" s="11" t="s">
        <v>26</v>
      </c>
      <c r="I981" s="11" t="s">
        <v>260</v>
      </c>
      <c r="J981" s="11" t="s">
        <v>1734</v>
      </c>
      <c r="K981" s="8" t="s">
        <v>675</v>
      </c>
      <c r="L981" s="8" t="s">
        <v>1734</v>
      </c>
      <c r="M981" s="20">
        <v>45532.0</v>
      </c>
      <c r="N981" s="21">
        <v>288.0</v>
      </c>
      <c r="O981" s="22">
        <v>350.0</v>
      </c>
      <c r="P981" s="7"/>
      <c r="Q981" s="7"/>
      <c r="R981" s="7"/>
      <c r="S981" s="17"/>
    </row>
    <row r="982" ht="13.5" customHeight="1">
      <c r="A982" s="8" t="s">
        <v>1741</v>
      </c>
      <c r="B982" s="8" t="s">
        <v>98</v>
      </c>
      <c r="C982" s="8" t="s">
        <v>99</v>
      </c>
      <c r="D982" s="8" t="s">
        <v>1738</v>
      </c>
      <c r="E982" s="14" t="s">
        <v>1742</v>
      </c>
      <c r="F982" s="8" t="s">
        <v>1740</v>
      </c>
      <c r="G982" s="8" t="s">
        <v>1733</v>
      </c>
      <c r="H982" s="11" t="s">
        <v>103</v>
      </c>
      <c r="I982" s="11" t="s">
        <v>260</v>
      </c>
      <c r="J982" s="11" t="s">
        <v>1734</v>
      </c>
      <c r="K982" s="8" t="s">
        <v>675</v>
      </c>
      <c r="L982" s="8" t="s">
        <v>1734</v>
      </c>
      <c r="M982" s="20">
        <v>45532.0</v>
      </c>
      <c r="N982" s="21">
        <v>288.0</v>
      </c>
      <c r="O982" s="22">
        <v>350.0</v>
      </c>
      <c r="P982" s="7"/>
      <c r="Q982" s="7"/>
      <c r="R982" s="7"/>
      <c r="S982" s="17"/>
    </row>
    <row r="983" ht="13.5" customHeight="1">
      <c r="A983" s="8" t="s">
        <v>1743</v>
      </c>
      <c r="B983" s="8" t="s">
        <v>1744</v>
      </c>
      <c r="C983" s="8" t="s">
        <v>153</v>
      </c>
      <c r="D983" s="8" t="s">
        <v>1745</v>
      </c>
      <c r="E983" s="14" t="s">
        <v>1746</v>
      </c>
      <c r="F983" s="8" t="s">
        <v>1747</v>
      </c>
      <c r="G983" s="8" t="s">
        <v>1733</v>
      </c>
      <c r="H983" s="11" t="s">
        <v>26</v>
      </c>
      <c r="I983" s="11" t="s">
        <v>260</v>
      </c>
      <c r="J983" s="11" t="s">
        <v>1734</v>
      </c>
      <c r="K983" s="8" t="s">
        <v>675</v>
      </c>
      <c r="L983" s="8" t="s">
        <v>1734</v>
      </c>
      <c r="M983" s="20">
        <v>45532.0</v>
      </c>
      <c r="N983" s="21">
        <v>56.5</v>
      </c>
      <c r="O983" s="22">
        <v>70.0</v>
      </c>
      <c r="P983" s="7"/>
      <c r="Q983" s="7"/>
      <c r="R983" s="7"/>
      <c r="S983" s="17"/>
    </row>
    <row r="984" ht="13.5" customHeight="1">
      <c r="A984" s="8" t="s">
        <v>1748</v>
      </c>
      <c r="B984" s="8" t="s">
        <v>1744</v>
      </c>
      <c r="C984" s="8" t="s">
        <v>153</v>
      </c>
      <c r="D984" s="8" t="s">
        <v>1745</v>
      </c>
      <c r="E984" s="14" t="s">
        <v>1749</v>
      </c>
      <c r="F984" s="8" t="s">
        <v>1747</v>
      </c>
      <c r="G984" s="8" t="s">
        <v>1733</v>
      </c>
      <c r="H984" s="11" t="s">
        <v>103</v>
      </c>
      <c r="I984" s="11" t="s">
        <v>260</v>
      </c>
      <c r="J984" s="11" t="s">
        <v>1734</v>
      </c>
      <c r="K984" s="8" t="s">
        <v>675</v>
      </c>
      <c r="L984" s="8" t="s">
        <v>1734</v>
      </c>
      <c r="M984" s="20">
        <v>45532.0</v>
      </c>
      <c r="N984" s="21">
        <v>56.5</v>
      </c>
      <c r="O984" s="22">
        <v>70.0</v>
      </c>
      <c r="P984" s="7"/>
      <c r="Q984" s="7"/>
      <c r="R984" s="7"/>
      <c r="S984" s="17"/>
    </row>
    <row r="985" ht="13.5" customHeight="1">
      <c r="A985" s="8" t="s">
        <v>1750</v>
      </c>
      <c r="B985" s="8" t="s">
        <v>59</v>
      </c>
      <c r="C985" s="8" t="s">
        <v>1751</v>
      </c>
      <c r="D985" s="8" t="s">
        <v>1752</v>
      </c>
      <c r="E985" s="14" t="s">
        <v>1753</v>
      </c>
      <c r="F985" s="8" t="s">
        <v>1754</v>
      </c>
      <c r="G985" s="8" t="s">
        <v>1733</v>
      </c>
      <c r="H985" s="11" t="s">
        <v>26</v>
      </c>
      <c r="I985" s="11" t="s">
        <v>260</v>
      </c>
      <c r="J985" s="11" t="s">
        <v>1734</v>
      </c>
      <c r="K985" s="8" t="s">
        <v>675</v>
      </c>
      <c r="L985" s="8" t="s">
        <v>1734</v>
      </c>
      <c r="M985" s="20">
        <v>45532.0</v>
      </c>
      <c r="N985" s="21">
        <v>49.0</v>
      </c>
      <c r="O985" s="22">
        <v>60.0</v>
      </c>
      <c r="P985" s="7"/>
      <c r="Q985" s="7"/>
      <c r="R985" s="7"/>
      <c r="S985" s="17"/>
    </row>
    <row r="986" ht="13.5" customHeight="1">
      <c r="A986" s="8" t="s">
        <v>1755</v>
      </c>
      <c r="B986" s="8" t="s">
        <v>59</v>
      </c>
      <c r="C986" s="8" t="s">
        <v>1751</v>
      </c>
      <c r="D986" s="8" t="s">
        <v>1752</v>
      </c>
      <c r="E986" s="14" t="s">
        <v>1756</v>
      </c>
      <c r="F986" s="8" t="s">
        <v>1754</v>
      </c>
      <c r="G986" s="8" t="s">
        <v>1733</v>
      </c>
      <c r="H986" s="11" t="s">
        <v>103</v>
      </c>
      <c r="I986" s="11" t="s">
        <v>260</v>
      </c>
      <c r="J986" s="11" t="s">
        <v>1734</v>
      </c>
      <c r="K986" s="8" t="s">
        <v>675</v>
      </c>
      <c r="L986" s="8" t="s">
        <v>1734</v>
      </c>
      <c r="M986" s="20">
        <v>45532.0</v>
      </c>
      <c r="N986" s="21">
        <v>49.0</v>
      </c>
      <c r="O986" s="22">
        <v>60.0</v>
      </c>
      <c r="P986" s="7"/>
      <c r="Q986" s="7"/>
      <c r="R986" s="7"/>
      <c r="S986" s="17"/>
    </row>
    <row r="987" ht="13.5" customHeight="1">
      <c r="A987" s="8" t="s">
        <v>1757</v>
      </c>
      <c r="B987" s="8" t="s">
        <v>41</v>
      </c>
      <c r="C987" s="8" t="s">
        <v>153</v>
      </c>
      <c r="D987" s="8" t="s">
        <v>1758</v>
      </c>
      <c r="E987" s="14" t="s">
        <v>1759</v>
      </c>
      <c r="F987" s="8" t="s">
        <v>350</v>
      </c>
      <c r="G987" s="8" t="s">
        <v>1733</v>
      </c>
      <c r="H987" s="11" t="s">
        <v>26</v>
      </c>
      <c r="I987" s="11" t="s">
        <v>260</v>
      </c>
      <c r="J987" s="11" t="s">
        <v>1734</v>
      </c>
      <c r="K987" s="8" t="s">
        <v>675</v>
      </c>
      <c r="L987" s="8" t="s">
        <v>1734</v>
      </c>
      <c r="M987" s="20">
        <v>45532.0</v>
      </c>
      <c r="N987" s="21">
        <v>30.0</v>
      </c>
      <c r="O987" s="22">
        <v>40.0</v>
      </c>
      <c r="P987" s="7"/>
      <c r="Q987" s="7"/>
      <c r="R987" s="7"/>
      <c r="S987" s="17"/>
    </row>
    <row r="988" ht="13.5" customHeight="1">
      <c r="A988" s="8" t="s">
        <v>1760</v>
      </c>
      <c r="B988" s="8" t="s">
        <v>41</v>
      </c>
      <c r="C988" s="8" t="s">
        <v>153</v>
      </c>
      <c r="D988" s="8" t="s">
        <v>1758</v>
      </c>
      <c r="E988" s="14" t="s">
        <v>1761</v>
      </c>
      <c r="F988" s="8" t="s">
        <v>350</v>
      </c>
      <c r="G988" s="8" t="s">
        <v>1733</v>
      </c>
      <c r="H988" s="11" t="s">
        <v>103</v>
      </c>
      <c r="I988" s="11" t="s">
        <v>260</v>
      </c>
      <c r="J988" s="11" t="s">
        <v>1734</v>
      </c>
      <c r="K988" s="8" t="s">
        <v>675</v>
      </c>
      <c r="L988" s="8" t="s">
        <v>1734</v>
      </c>
      <c r="M988" s="20">
        <v>45532.0</v>
      </c>
      <c r="N988" s="21">
        <v>30.0</v>
      </c>
      <c r="O988" s="22">
        <v>40.0</v>
      </c>
      <c r="P988" s="7"/>
      <c r="Q988" s="7"/>
      <c r="R988" s="7"/>
      <c r="S988" s="17"/>
    </row>
    <row r="989" ht="13.5" customHeight="1">
      <c r="A989" s="8" t="s">
        <v>1762</v>
      </c>
      <c r="B989" s="8" t="s">
        <v>34</v>
      </c>
      <c r="C989" s="8" t="s">
        <v>153</v>
      </c>
      <c r="D989" s="8" t="s">
        <v>1763</v>
      </c>
      <c r="E989" s="14" t="s">
        <v>1764</v>
      </c>
      <c r="F989" s="8" t="s">
        <v>267</v>
      </c>
      <c r="G989" s="8" t="s">
        <v>1733</v>
      </c>
      <c r="H989" s="11" t="s">
        <v>26</v>
      </c>
      <c r="I989" s="11" t="s">
        <v>260</v>
      </c>
      <c r="J989" s="11" t="s">
        <v>1734</v>
      </c>
      <c r="K989" s="8" t="s">
        <v>675</v>
      </c>
      <c r="L989" s="8" t="s">
        <v>1734</v>
      </c>
      <c r="M989" s="20">
        <v>45532.0</v>
      </c>
      <c r="N989" s="21">
        <v>15.0</v>
      </c>
      <c r="O989" s="22">
        <v>20.0</v>
      </c>
      <c r="P989" s="7"/>
      <c r="Q989" s="7"/>
      <c r="R989" s="7"/>
      <c r="S989" s="17"/>
    </row>
    <row r="990" ht="13.5" customHeight="1">
      <c r="A990" s="8" t="s">
        <v>1765</v>
      </c>
      <c r="B990" s="8" t="s">
        <v>34</v>
      </c>
      <c r="C990" s="8" t="s">
        <v>153</v>
      </c>
      <c r="D990" s="8" t="s">
        <v>1763</v>
      </c>
      <c r="E990" s="14" t="s">
        <v>1764</v>
      </c>
      <c r="F990" s="8" t="s">
        <v>267</v>
      </c>
      <c r="G990" s="8" t="s">
        <v>1733</v>
      </c>
      <c r="H990" s="11" t="s">
        <v>103</v>
      </c>
      <c r="I990" s="11" t="s">
        <v>260</v>
      </c>
      <c r="J990" s="11" t="s">
        <v>1734</v>
      </c>
      <c r="K990" s="8" t="s">
        <v>675</v>
      </c>
      <c r="L990" s="8" t="s">
        <v>1734</v>
      </c>
      <c r="M990" s="20">
        <v>45532.0</v>
      </c>
      <c r="N990" s="21">
        <v>15.0</v>
      </c>
      <c r="O990" s="22">
        <v>20.0</v>
      </c>
      <c r="P990" s="7"/>
      <c r="Q990" s="7"/>
      <c r="R990" s="7"/>
      <c r="S990" s="17"/>
    </row>
    <row r="991" ht="13.5" customHeight="1">
      <c r="A991" s="8" t="s">
        <v>1766</v>
      </c>
      <c r="B991" s="8" t="s">
        <v>167</v>
      </c>
      <c r="C991" s="8" t="s">
        <v>1767</v>
      </c>
      <c r="D991" s="8" t="s">
        <v>1768</v>
      </c>
      <c r="E991" s="14" t="s">
        <v>1769</v>
      </c>
      <c r="F991" s="8" t="s">
        <v>1770</v>
      </c>
      <c r="G991" s="8" t="s">
        <v>701</v>
      </c>
      <c r="H991" s="11" t="s">
        <v>666</v>
      </c>
      <c r="I991" s="11" t="s">
        <v>702</v>
      </c>
      <c r="J991" s="11" t="s">
        <v>702</v>
      </c>
      <c r="K991" s="8" t="s">
        <v>675</v>
      </c>
      <c r="L991" s="17" t="s">
        <v>676</v>
      </c>
      <c r="M991" s="20">
        <v>45563.0</v>
      </c>
      <c r="N991" s="21">
        <v>2915.0</v>
      </c>
      <c r="O991" s="22">
        <v>3100.0</v>
      </c>
      <c r="P991" s="7"/>
      <c r="Q991" s="7"/>
      <c r="R991" s="7"/>
      <c r="S991" s="17"/>
    </row>
    <row r="992" ht="13.5" customHeight="1">
      <c r="A992" s="8"/>
      <c r="B992" s="41" t="s">
        <v>67</v>
      </c>
      <c r="C992" s="41" t="s">
        <v>270</v>
      </c>
      <c r="D992" s="41" t="s">
        <v>551</v>
      </c>
      <c r="E992" s="9" t="s">
        <v>2527</v>
      </c>
      <c r="F992" s="8" t="s">
        <v>553</v>
      </c>
      <c r="G992" s="41" t="s">
        <v>554</v>
      </c>
      <c r="H992" s="11" t="s">
        <v>259</v>
      </c>
      <c r="I992" s="8"/>
      <c r="J992" s="8"/>
      <c r="K992" s="8"/>
      <c r="L992" s="17"/>
      <c r="M992" s="17"/>
      <c r="N992" s="18"/>
      <c r="O992" s="19"/>
      <c r="P992" s="7"/>
      <c r="Q992" s="7"/>
      <c r="R992" s="7"/>
      <c r="S992" s="17"/>
    </row>
    <row r="993" ht="13.5" customHeight="1">
      <c r="A993" s="8"/>
      <c r="B993" s="8" t="s">
        <v>228</v>
      </c>
      <c r="C993" s="8" t="s">
        <v>270</v>
      </c>
      <c r="D993" s="8" t="s">
        <v>556</v>
      </c>
      <c r="E993" s="9" t="s">
        <v>557</v>
      </c>
      <c r="F993" s="8" t="s">
        <v>558</v>
      </c>
      <c r="G993" s="41" t="s">
        <v>554</v>
      </c>
      <c r="H993" s="11" t="s">
        <v>259</v>
      </c>
      <c r="I993" s="8"/>
      <c r="J993" s="8"/>
      <c r="K993" s="8"/>
      <c r="L993" s="17"/>
      <c r="M993" s="17"/>
      <c r="N993" s="18"/>
      <c r="O993" s="19"/>
      <c r="P993" s="7"/>
      <c r="Q993" s="7"/>
      <c r="R993" s="7"/>
      <c r="S993" s="17"/>
    </row>
    <row r="994" ht="13.5" customHeight="1">
      <c r="A994" s="8"/>
      <c r="B994" s="8" t="s">
        <v>34</v>
      </c>
      <c r="C994" s="14" t="s">
        <v>35</v>
      </c>
      <c r="D994" s="8" t="s">
        <v>559</v>
      </c>
      <c r="E994" s="9" t="s">
        <v>317</v>
      </c>
      <c r="F994" s="8" t="s">
        <v>267</v>
      </c>
      <c r="G994" s="41" t="s">
        <v>554</v>
      </c>
      <c r="H994" s="11" t="s">
        <v>259</v>
      </c>
      <c r="I994" s="8"/>
      <c r="J994" s="8"/>
      <c r="K994" s="8"/>
      <c r="L994" s="17"/>
      <c r="M994" s="17"/>
      <c r="N994" s="18"/>
      <c r="O994" s="19"/>
      <c r="P994" s="7"/>
      <c r="Q994" s="7"/>
      <c r="R994" s="7"/>
      <c r="S994" s="17"/>
    </row>
    <row r="995" ht="13.5" customHeight="1">
      <c r="A995" s="8"/>
      <c r="B995" s="8" t="s">
        <v>41</v>
      </c>
      <c r="C995" s="14" t="s">
        <v>139</v>
      </c>
      <c r="D995" s="8" t="s">
        <v>560</v>
      </c>
      <c r="E995" s="9" t="s">
        <v>561</v>
      </c>
      <c r="F995" s="8" t="s">
        <v>350</v>
      </c>
      <c r="G995" s="41" t="s">
        <v>554</v>
      </c>
      <c r="H995" s="11" t="s">
        <v>259</v>
      </c>
      <c r="I995" s="8"/>
      <c r="J995" s="8"/>
      <c r="K995" s="8"/>
      <c r="L995" s="17"/>
      <c r="M995" s="17"/>
      <c r="N995" s="18"/>
      <c r="O995" s="19"/>
      <c r="P995" s="7"/>
      <c r="Q995" s="7"/>
      <c r="R995" s="7"/>
      <c r="S995" s="17"/>
    </row>
    <row r="996" ht="13.5" customHeight="1">
      <c r="A996" s="8"/>
      <c r="B996" s="8" t="s">
        <v>98</v>
      </c>
      <c r="C996" s="14" t="s">
        <v>48</v>
      </c>
      <c r="D996" s="41" t="s">
        <v>562</v>
      </c>
      <c r="E996" s="41" t="s">
        <v>563</v>
      </c>
      <c r="F996" s="41" t="s">
        <v>543</v>
      </c>
      <c r="G996" s="41" t="s">
        <v>554</v>
      </c>
      <c r="H996" s="11" t="s">
        <v>259</v>
      </c>
      <c r="J996" s="8"/>
      <c r="K996" s="8"/>
      <c r="L996" s="8"/>
      <c r="M996" s="17"/>
      <c r="N996" s="18"/>
      <c r="O996" s="19"/>
      <c r="P996" s="7"/>
      <c r="Q996" s="7"/>
      <c r="R996" s="7"/>
      <c r="S996" s="17"/>
    </row>
    <row r="997" ht="13.5" customHeight="1">
      <c r="A997" s="8"/>
      <c r="B997" s="8" t="s">
        <v>253</v>
      </c>
      <c r="C997" s="14" t="s">
        <v>254</v>
      </c>
      <c r="D997" s="8" t="s">
        <v>255</v>
      </c>
      <c r="E997" s="9" t="s">
        <v>564</v>
      </c>
      <c r="F997" s="8" t="s">
        <v>33</v>
      </c>
      <c r="G997" s="14" t="s">
        <v>554</v>
      </c>
      <c r="H997" s="11" t="s">
        <v>259</v>
      </c>
      <c r="I997" s="8"/>
      <c r="J997" s="8"/>
      <c r="K997" s="8"/>
      <c r="L997" s="8"/>
      <c r="M997" s="17"/>
      <c r="N997" s="18"/>
      <c r="O997" s="19"/>
      <c r="P997" s="7"/>
      <c r="Q997" s="7"/>
      <c r="R997" s="7"/>
      <c r="S997" s="17"/>
    </row>
    <row r="998" ht="13.5" customHeight="1">
      <c r="A998" s="8"/>
      <c r="B998" s="8" t="s">
        <v>286</v>
      </c>
      <c r="C998" s="8" t="s">
        <v>288</v>
      </c>
      <c r="D998" s="8" t="s">
        <v>288</v>
      </c>
      <c r="E998" s="8" t="s">
        <v>288</v>
      </c>
      <c r="F998" s="41" t="s">
        <v>33</v>
      </c>
      <c r="G998" s="41" t="s">
        <v>554</v>
      </c>
      <c r="H998" s="11" t="s">
        <v>259</v>
      </c>
      <c r="I998" s="8"/>
      <c r="J998" s="8"/>
      <c r="K998" s="8"/>
      <c r="L998" s="8"/>
      <c r="M998" s="17"/>
      <c r="N998" s="18"/>
      <c r="O998" s="19"/>
      <c r="P998" s="7"/>
      <c r="Q998" s="7"/>
      <c r="R998" s="7"/>
      <c r="S998" s="17"/>
    </row>
    <row r="999" ht="13.5" customHeight="1">
      <c r="A999" s="8"/>
      <c r="B999" s="41" t="s">
        <v>67</v>
      </c>
      <c r="C999" s="41" t="s">
        <v>270</v>
      </c>
      <c r="D999" s="41" t="s">
        <v>551</v>
      </c>
      <c r="E999" s="8" t="s">
        <v>565</v>
      </c>
      <c r="F999" s="8" t="s">
        <v>553</v>
      </c>
      <c r="G999" s="41" t="s">
        <v>566</v>
      </c>
      <c r="H999" s="11" t="s">
        <v>259</v>
      </c>
      <c r="I999" s="8"/>
      <c r="J999" s="8"/>
      <c r="K999" s="8"/>
      <c r="L999" s="8"/>
      <c r="M999" s="17"/>
      <c r="N999" s="18"/>
      <c r="O999" s="19"/>
      <c r="P999" s="7"/>
      <c r="Q999" s="7"/>
      <c r="R999" s="7"/>
      <c r="S999" s="17"/>
    </row>
    <row r="1000" ht="13.5" customHeight="1">
      <c r="A1000" s="8"/>
      <c r="B1000" s="8" t="s">
        <v>228</v>
      </c>
      <c r="C1000" s="41" t="s">
        <v>270</v>
      </c>
      <c r="D1000" s="8" t="s">
        <v>556</v>
      </c>
      <c r="E1000" s="9" t="s">
        <v>557</v>
      </c>
      <c r="F1000" s="41" t="s">
        <v>558</v>
      </c>
      <c r="G1000" s="41" t="s">
        <v>566</v>
      </c>
      <c r="H1000" s="11" t="s">
        <v>259</v>
      </c>
      <c r="I1000" s="8"/>
      <c r="J1000" s="8"/>
      <c r="K1000" s="8"/>
      <c r="L1000" s="8"/>
      <c r="M1000" s="17"/>
      <c r="N1000" s="18"/>
      <c r="O1000" s="19"/>
      <c r="P1000" s="7"/>
      <c r="Q1000" s="7"/>
      <c r="R1000" s="7"/>
      <c r="S1000" s="17"/>
    </row>
    <row r="1001" ht="13.5" customHeight="1">
      <c r="A1001" s="8"/>
      <c r="B1001" s="8" t="s">
        <v>34</v>
      </c>
      <c r="C1001" s="41" t="s">
        <v>139</v>
      </c>
      <c r="D1001" s="8" t="s">
        <v>567</v>
      </c>
      <c r="E1001" s="8" t="s">
        <v>568</v>
      </c>
      <c r="F1001" s="41" t="s">
        <v>267</v>
      </c>
      <c r="G1001" s="41" t="s">
        <v>566</v>
      </c>
      <c r="H1001" s="11" t="s">
        <v>259</v>
      </c>
      <c r="I1001" s="8"/>
      <c r="J1001" s="8"/>
      <c r="K1001" s="8"/>
      <c r="L1001" s="8"/>
      <c r="M1001" s="17"/>
      <c r="N1001" s="18"/>
      <c r="O1001" s="19"/>
      <c r="P1001" s="7"/>
      <c r="Q1001" s="7"/>
      <c r="R1001" s="7"/>
      <c r="S1001" s="17"/>
    </row>
    <row r="1002" ht="13.5" customHeight="1">
      <c r="A1002" s="8"/>
      <c r="B1002" s="8" t="s">
        <v>41</v>
      </c>
      <c r="C1002" s="8" t="s">
        <v>35</v>
      </c>
      <c r="D1002" s="8">
        <v>1576.0</v>
      </c>
      <c r="E1002" s="14">
        <v>6.5819247915E10</v>
      </c>
      <c r="F1002" s="41" t="s">
        <v>350</v>
      </c>
      <c r="G1002" s="41" t="s">
        <v>566</v>
      </c>
      <c r="H1002" s="11" t="s">
        <v>259</v>
      </c>
      <c r="I1002" s="8"/>
      <c r="J1002" s="8"/>
      <c r="K1002" s="8"/>
      <c r="L1002" s="17"/>
      <c r="M1002" s="17"/>
      <c r="N1002" s="18"/>
      <c r="O1002" s="19"/>
      <c r="P1002" s="7"/>
      <c r="Q1002" s="7"/>
      <c r="R1002" s="7"/>
      <c r="S1002" s="17"/>
    </row>
    <row r="1003" ht="13.5" customHeight="1">
      <c r="A1003" s="8"/>
      <c r="B1003" s="8" t="s">
        <v>98</v>
      </c>
      <c r="C1003" s="8" t="s">
        <v>99</v>
      </c>
      <c r="D1003" s="8" t="s">
        <v>569</v>
      </c>
      <c r="E1003" s="14" t="s">
        <v>570</v>
      </c>
      <c r="F1003" s="8" t="s">
        <v>543</v>
      </c>
      <c r="G1003" s="41" t="s">
        <v>566</v>
      </c>
      <c r="H1003" s="11" t="s">
        <v>259</v>
      </c>
      <c r="I1003" s="8"/>
      <c r="J1003" s="8"/>
      <c r="K1003" s="8"/>
      <c r="L1003" s="17"/>
      <c r="M1003" s="17"/>
      <c r="N1003" s="18"/>
      <c r="O1003" s="19"/>
      <c r="P1003" s="7"/>
      <c r="Q1003" s="7"/>
      <c r="R1003" s="7"/>
      <c r="S1003" s="17"/>
    </row>
    <row r="1004" ht="13.5" customHeight="1">
      <c r="A1004" s="8"/>
      <c r="B1004" s="8" t="s">
        <v>253</v>
      </c>
      <c r="C1004" s="8" t="s">
        <v>254</v>
      </c>
      <c r="D1004" s="8" t="s">
        <v>255</v>
      </c>
      <c r="E1004" s="9" t="s">
        <v>564</v>
      </c>
      <c r="F1004" s="8" t="s">
        <v>571</v>
      </c>
      <c r="G1004" s="41" t="s">
        <v>566</v>
      </c>
      <c r="H1004" s="11" t="s">
        <v>259</v>
      </c>
      <c r="I1004" s="8"/>
      <c r="J1004" s="8"/>
      <c r="K1004" s="8"/>
      <c r="L1004" s="17"/>
      <c r="M1004" s="17"/>
      <c r="N1004" s="18"/>
      <c r="O1004" s="19"/>
      <c r="P1004" s="7"/>
      <c r="Q1004" s="7"/>
      <c r="R1004" s="7"/>
      <c r="S1004" s="17"/>
    </row>
    <row r="1005" ht="13.5" customHeight="1">
      <c r="A1005" s="8"/>
      <c r="B1005" s="8" t="s">
        <v>286</v>
      </c>
      <c r="C1005" s="8" t="s">
        <v>288</v>
      </c>
      <c r="D1005" s="8" t="s">
        <v>288</v>
      </c>
      <c r="E1005" s="14" t="s">
        <v>288</v>
      </c>
      <c r="F1005" s="8" t="s">
        <v>572</v>
      </c>
      <c r="G1005" s="41" t="s">
        <v>566</v>
      </c>
      <c r="H1005" s="11" t="s">
        <v>259</v>
      </c>
      <c r="I1005" s="8"/>
      <c r="J1005" s="8"/>
      <c r="K1005" s="8"/>
      <c r="L1005" s="17"/>
      <c r="M1005" s="17"/>
      <c r="N1005" s="18"/>
      <c r="O1005" s="19"/>
      <c r="P1005" s="7"/>
      <c r="Q1005" s="7"/>
      <c r="R1005" s="7"/>
      <c r="S1005" s="17"/>
    </row>
    <row r="1006" ht="13.5" customHeight="1">
      <c r="A1006" s="8"/>
      <c r="B1006" s="41" t="s">
        <v>67</v>
      </c>
      <c r="C1006" s="8" t="s">
        <v>270</v>
      </c>
      <c r="D1006" s="41" t="s">
        <v>573</v>
      </c>
      <c r="E1006" s="14" t="s">
        <v>574</v>
      </c>
      <c r="F1006" s="8" t="s">
        <v>575</v>
      </c>
      <c r="G1006" s="8" t="s">
        <v>576</v>
      </c>
      <c r="H1006" s="11" t="s">
        <v>259</v>
      </c>
      <c r="I1006" s="8"/>
      <c r="J1006" s="8"/>
      <c r="K1006" s="8"/>
      <c r="L1006" s="17"/>
      <c r="M1006" s="17"/>
      <c r="N1006" s="18"/>
      <c r="O1006" s="19"/>
      <c r="P1006" s="7"/>
      <c r="Q1006" s="7"/>
      <c r="R1006" s="7"/>
      <c r="S1006" s="17"/>
    </row>
    <row r="1007" ht="13.5" customHeight="1">
      <c r="A1007" s="8"/>
      <c r="B1007" s="8" t="s">
        <v>228</v>
      </c>
      <c r="C1007" s="8" t="s">
        <v>270</v>
      </c>
      <c r="D1007" s="8" t="s">
        <v>556</v>
      </c>
      <c r="E1007" s="9" t="s">
        <v>557</v>
      </c>
      <c r="F1007" s="8" t="s">
        <v>558</v>
      </c>
      <c r="G1007" s="8" t="s">
        <v>576</v>
      </c>
      <c r="H1007" s="11" t="s">
        <v>259</v>
      </c>
      <c r="I1007" s="8"/>
      <c r="J1007" s="8"/>
      <c r="K1007" s="8"/>
      <c r="L1007" s="17"/>
      <c r="M1007" s="17"/>
      <c r="N1007" s="18"/>
      <c r="O1007" s="19"/>
      <c r="P1007" s="7"/>
      <c r="Q1007" s="7"/>
      <c r="R1007" s="7"/>
      <c r="S1007" s="17"/>
    </row>
    <row r="1008" ht="13.5" customHeight="1">
      <c r="A1008" s="8"/>
      <c r="B1008" s="8" t="s">
        <v>34</v>
      </c>
      <c r="C1008" s="8" t="s">
        <v>153</v>
      </c>
      <c r="D1008" s="8" t="s">
        <v>154</v>
      </c>
      <c r="E1008" s="14" t="s">
        <v>577</v>
      </c>
      <c r="F1008" s="8" t="s">
        <v>267</v>
      </c>
      <c r="G1008" s="8" t="s">
        <v>576</v>
      </c>
      <c r="H1008" s="11" t="s">
        <v>259</v>
      </c>
      <c r="I1008" s="8"/>
      <c r="J1008" s="8"/>
      <c r="K1008" s="8"/>
      <c r="L1008" s="17"/>
      <c r="M1008" s="17"/>
      <c r="N1008" s="18"/>
      <c r="O1008" s="19"/>
      <c r="P1008" s="7"/>
      <c r="Q1008" s="7"/>
      <c r="R1008" s="7"/>
      <c r="S1008" s="17"/>
    </row>
    <row r="1009" ht="13.5" customHeight="1">
      <c r="A1009" s="8"/>
      <c r="B1009" s="8" t="s">
        <v>41</v>
      </c>
      <c r="C1009" s="8" t="s">
        <v>153</v>
      </c>
      <c r="D1009" s="8" t="s">
        <v>348</v>
      </c>
      <c r="E1009" s="14" t="s">
        <v>578</v>
      </c>
      <c r="F1009" s="8" t="s">
        <v>350</v>
      </c>
      <c r="G1009" s="8" t="s">
        <v>576</v>
      </c>
      <c r="H1009" s="11" t="s">
        <v>259</v>
      </c>
      <c r="I1009" s="8"/>
      <c r="J1009" s="8"/>
      <c r="K1009" s="8"/>
      <c r="L1009" s="17"/>
      <c r="M1009" s="17"/>
      <c r="N1009" s="18"/>
      <c r="O1009" s="19"/>
      <c r="P1009" s="7"/>
      <c r="Q1009" s="7"/>
      <c r="R1009" s="7"/>
      <c r="S1009" s="17"/>
    </row>
    <row r="1010" ht="13.5" customHeight="1">
      <c r="A1010" s="8"/>
      <c r="B1010" s="8" t="s">
        <v>98</v>
      </c>
      <c r="C1010" s="8" t="s">
        <v>99</v>
      </c>
      <c r="D1010" s="8" t="s">
        <v>579</v>
      </c>
      <c r="E1010" s="14" t="s">
        <v>580</v>
      </c>
      <c r="F1010" s="8" t="s">
        <v>581</v>
      </c>
      <c r="G1010" s="8" t="s">
        <v>576</v>
      </c>
      <c r="H1010" s="11" t="s">
        <v>259</v>
      </c>
      <c r="I1010" s="8"/>
      <c r="J1010" s="8"/>
      <c r="K1010" s="8"/>
      <c r="L1010" s="17"/>
      <c r="M1010" s="17"/>
      <c r="N1010" s="18"/>
      <c r="O1010" s="19"/>
      <c r="P1010" s="7"/>
      <c r="Q1010" s="7"/>
      <c r="R1010" s="7"/>
      <c r="S1010" s="17"/>
    </row>
    <row r="1011" ht="13.5" customHeight="1">
      <c r="A1011" s="8"/>
      <c r="B1011" s="8" t="s">
        <v>253</v>
      </c>
      <c r="C1011" s="8" t="s">
        <v>254</v>
      </c>
      <c r="D1011" s="8" t="s">
        <v>255</v>
      </c>
      <c r="E1011" s="9" t="s">
        <v>564</v>
      </c>
      <c r="F1011" s="8" t="s">
        <v>571</v>
      </c>
      <c r="G1011" s="8" t="s">
        <v>576</v>
      </c>
      <c r="H1011" s="11" t="s">
        <v>259</v>
      </c>
      <c r="I1011" s="8"/>
      <c r="J1011" s="8"/>
      <c r="K1011" s="8"/>
      <c r="L1011" s="17"/>
      <c r="M1011" s="17"/>
      <c r="N1011" s="18"/>
      <c r="O1011" s="19"/>
      <c r="P1011" s="7"/>
      <c r="Q1011" s="7"/>
      <c r="R1011" s="7"/>
      <c r="S1011" s="17"/>
    </row>
    <row r="1012" ht="13.5" customHeight="1">
      <c r="A1012" s="8"/>
      <c r="B1012" s="8" t="s">
        <v>286</v>
      </c>
      <c r="C1012" s="8" t="s">
        <v>288</v>
      </c>
      <c r="D1012" s="8" t="s">
        <v>288</v>
      </c>
      <c r="E1012" s="14" t="s">
        <v>288</v>
      </c>
      <c r="F1012" s="8" t="s">
        <v>572</v>
      </c>
      <c r="G1012" s="8" t="s">
        <v>576</v>
      </c>
      <c r="H1012" s="11" t="s">
        <v>259</v>
      </c>
      <c r="I1012" s="8"/>
      <c r="J1012" s="8"/>
      <c r="K1012" s="8"/>
      <c r="L1012" s="17"/>
      <c r="M1012" s="17"/>
      <c r="N1012" s="18"/>
      <c r="O1012" s="19"/>
      <c r="P1012" s="7"/>
      <c r="Q1012" s="7"/>
      <c r="R1012" s="7"/>
      <c r="S1012" s="17"/>
    </row>
    <row r="1013" ht="13.5" customHeight="1">
      <c r="A1013" s="8"/>
      <c r="B1013" s="41" t="s">
        <v>67</v>
      </c>
      <c r="C1013" s="8" t="s">
        <v>270</v>
      </c>
      <c r="D1013" s="41" t="s">
        <v>551</v>
      </c>
      <c r="E1013" s="14" t="s">
        <v>582</v>
      </c>
      <c r="F1013" s="8" t="s">
        <v>553</v>
      </c>
      <c r="G1013" s="8" t="s">
        <v>583</v>
      </c>
      <c r="H1013" s="11" t="s">
        <v>259</v>
      </c>
      <c r="I1013" s="8"/>
      <c r="J1013" s="8"/>
      <c r="K1013" s="8"/>
      <c r="L1013" s="17"/>
      <c r="M1013" s="17"/>
      <c r="N1013" s="18"/>
      <c r="O1013" s="19"/>
      <c r="P1013" s="7"/>
      <c r="Q1013" s="7"/>
      <c r="R1013" s="7"/>
      <c r="S1013" s="17"/>
    </row>
    <row r="1014" ht="13.5" customHeight="1">
      <c r="A1014" s="8"/>
      <c r="B1014" s="8" t="s">
        <v>228</v>
      </c>
      <c r="C1014" s="8" t="s">
        <v>270</v>
      </c>
      <c r="D1014" s="8" t="s">
        <v>556</v>
      </c>
      <c r="E1014" s="9" t="s">
        <v>557</v>
      </c>
      <c r="F1014" s="8" t="s">
        <v>558</v>
      </c>
      <c r="G1014" s="8" t="s">
        <v>583</v>
      </c>
      <c r="H1014" s="11" t="s">
        <v>259</v>
      </c>
      <c r="I1014" s="8"/>
      <c r="J1014" s="8"/>
      <c r="K1014" s="8"/>
      <c r="L1014" s="17"/>
      <c r="M1014" s="17"/>
      <c r="N1014" s="18"/>
      <c r="O1014" s="19"/>
      <c r="P1014" s="7"/>
      <c r="Q1014" s="7"/>
      <c r="R1014" s="7"/>
      <c r="S1014" s="17"/>
    </row>
    <row r="1015" ht="13.5" customHeight="1">
      <c r="A1015" s="8"/>
      <c r="B1015" s="8" t="s">
        <v>34</v>
      </c>
      <c r="C1015" s="8" t="s">
        <v>35</v>
      </c>
      <c r="D1015" s="8">
        <v>1113.0</v>
      </c>
      <c r="E1015" s="14" t="s">
        <v>317</v>
      </c>
      <c r="F1015" s="8" t="s">
        <v>267</v>
      </c>
      <c r="G1015" s="8" t="s">
        <v>583</v>
      </c>
      <c r="H1015" s="11" t="s">
        <v>259</v>
      </c>
      <c r="I1015" s="8"/>
      <c r="J1015" s="8"/>
      <c r="K1015" s="8"/>
      <c r="L1015" s="17"/>
      <c r="M1015" s="17"/>
      <c r="N1015" s="18"/>
      <c r="O1015" s="19"/>
      <c r="P1015" s="7"/>
      <c r="Q1015" s="7"/>
      <c r="R1015" s="7"/>
      <c r="S1015" s="17"/>
    </row>
    <row r="1016" ht="13.5" customHeight="1">
      <c r="A1016" s="8"/>
      <c r="B1016" s="8" t="s">
        <v>41</v>
      </c>
      <c r="C1016" s="8" t="s">
        <v>35</v>
      </c>
      <c r="D1016" s="8">
        <v>1576.0</v>
      </c>
      <c r="E1016" s="14">
        <v>6.5818952317E10</v>
      </c>
      <c r="F1016" s="8" t="s">
        <v>350</v>
      </c>
      <c r="G1016" s="8" t="s">
        <v>583</v>
      </c>
      <c r="H1016" s="11" t="s">
        <v>259</v>
      </c>
      <c r="I1016" s="8"/>
      <c r="J1016" s="8"/>
      <c r="K1016" s="8"/>
      <c r="L1016" s="17"/>
      <c r="M1016" s="17"/>
      <c r="N1016" s="18"/>
      <c r="O1016" s="19"/>
      <c r="P1016" s="7"/>
      <c r="Q1016" s="7"/>
      <c r="R1016" s="7"/>
      <c r="S1016" s="17"/>
    </row>
    <row r="1017" ht="13.5" customHeight="1">
      <c r="A1017" s="8"/>
      <c r="B1017" s="8" t="s">
        <v>98</v>
      </c>
      <c r="C1017" s="8" t="s">
        <v>99</v>
      </c>
      <c r="D1017" s="8" t="s">
        <v>100</v>
      </c>
      <c r="E1017" s="14" t="s">
        <v>584</v>
      </c>
      <c r="F1017" s="8" t="s">
        <v>543</v>
      </c>
      <c r="G1017" s="8" t="s">
        <v>583</v>
      </c>
      <c r="H1017" s="11" t="s">
        <v>259</v>
      </c>
      <c r="I1017" s="8"/>
      <c r="J1017" s="8"/>
      <c r="K1017" s="8"/>
      <c r="L1017" s="17"/>
      <c r="M1017" s="17"/>
      <c r="N1017" s="18"/>
      <c r="O1017" s="19"/>
      <c r="P1017" s="7"/>
      <c r="Q1017" s="7"/>
      <c r="R1017" s="7"/>
      <c r="S1017" s="17"/>
    </row>
    <row r="1018" ht="13.5" customHeight="1">
      <c r="A1018" s="8"/>
      <c r="B1018" s="8" t="s">
        <v>253</v>
      </c>
      <c r="C1018" s="8" t="s">
        <v>254</v>
      </c>
      <c r="D1018" s="8" t="s">
        <v>255</v>
      </c>
      <c r="E1018" s="9" t="s">
        <v>564</v>
      </c>
      <c r="F1018" s="8" t="s">
        <v>571</v>
      </c>
      <c r="G1018" s="8" t="s">
        <v>583</v>
      </c>
      <c r="H1018" s="11" t="s">
        <v>259</v>
      </c>
      <c r="I1018" s="8"/>
      <c r="J1018" s="8"/>
      <c r="K1018" s="8"/>
      <c r="L1018" s="17"/>
      <c r="M1018" s="17"/>
      <c r="N1018" s="18"/>
      <c r="O1018" s="19"/>
      <c r="P1018" s="7"/>
      <c r="Q1018" s="7"/>
      <c r="R1018" s="7"/>
      <c r="S1018" s="17"/>
    </row>
    <row r="1019" ht="13.5" customHeight="1">
      <c r="A1019" s="8"/>
      <c r="B1019" s="8" t="s">
        <v>286</v>
      </c>
      <c r="C1019" s="8" t="s">
        <v>288</v>
      </c>
      <c r="D1019" s="8" t="s">
        <v>288</v>
      </c>
      <c r="E1019" s="14" t="s">
        <v>288</v>
      </c>
      <c r="F1019" s="8" t="s">
        <v>572</v>
      </c>
      <c r="G1019" s="8" t="s">
        <v>583</v>
      </c>
      <c r="H1019" s="11" t="s">
        <v>259</v>
      </c>
      <c r="I1019" s="8"/>
      <c r="J1019" s="8"/>
      <c r="K1019" s="8"/>
      <c r="L1019" s="17"/>
      <c r="M1019" s="17"/>
      <c r="N1019" s="18"/>
      <c r="O1019" s="19"/>
      <c r="P1019" s="7"/>
      <c r="Q1019" s="7"/>
      <c r="R1019" s="7"/>
      <c r="S1019" s="17"/>
    </row>
    <row r="1020" ht="13.5" customHeight="1">
      <c r="A1020" s="8"/>
      <c r="B1020" s="8" t="s">
        <v>67</v>
      </c>
      <c r="C1020" s="8" t="s">
        <v>270</v>
      </c>
      <c r="D1020" s="8" t="s">
        <v>551</v>
      </c>
      <c r="E1020" s="14" t="s">
        <v>586</v>
      </c>
      <c r="F1020" s="8" t="s">
        <v>553</v>
      </c>
      <c r="G1020" s="8" t="s">
        <v>2528</v>
      </c>
      <c r="H1020" s="11" t="s">
        <v>259</v>
      </c>
      <c r="I1020" s="8"/>
      <c r="J1020" s="8"/>
      <c r="K1020" s="8"/>
      <c r="L1020" s="17"/>
      <c r="M1020" s="17"/>
      <c r="N1020" s="18"/>
      <c r="O1020" s="19"/>
      <c r="P1020" s="7"/>
      <c r="Q1020" s="7"/>
      <c r="R1020" s="7"/>
      <c r="S1020" s="17"/>
    </row>
    <row r="1021" ht="13.5" customHeight="1">
      <c r="A1021" s="8"/>
      <c r="B1021" s="8" t="s">
        <v>228</v>
      </c>
      <c r="C1021" s="8" t="s">
        <v>473</v>
      </c>
      <c r="D1021" s="8" t="s">
        <v>589</v>
      </c>
      <c r="E1021" s="14" t="s">
        <v>590</v>
      </c>
      <c r="F1021" s="8" t="s">
        <v>558</v>
      </c>
      <c r="G1021" s="8" t="s">
        <v>2528</v>
      </c>
      <c r="H1021" s="11" t="s">
        <v>259</v>
      </c>
      <c r="I1021" s="8"/>
      <c r="J1021" s="8"/>
      <c r="K1021" s="8"/>
      <c r="L1021" s="17"/>
      <c r="M1021" s="17"/>
      <c r="N1021" s="18"/>
      <c r="O1021" s="19"/>
      <c r="P1021" s="7"/>
      <c r="Q1021" s="7"/>
      <c r="R1021" s="7"/>
      <c r="S1021" s="17"/>
    </row>
    <row r="1022" ht="13.5" customHeight="1">
      <c r="A1022" s="8"/>
      <c r="B1022" s="8" t="s">
        <v>98</v>
      </c>
      <c r="C1022" s="8" t="s">
        <v>48</v>
      </c>
      <c r="D1022" s="8" t="s">
        <v>591</v>
      </c>
      <c r="E1022" s="14" t="s">
        <v>592</v>
      </c>
      <c r="F1022" s="8" t="s">
        <v>543</v>
      </c>
      <c r="G1022" s="8" t="s">
        <v>2528</v>
      </c>
      <c r="H1022" s="11" t="s">
        <v>259</v>
      </c>
      <c r="I1022" s="8"/>
      <c r="J1022" s="8"/>
      <c r="K1022" s="8"/>
      <c r="L1022" s="17"/>
      <c r="M1022" s="17"/>
      <c r="N1022" s="18"/>
      <c r="O1022" s="19"/>
      <c r="P1022" s="7"/>
      <c r="Q1022" s="7"/>
      <c r="R1022" s="7"/>
      <c r="S1022" s="17"/>
    </row>
    <row r="1023" ht="13.5" customHeight="1">
      <c r="A1023" s="8"/>
      <c r="B1023" s="8" t="s">
        <v>34</v>
      </c>
      <c r="C1023" s="8" t="s">
        <v>153</v>
      </c>
      <c r="D1023" s="8" t="s">
        <v>154</v>
      </c>
      <c r="E1023" s="14" t="s">
        <v>593</v>
      </c>
      <c r="F1023" s="8" t="s">
        <v>267</v>
      </c>
      <c r="G1023" s="8" t="s">
        <v>2528</v>
      </c>
      <c r="H1023" s="11" t="s">
        <v>259</v>
      </c>
      <c r="I1023" s="8"/>
      <c r="J1023" s="8"/>
      <c r="K1023" s="8"/>
      <c r="L1023" s="17"/>
      <c r="M1023" s="17"/>
      <c r="N1023" s="18"/>
      <c r="O1023" s="19"/>
      <c r="P1023" s="7"/>
      <c r="Q1023" s="7"/>
      <c r="R1023" s="7"/>
      <c r="S1023" s="17"/>
    </row>
    <row r="1024" ht="13.5" customHeight="1">
      <c r="A1024" s="8"/>
      <c r="B1024" s="8" t="s">
        <v>253</v>
      </c>
      <c r="C1024" s="8" t="s">
        <v>254</v>
      </c>
      <c r="D1024" s="8" t="s">
        <v>255</v>
      </c>
      <c r="E1024" s="9" t="s">
        <v>564</v>
      </c>
      <c r="F1024" s="8" t="s">
        <v>571</v>
      </c>
      <c r="G1024" s="8" t="s">
        <v>2528</v>
      </c>
      <c r="H1024" s="11" t="s">
        <v>259</v>
      </c>
      <c r="I1024" s="8"/>
      <c r="J1024" s="8"/>
      <c r="K1024" s="8"/>
      <c r="L1024" s="17"/>
      <c r="M1024" s="17"/>
      <c r="N1024" s="18"/>
      <c r="O1024" s="19"/>
      <c r="P1024" s="7"/>
      <c r="Q1024" s="7"/>
      <c r="R1024" s="7"/>
      <c r="S1024" s="17"/>
    </row>
    <row r="1025" ht="13.5" customHeight="1">
      <c r="A1025" s="8"/>
      <c r="B1025" s="8" t="s">
        <v>286</v>
      </c>
      <c r="C1025" s="8" t="s">
        <v>288</v>
      </c>
      <c r="D1025" s="8" t="s">
        <v>288</v>
      </c>
      <c r="E1025" s="14" t="s">
        <v>288</v>
      </c>
      <c r="F1025" s="8" t="s">
        <v>572</v>
      </c>
      <c r="G1025" s="8" t="s">
        <v>2528</v>
      </c>
      <c r="H1025" s="11" t="s">
        <v>259</v>
      </c>
      <c r="I1025" s="8"/>
      <c r="J1025" s="8"/>
      <c r="K1025" s="8"/>
      <c r="L1025" s="17"/>
      <c r="M1025" s="17"/>
      <c r="N1025" s="18"/>
      <c r="O1025" s="19"/>
      <c r="P1025" s="7"/>
      <c r="Q1025" s="7"/>
      <c r="R1025" s="7"/>
      <c r="S1025" s="17"/>
    </row>
    <row r="1026" ht="13.5" customHeight="1">
      <c r="A1026" s="8"/>
      <c r="B1026" s="8" t="s">
        <v>67</v>
      </c>
      <c r="C1026" s="8" t="s">
        <v>270</v>
      </c>
      <c r="D1026" s="8" t="s">
        <v>551</v>
      </c>
      <c r="E1026" s="14" t="s">
        <v>594</v>
      </c>
      <c r="F1026" s="8" t="s">
        <v>553</v>
      </c>
      <c r="G1026" s="8" t="s">
        <v>595</v>
      </c>
      <c r="H1026" s="11" t="s">
        <v>259</v>
      </c>
      <c r="I1026" s="8"/>
      <c r="J1026" s="8"/>
      <c r="K1026" s="8"/>
      <c r="L1026" s="17"/>
      <c r="M1026" s="17"/>
      <c r="N1026" s="18"/>
      <c r="O1026" s="19"/>
      <c r="P1026" s="7"/>
      <c r="Q1026" s="7"/>
      <c r="R1026" s="7"/>
      <c r="S1026" s="17"/>
    </row>
    <row r="1027" ht="13.5" customHeight="1">
      <c r="A1027" s="8"/>
      <c r="B1027" s="8" t="s">
        <v>228</v>
      </c>
      <c r="C1027" s="8" t="s">
        <v>473</v>
      </c>
      <c r="D1027" s="8" t="s">
        <v>596</v>
      </c>
      <c r="E1027" s="14" t="s">
        <v>597</v>
      </c>
      <c r="F1027" s="8" t="s">
        <v>558</v>
      </c>
      <c r="G1027" s="8" t="s">
        <v>595</v>
      </c>
      <c r="H1027" s="11" t="s">
        <v>259</v>
      </c>
      <c r="I1027" s="8"/>
      <c r="J1027" s="8"/>
      <c r="K1027" s="8"/>
      <c r="L1027" s="17"/>
      <c r="M1027" s="17"/>
      <c r="N1027" s="18"/>
      <c r="O1027" s="19"/>
      <c r="P1027" s="7"/>
      <c r="Q1027" s="7"/>
      <c r="R1027" s="7"/>
      <c r="S1027" s="17"/>
    </row>
    <row r="1028" ht="13.5" customHeight="1">
      <c r="A1028" s="8"/>
      <c r="B1028" s="8" t="s">
        <v>98</v>
      </c>
      <c r="C1028" s="8" t="s">
        <v>99</v>
      </c>
      <c r="D1028" s="8" t="s">
        <v>598</v>
      </c>
      <c r="E1028" s="14" t="s">
        <v>599</v>
      </c>
      <c r="F1028" s="8" t="s">
        <v>543</v>
      </c>
      <c r="G1028" s="8" t="s">
        <v>595</v>
      </c>
      <c r="H1028" s="11" t="s">
        <v>259</v>
      </c>
      <c r="I1028" s="8"/>
      <c r="J1028" s="8"/>
      <c r="K1028" s="8"/>
      <c r="L1028" s="17"/>
      <c r="M1028" s="17"/>
      <c r="N1028" s="18"/>
      <c r="O1028" s="19"/>
      <c r="P1028" s="7"/>
      <c r="Q1028" s="7"/>
      <c r="R1028" s="7"/>
      <c r="S1028" s="17"/>
    </row>
    <row r="1029" ht="13.5" customHeight="1">
      <c r="A1029" s="8"/>
      <c r="B1029" s="8" t="s">
        <v>34</v>
      </c>
      <c r="C1029" s="8" t="s">
        <v>153</v>
      </c>
      <c r="D1029" s="8" t="s">
        <v>154</v>
      </c>
      <c r="E1029" s="14" t="s">
        <v>600</v>
      </c>
      <c r="F1029" s="8" t="s">
        <v>267</v>
      </c>
      <c r="G1029" s="8" t="s">
        <v>595</v>
      </c>
      <c r="H1029" s="11" t="s">
        <v>259</v>
      </c>
      <c r="I1029" s="8"/>
      <c r="J1029" s="8"/>
      <c r="K1029" s="8"/>
      <c r="L1029" s="17"/>
      <c r="M1029" s="17"/>
      <c r="N1029" s="18"/>
      <c r="O1029" s="19"/>
      <c r="P1029" s="7"/>
      <c r="Q1029" s="7"/>
      <c r="R1029" s="7"/>
      <c r="S1029" s="17"/>
    </row>
    <row r="1030" ht="13.5" customHeight="1">
      <c r="A1030" s="8"/>
      <c r="B1030" s="8" t="s">
        <v>253</v>
      </c>
      <c r="C1030" s="8" t="s">
        <v>254</v>
      </c>
      <c r="D1030" s="8" t="s">
        <v>255</v>
      </c>
      <c r="E1030" s="9" t="s">
        <v>564</v>
      </c>
      <c r="F1030" s="8" t="s">
        <v>571</v>
      </c>
      <c r="G1030" s="8" t="s">
        <v>595</v>
      </c>
      <c r="H1030" s="11" t="s">
        <v>259</v>
      </c>
      <c r="I1030" s="8"/>
      <c r="J1030" s="8"/>
      <c r="K1030" s="8"/>
      <c r="L1030" s="17"/>
      <c r="M1030" s="17"/>
      <c r="N1030" s="18"/>
      <c r="O1030" s="19"/>
      <c r="P1030" s="7"/>
      <c r="Q1030" s="7"/>
      <c r="R1030" s="7"/>
      <c r="S1030" s="17"/>
    </row>
    <row r="1031" ht="13.5" customHeight="1">
      <c r="A1031" s="8"/>
      <c r="B1031" s="8" t="s">
        <v>286</v>
      </c>
      <c r="C1031" s="8" t="s">
        <v>288</v>
      </c>
      <c r="D1031" s="8" t="s">
        <v>288</v>
      </c>
      <c r="E1031" s="14" t="s">
        <v>288</v>
      </c>
      <c r="F1031" s="8" t="s">
        <v>572</v>
      </c>
      <c r="G1031" s="8" t="s">
        <v>595</v>
      </c>
      <c r="H1031" s="11" t="s">
        <v>259</v>
      </c>
      <c r="I1031" s="8"/>
      <c r="J1031" s="8"/>
      <c r="K1031" s="8"/>
      <c r="L1031" s="17"/>
      <c r="M1031" s="17"/>
      <c r="N1031" s="18"/>
      <c r="O1031" s="19"/>
      <c r="P1031" s="7"/>
      <c r="Q1031" s="7"/>
      <c r="R1031" s="7"/>
      <c r="S1031" s="17"/>
    </row>
    <row r="1032" ht="13.5" customHeight="1">
      <c r="A1032" s="8"/>
      <c r="B1032" s="8" t="s">
        <v>67</v>
      </c>
      <c r="C1032" s="8" t="s">
        <v>270</v>
      </c>
      <c r="D1032" s="8" t="s">
        <v>551</v>
      </c>
      <c r="E1032" s="14" t="s">
        <v>601</v>
      </c>
      <c r="F1032" s="8" t="s">
        <v>553</v>
      </c>
      <c r="G1032" s="8" t="s">
        <v>2529</v>
      </c>
      <c r="H1032" s="11" t="s">
        <v>259</v>
      </c>
      <c r="I1032" s="8"/>
      <c r="J1032" s="8"/>
      <c r="K1032" s="8"/>
      <c r="L1032" s="17"/>
      <c r="M1032" s="17"/>
      <c r="N1032" s="18"/>
      <c r="O1032" s="19"/>
      <c r="P1032" s="7"/>
      <c r="Q1032" s="7"/>
      <c r="R1032" s="7"/>
      <c r="S1032" s="17"/>
    </row>
    <row r="1033" ht="13.5" customHeight="1">
      <c r="A1033" s="8"/>
      <c r="B1033" s="8" t="s">
        <v>228</v>
      </c>
      <c r="C1033" s="8" t="s">
        <v>473</v>
      </c>
      <c r="D1033" s="8" t="s">
        <v>603</v>
      </c>
      <c r="E1033" s="14" t="s">
        <v>604</v>
      </c>
      <c r="F1033" s="8" t="s">
        <v>558</v>
      </c>
      <c r="G1033" s="8" t="s">
        <v>2529</v>
      </c>
      <c r="H1033" s="11" t="s">
        <v>259</v>
      </c>
      <c r="I1033" s="8"/>
      <c r="J1033" s="8"/>
      <c r="K1033" s="8"/>
      <c r="L1033" s="17"/>
      <c r="M1033" s="17"/>
      <c r="N1033" s="18"/>
      <c r="O1033" s="19"/>
      <c r="P1033" s="7"/>
      <c r="Q1033" s="7"/>
      <c r="R1033" s="7"/>
      <c r="S1033" s="17"/>
    </row>
    <row r="1034" ht="13.5" customHeight="1">
      <c r="A1034" s="8"/>
      <c r="B1034" s="8" t="s">
        <v>98</v>
      </c>
      <c r="C1034" s="8" t="s">
        <v>99</v>
      </c>
      <c r="D1034" s="8" t="s">
        <v>100</v>
      </c>
      <c r="E1034" s="14" t="s">
        <v>605</v>
      </c>
      <c r="F1034" s="8" t="s">
        <v>543</v>
      </c>
      <c r="G1034" s="8" t="s">
        <v>2529</v>
      </c>
      <c r="H1034" s="11" t="s">
        <v>259</v>
      </c>
      <c r="I1034" s="8"/>
      <c r="J1034" s="8"/>
      <c r="K1034" s="8"/>
      <c r="L1034" s="17"/>
      <c r="M1034" s="17"/>
      <c r="N1034" s="18"/>
      <c r="O1034" s="19"/>
      <c r="P1034" s="7"/>
      <c r="Q1034" s="7"/>
      <c r="R1034" s="7"/>
      <c r="S1034" s="17"/>
    </row>
    <row r="1035" ht="13.5" customHeight="1">
      <c r="A1035" s="8"/>
      <c r="B1035" s="8" t="s">
        <v>34</v>
      </c>
      <c r="C1035" s="8" t="s">
        <v>153</v>
      </c>
      <c r="D1035" s="8" t="s">
        <v>154</v>
      </c>
      <c r="E1035" s="14" t="s">
        <v>606</v>
      </c>
      <c r="F1035" s="8" t="s">
        <v>267</v>
      </c>
      <c r="G1035" s="8" t="s">
        <v>2529</v>
      </c>
      <c r="H1035" s="11" t="s">
        <v>259</v>
      </c>
      <c r="I1035" s="8"/>
      <c r="J1035" s="8"/>
      <c r="K1035" s="8"/>
      <c r="L1035" s="17"/>
      <c r="M1035" s="17"/>
      <c r="N1035" s="18"/>
      <c r="O1035" s="19"/>
      <c r="P1035" s="7"/>
      <c r="Q1035" s="7"/>
      <c r="R1035" s="7"/>
      <c r="S1035" s="17"/>
    </row>
    <row r="1036" ht="13.5" customHeight="1">
      <c r="A1036" s="8"/>
      <c r="B1036" s="8" t="s">
        <v>253</v>
      </c>
      <c r="C1036" s="8" t="s">
        <v>254</v>
      </c>
      <c r="D1036" s="8" t="s">
        <v>255</v>
      </c>
      <c r="E1036" s="14" t="s">
        <v>564</v>
      </c>
      <c r="F1036" s="8" t="s">
        <v>571</v>
      </c>
      <c r="G1036" s="8" t="s">
        <v>2529</v>
      </c>
      <c r="H1036" s="11" t="s">
        <v>259</v>
      </c>
      <c r="I1036" s="8"/>
      <c r="J1036" s="8"/>
      <c r="K1036" s="8"/>
      <c r="L1036" s="17"/>
      <c r="M1036" s="17"/>
      <c r="N1036" s="18"/>
      <c r="O1036" s="19"/>
      <c r="P1036" s="7"/>
      <c r="Q1036" s="7"/>
      <c r="R1036" s="7"/>
      <c r="S1036" s="17"/>
    </row>
    <row r="1037" ht="13.5" customHeight="1">
      <c r="A1037" s="8"/>
      <c r="B1037" s="8" t="s">
        <v>286</v>
      </c>
      <c r="C1037" s="8" t="s">
        <v>288</v>
      </c>
      <c r="D1037" s="8" t="s">
        <v>288</v>
      </c>
      <c r="E1037" s="14" t="s">
        <v>288</v>
      </c>
      <c r="F1037" s="8" t="s">
        <v>572</v>
      </c>
      <c r="G1037" s="8" t="s">
        <v>2529</v>
      </c>
      <c r="H1037" s="11" t="s">
        <v>259</v>
      </c>
      <c r="I1037" s="8"/>
      <c r="J1037" s="8"/>
      <c r="K1037" s="8"/>
      <c r="L1037" s="17"/>
      <c r="M1037" s="17"/>
      <c r="N1037" s="18"/>
      <c r="O1037" s="19"/>
      <c r="P1037" s="7"/>
      <c r="Q1037" s="7"/>
      <c r="R1037" s="7"/>
      <c r="S1037" s="17"/>
    </row>
    <row r="1038" ht="13.5" customHeight="1">
      <c r="A1038" s="8"/>
      <c r="B1038" s="8" t="s">
        <v>67</v>
      </c>
      <c r="C1038" s="8" t="s">
        <v>125</v>
      </c>
      <c r="D1038" s="8" t="s">
        <v>609</v>
      </c>
      <c r="E1038" s="14" t="s">
        <v>33</v>
      </c>
      <c r="F1038" s="8" t="s">
        <v>610</v>
      </c>
      <c r="G1038" s="8" t="s">
        <v>611</v>
      </c>
      <c r="H1038" s="11" t="s">
        <v>259</v>
      </c>
      <c r="I1038" s="8"/>
      <c r="J1038" s="8"/>
      <c r="K1038" s="8"/>
      <c r="L1038" s="17"/>
      <c r="M1038" s="17"/>
      <c r="N1038" s="18"/>
      <c r="O1038" s="19"/>
      <c r="P1038" s="7"/>
      <c r="Q1038" s="7"/>
      <c r="R1038" s="7"/>
      <c r="S1038" s="17"/>
    </row>
    <row r="1039" ht="13.5" customHeight="1">
      <c r="A1039" s="8"/>
      <c r="B1039" s="8" t="s">
        <v>132</v>
      </c>
      <c r="C1039" s="8" t="s">
        <v>125</v>
      </c>
      <c r="D1039" s="8" t="s">
        <v>612</v>
      </c>
      <c r="E1039" s="14" t="s">
        <v>33</v>
      </c>
      <c r="F1039" s="8" t="s">
        <v>613</v>
      </c>
      <c r="G1039" s="8" t="s">
        <v>611</v>
      </c>
      <c r="H1039" s="11" t="s">
        <v>259</v>
      </c>
      <c r="I1039" s="8"/>
      <c r="J1039" s="8"/>
      <c r="K1039" s="8"/>
      <c r="L1039" s="17"/>
      <c r="M1039" s="17"/>
      <c r="N1039" s="18"/>
      <c r="O1039" s="19"/>
      <c r="P1039" s="7"/>
      <c r="Q1039" s="7"/>
      <c r="R1039" s="7"/>
      <c r="S1039" s="17"/>
    </row>
    <row r="1040" ht="13.5" customHeight="1">
      <c r="A1040" s="8"/>
      <c r="B1040" s="8" t="s">
        <v>34</v>
      </c>
      <c r="C1040" s="8" t="s">
        <v>288</v>
      </c>
      <c r="D1040" s="8" t="s">
        <v>288</v>
      </c>
      <c r="E1040" s="14" t="s">
        <v>288</v>
      </c>
      <c r="F1040" s="8" t="s">
        <v>267</v>
      </c>
      <c r="G1040" s="8" t="s">
        <v>611</v>
      </c>
      <c r="H1040" s="11" t="s">
        <v>259</v>
      </c>
      <c r="I1040" s="8"/>
      <c r="J1040" s="8"/>
      <c r="K1040" s="8"/>
      <c r="L1040" s="17"/>
      <c r="M1040" s="17"/>
      <c r="N1040" s="18"/>
      <c r="O1040" s="19"/>
      <c r="P1040" s="7"/>
      <c r="Q1040" s="7"/>
      <c r="R1040" s="7"/>
      <c r="S1040" s="17"/>
    </row>
    <row r="1041" ht="13.5" customHeight="1">
      <c r="A1041" s="8"/>
      <c r="B1041" s="8" t="s">
        <v>253</v>
      </c>
      <c r="C1041" s="8" t="s">
        <v>254</v>
      </c>
      <c r="D1041" s="8" t="s">
        <v>255</v>
      </c>
      <c r="E1041" s="14" t="s">
        <v>614</v>
      </c>
      <c r="F1041" s="8" t="s">
        <v>571</v>
      </c>
      <c r="G1041" s="8" t="s">
        <v>611</v>
      </c>
      <c r="H1041" s="11" t="s">
        <v>259</v>
      </c>
      <c r="I1041" s="8"/>
      <c r="J1041" s="8"/>
      <c r="K1041" s="8"/>
      <c r="L1041" s="17"/>
      <c r="M1041" s="17"/>
      <c r="N1041" s="18"/>
      <c r="O1041" s="19"/>
      <c r="P1041" s="7"/>
      <c r="Q1041" s="7"/>
      <c r="R1041" s="7"/>
      <c r="S1041" s="17"/>
    </row>
    <row r="1042" ht="13.5" customHeight="1">
      <c r="A1042" s="8"/>
      <c r="B1042" s="8" t="s">
        <v>74</v>
      </c>
      <c r="C1042" s="8" t="s">
        <v>615</v>
      </c>
      <c r="D1042" s="8" t="s">
        <v>288</v>
      </c>
      <c r="E1042" s="8" t="s">
        <v>288</v>
      </c>
      <c r="F1042" s="8" t="s">
        <v>616</v>
      </c>
      <c r="G1042" s="8" t="s">
        <v>611</v>
      </c>
      <c r="H1042" s="11" t="s">
        <v>259</v>
      </c>
      <c r="I1042" s="8"/>
      <c r="J1042" s="8"/>
      <c r="K1042" s="8"/>
      <c r="L1042" s="17"/>
      <c r="M1042" s="17"/>
      <c r="N1042" s="18"/>
      <c r="O1042" s="19"/>
      <c r="P1042" s="7"/>
      <c r="Q1042" s="7"/>
      <c r="R1042" s="7"/>
      <c r="S1042" s="17"/>
    </row>
    <row r="1043" ht="13.5" customHeight="1">
      <c r="A1043" s="8"/>
      <c r="B1043" s="8" t="s">
        <v>286</v>
      </c>
      <c r="C1043" s="8" t="s">
        <v>288</v>
      </c>
      <c r="D1043" s="8" t="s">
        <v>288</v>
      </c>
      <c r="E1043" s="8" t="s">
        <v>288</v>
      </c>
      <c r="F1043" s="8" t="s">
        <v>572</v>
      </c>
      <c r="G1043" s="8" t="s">
        <v>611</v>
      </c>
      <c r="H1043" s="11" t="s">
        <v>259</v>
      </c>
      <c r="I1043" s="8"/>
      <c r="J1043" s="8"/>
      <c r="K1043" s="8"/>
      <c r="L1043" s="17"/>
      <c r="M1043" s="17"/>
      <c r="N1043" s="18"/>
      <c r="O1043" s="19"/>
      <c r="P1043" s="7"/>
      <c r="Q1043" s="7"/>
      <c r="R1043" s="7"/>
      <c r="S1043" s="17"/>
    </row>
    <row r="1044" ht="13.5" customHeight="1">
      <c r="A1044" s="8"/>
      <c r="B1044" s="8" t="s">
        <v>618</v>
      </c>
      <c r="C1044" s="8" t="s">
        <v>619</v>
      </c>
      <c r="D1044" s="8" t="s">
        <v>620</v>
      </c>
      <c r="E1044" s="14" t="s">
        <v>33</v>
      </c>
      <c r="F1044" s="8" t="s">
        <v>621</v>
      </c>
      <c r="G1044" s="8" t="s">
        <v>264</v>
      </c>
      <c r="H1044" s="11" t="s">
        <v>259</v>
      </c>
      <c r="I1044" s="8"/>
      <c r="J1044" s="8"/>
      <c r="K1044" s="8"/>
      <c r="L1044" s="17"/>
      <c r="M1044" s="17"/>
      <c r="N1044" s="18"/>
      <c r="O1044" s="19"/>
      <c r="P1044" s="7"/>
      <c r="Q1044" s="7"/>
      <c r="R1044" s="7"/>
      <c r="S1044" s="17"/>
    </row>
    <row r="1045" ht="13.5" customHeight="1">
      <c r="A1045" s="8" t="s">
        <v>1900</v>
      </c>
      <c r="B1045" s="8" t="s">
        <v>67</v>
      </c>
      <c r="C1045" s="8" t="s">
        <v>270</v>
      </c>
      <c r="D1045" s="8" t="s">
        <v>1901</v>
      </c>
      <c r="E1045" s="14" t="s">
        <v>1902</v>
      </c>
      <c r="F1045" s="8" t="s">
        <v>1903</v>
      </c>
      <c r="G1045" s="8" t="s">
        <v>1904</v>
      </c>
      <c r="H1045" s="11" t="s">
        <v>259</v>
      </c>
      <c r="I1045" s="8"/>
      <c r="J1045" s="8"/>
      <c r="K1045" s="8"/>
      <c r="L1045" s="17"/>
      <c r="M1045" s="17"/>
      <c r="N1045" s="18"/>
      <c r="O1045" s="19"/>
      <c r="P1045" s="7"/>
      <c r="Q1045" s="7"/>
      <c r="R1045" s="7"/>
      <c r="S1045" s="17"/>
    </row>
    <row r="1046" ht="13.5" customHeight="1">
      <c r="A1046" s="8"/>
      <c r="B1046" s="8" t="s">
        <v>228</v>
      </c>
      <c r="C1046" s="8" t="s">
        <v>270</v>
      </c>
      <c r="D1046" s="8" t="s">
        <v>277</v>
      </c>
      <c r="E1046" s="40" t="s">
        <v>1905</v>
      </c>
      <c r="F1046" s="8" t="s">
        <v>1906</v>
      </c>
      <c r="G1046" s="8" t="s">
        <v>1904</v>
      </c>
      <c r="H1046" s="11" t="s">
        <v>259</v>
      </c>
      <c r="I1046" s="8"/>
      <c r="J1046" s="8"/>
      <c r="K1046" s="8"/>
      <c r="L1046" s="17"/>
      <c r="M1046" s="17"/>
      <c r="N1046" s="18"/>
      <c r="O1046" s="19"/>
      <c r="P1046" s="7"/>
      <c r="Q1046" s="7"/>
      <c r="R1046" s="7"/>
      <c r="S1046" s="17"/>
    </row>
    <row r="1047" ht="13.5" customHeight="1">
      <c r="A1047" s="8" t="s">
        <v>477</v>
      </c>
      <c r="B1047" s="8" t="s">
        <v>34</v>
      </c>
      <c r="C1047" s="8" t="s">
        <v>288</v>
      </c>
      <c r="D1047" s="8" t="s">
        <v>288</v>
      </c>
      <c r="E1047" s="14" t="s">
        <v>288</v>
      </c>
      <c r="F1047" s="8" t="s">
        <v>1907</v>
      </c>
      <c r="G1047" s="8" t="s">
        <v>1904</v>
      </c>
      <c r="H1047" s="11" t="s">
        <v>259</v>
      </c>
      <c r="I1047" s="8"/>
      <c r="J1047" s="8"/>
      <c r="K1047" s="8"/>
      <c r="L1047" s="17"/>
      <c r="M1047" s="17"/>
      <c r="N1047" s="18"/>
      <c r="O1047" s="19"/>
      <c r="P1047" s="7"/>
      <c r="Q1047" s="7"/>
      <c r="R1047" s="7"/>
      <c r="S1047" s="17"/>
    </row>
    <row r="1048" ht="13.5" customHeight="1">
      <c r="A1048" s="8"/>
      <c r="B1048" s="8" t="s">
        <v>290</v>
      </c>
      <c r="C1048" s="8" t="s">
        <v>291</v>
      </c>
      <c r="D1048" s="41" t="s">
        <v>292</v>
      </c>
      <c r="E1048" s="40" t="s">
        <v>912</v>
      </c>
      <c r="F1048" s="8" t="s">
        <v>1908</v>
      </c>
      <c r="G1048" s="8" t="s">
        <v>1904</v>
      </c>
      <c r="H1048" s="11" t="s">
        <v>259</v>
      </c>
      <c r="I1048" s="8"/>
      <c r="J1048" s="8"/>
      <c r="K1048" s="8"/>
      <c r="L1048" s="17"/>
      <c r="M1048" s="17"/>
      <c r="N1048" s="18"/>
      <c r="O1048" s="19"/>
      <c r="P1048" s="7"/>
      <c r="Q1048" s="7"/>
      <c r="R1048" s="7"/>
      <c r="S1048" s="17"/>
    </row>
    <row r="1049" ht="13.5" customHeight="1">
      <c r="A1049" s="8" t="s">
        <v>279</v>
      </c>
      <c r="B1049" s="8" t="s">
        <v>253</v>
      </c>
      <c r="C1049" s="8" t="s">
        <v>254</v>
      </c>
      <c r="D1049" s="8" t="s">
        <v>255</v>
      </c>
      <c r="E1049" s="14" t="s">
        <v>280</v>
      </c>
      <c r="F1049" s="8" t="s">
        <v>1909</v>
      </c>
      <c r="G1049" s="8" t="s">
        <v>1904</v>
      </c>
      <c r="H1049" s="11" t="s">
        <v>259</v>
      </c>
      <c r="I1049" s="8"/>
      <c r="J1049" s="8"/>
      <c r="K1049" s="8"/>
      <c r="L1049" s="17"/>
      <c r="M1049" s="17"/>
      <c r="N1049" s="18"/>
      <c r="O1049" s="19"/>
      <c r="P1049" s="7"/>
      <c r="Q1049" s="7"/>
      <c r="R1049" s="7"/>
      <c r="S1049" s="17"/>
    </row>
    <row r="1050" ht="13.5" customHeight="1">
      <c r="A1050" s="8"/>
      <c r="B1050" s="8" t="s">
        <v>286</v>
      </c>
      <c r="C1050" s="8" t="s">
        <v>1910</v>
      </c>
      <c r="D1050" s="8" t="s">
        <v>288</v>
      </c>
      <c r="E1050" s="14" t="s">
        <v>288</v>
      </c>
      <c r="F1050" s="8" t="s">
        <v>1911</v>
      </c>
      <c r="G1050" s="8" t="s">
        <v>1904</v>
      </c>
      <c r="H1050" s="11" t="s">
        <v>259</v>
      </c>
      <c r="I1050" s="8"/>
      <c r="J1050" s="8"/>
      <c r="K1050" s="8"/>
      <c r="L1050" s="17"/>
      <c r="M1050" s="17"/>
      <c r="N1050" s="18"/>
      <c r="O1050" s="19"/>
      <c r="P1050" s="7"/>
      <c r="Q1050" s="7"/>
      <c r="R1050" s="7"/>
      <c r="S1050" s="17"/>
    </row>
    <row r="1051" ht="13.5" customHeight="1">
      <c r="A1051" s="8"/>
      <c r="B1051" s="8" t="s">
        <v>167</v>
      </c>
      <c r="C1051" s="8" t="s">
        <v>296</v>
      </c>
      <c r="D1051" s="8" t="s">
        <v>297</v>
      </c>
      <c r="E1051" s="14" t="s">
        <v>298</v>
      </c>
      <c r="F1051" s="8" t="s">
        <v>1912</v>
      </c>
      <c r="G1051" s="8" t="s">
        <v>1904</v>
      </c>
      <c r="H1051" s="11" t="s">
        <v>259</v>
      </c>
      <c r="I1051" s="8"/>
      <c r="J1051" s="8"/>
      <c r="K1051" s="8"/>
      <c r="L1051" s="17"/>
      <c r="M1051" s="17"/>
      <c r="N1051" s="18"/>
      <c r="O1051" s="19"/>
      <c r="P1051" s="7"/>
      <c r="Q1051" s="7"/>
      <c r="R1051" s="7"/>
      <c r="S1051" s="17"/>
    </row>
    <row r="1052" ht="13.5" customHeight="1">
      <c r="A1052" s="8"/>
      <c r="B1052" s="8" t="s">
        <v>1875</v>
      </c>
      <c r="C1052" s="8" t="s">
        <v>48</v>
      </c>
      <c r="D1052" s="8" t="s">
        <v>1913</v>
      </c>
      <c r="E1052" s="14" t="s">
        <v>1914</v>
      </c>
      <c r="F1052" s="8" t="s">
        <v>1915</v>
      </c>
      <c r="G1052" s="8" t="s">
        <v>1904</v>
      </c>
      <c r="H1052" s="11" t="s">
        <v>259</v>
      </c>
      <c r="I1052" s="8"/>
      <c r="J1052" s="8"/>
      <c r="K1052" s="8"/>
      <c r="L1052" s="17"/>
      <c r="M1052" s="17"/>
      <c r="N1052" s="18"/>
      <c r="O1052" s="19"/>
      <c r="P1052" s="7"/>
      <c r="Q1052" s="7"/>
      <c r="R1052" s="7"/>
      <c r="S1052" s="17"/>
    </row>
    <row r="1053" ht="13.5" customHeight="1">
      <c r="A1053" s="8"/>
      <c r="B1053" s="8" t="s">
        <v>67</v>
      </c>
      <c r="C1053" s="8" t="s">
        <v>270</v>
      </c>
      <c r="D1053" s="8" t="s">
        <v>1901</v>
      </c>
      <c r="E1053" s="14" t="s">
        <v>506</v>
      </c>
      <c r="F1053" s="41" t="s">
        <v>1903</v>
      </c>
      <c r="G1053" s="8" t="s">
        <v>1916</v>
      </c>
      <c r="H1053" s="11" t="s">
        <v>259</v>
      </c>
      <c r="I1053" s="8"/>
      <c r="J1053" s="8"/>
      <c r="K1053" s="8"/>
      <c r="L1053" s="17"/>
      <c r="M1053" s="17"/>
      <c r="N1053" s="18"/>
      <c r="O1053" s="19"/>
      <c r="P1053" s="7"/>
      <c r="Q1053" s="7"/>
      <c r="R1053" s="7"/>
      <c r="S1053" s="17"/>
    </row>
    <row r="1054" ht="13.5" customHeight="1">
      <c r="A1054" s="8"/>
      <c r="B1054" s="8" t="s">
        <v>228</v>
      </c>
      <c r="C1054" s="8" t="s">
        <v>270</v>
      </c>
      <c r="D1054" s="8" t="s">
        <v>1783</v>
      </c>
      <c r="E1054" s="14" t="s">
        <v>1917</v>
      </c>
      <c r="F1054" s="8" t="s">
        <v>1918</v>
      </c>
      <c r="G1054" s="8" t="s">
        <v>1916</v>
      </c>
      <c r="H1054" s="11" t="s">
        <v>259</v>
      </c>
      <c r="I1054" s="8"/>
      <c r="J1054" s="8"/>
      <c r="K1054" s="8"/>
      <c r="L1054" s="17"/>
      <c r="M1054" s="17"/>
      <c r="N1054" s="18"/>
      <c r="O1054" s="19"/>
      <c r="P1054" s="7"/>
      <c r="Q1054" s="7"/>
      <c r="R1054" s="7"/>
      <c r="S1054" s="17"/>
    </row>
    <row r="1055" ht="13.5" customHeight="1">
      <c r="A1055" s="8" t="s">
        <v>1919</v>
      </c>
      <c r="B1055" s="8" t="s">
        <v>34</v>
      </c>
      <c r="C1055" s="8" t="s">
        <v>288</v>
      </c>
      <c r="D1055" s="8" t="s">
        <v>288</v>
      </c>
      <c r="E1055" s="14" t="s">
        <v>288</v>
      </c>
      <c r="F1055" s="8" t="s">
        <v>1920</v>
      </c>
      <c r="G1055" s="8" t="s">
        <v>1916</v>
      </c>
      <c r="H1055" s="11" t="s">
        <v>259</v>
      </c>
      <c r="I1055" s="8"/>
      <c r="J1055" s="8"/>
      <c r="K1055" s="8"/>
      <c r="L1055" s="17"/>
      <c r="M1055" s="17"/>
      <c r="N1055" s="18"/>
      <c r="O1055" s="19"/>
      <c r="P1055" s="7"/>
      <c r="Q1055" s="7"/>
      <c r="R1055" s="7"/>
      <c r="S1055" s="17"/>
    </row>
    <row r="1056" ht="13.5" customHeight="1">
      <c r="A1056" s="8"/>
      <c r="B1056" s="8" t="s">
        <v>290</v>
      </c>
      <c r="C1056" s="8" t="s">
        <v>291</v>
      </c>
      <c r="D1056" s="8" t="s">
        <v>292</v>
      </c>
      <c r="E1056" s="14" t="s">
        <v>516</v>
      </c>
      <c r="F1056" s="8" t="s">
        <v>1921</v>
      </c>
      <c r="G1056" s="8" t="s">
        <v>1916</v>
      </c>
      <c r="H1056" s="11" t="s">
        <v>259</v>
      </c>
      <c r="I1056" s="8"/>
      <c r="J1056" s="8"/>
      <c r="K1056" s="8"/>
      <c r="L1056" s="17"/>
      <c r="M1056" s="17"/>
      <c r="N1056" s="18"/>
      <c r="O1056" s="19"/>
      <c r="P1056" s="7"/>
      <c r="Q1056" s="7"/>
      <c r="R1056" s="7"/>
      <c r="S1056" s="17"/>
    </row>
    <row r="1057" ht="13.5" customHeight="1">
      <c r="A1057" s="8"/>
      <c r="B1057" s="8" t="s">
        <v>253</v>
      </c>
      <c r="C1057" s="8" t="s">
        <v>254</v>
      </c>
      <c r="D1057" s="8" t="s">
        <v>255</v>
      </c>
      <c r="E1057" s="14" t="s">
        <v>512</v>
      </c>
      <c r="F1057" s="8" t="s">
        <v>1909</v>
      </c>
      <c r="G1057" s="8" t="s">
        <v>1916</v>
      </c>
      <c r="H1057" s="11" t="s">
        <v>259</v>
      </c>
      <c r="I1057" s="8"/>
      <c r="J1057" s="8"/>
      <c r="K1057" s="8"/>
      <c r="L1057" s="17"/>
      <c r="M1057" s="17"/>
      <c r="N1057" s="18"/>
      <c r="O1057" s="19"/>
      <c r="P1057" s="7"/>
      <c r="Q1057" s="7"/>
      <c r="R1057" s="7"/>
      <c r="S1057" s="17"/>
    </row>
    <row r="1058" ht="13.5" customHeight="1">
      <c r="A1058" s="8"/>
      <c r="B1058" s="8" t="s">
        <v>286</v>
      </c>
      <c r="C1058" s="8" t="s">
        <v>1910</v>
      </c>
      <c r="D1058" s="8" t="s">
        <v>288</v>
      </c>
      <c r="E1058" s="14" t="s">
        <v>288</v>
      </c>
      <c r="F1058" s="8" t="s">
        <v>1922</v>
      </c>
      <c r="G1058" s="8" t="s">
        <v>1916</v>
      </c>
      <c r="H1058" s="11" t="s">
        <v>259</v>
      </c>
      <c r="I1058" s="8"/>
      <c r="J1058" s="8"/>
      <c r="K1058" s="8"/>
      <c r="L1058" s="17"/>
      <c r="M1058" s="17"/>
      <c r="N1058" s="18"/>
      <c r="O1058" s="19"/>
      <c r="P1058" s="7"/>
      <c r="Q1058" s="7"/>
      <c r="R1058" s="7"/>
      <c r="S1058" s="17"/>
    </row>
    <row r="1059" ht="13.5" customHeight="1">
      <c r="A1059" s="8"/>
      <c r="B1059" s="8" t="s">
        <v>167</v>
      </c>
      <c r="C1059" s="8" t="s">
        <v>296</v>
      </c>
      <c r="D1059" s="8" t="s">
        <v>1282</v>
      </c>
      <c r="E1059" s="14" t="s">
        <v>1542</v>
      </c>
      <c r="F1059" s="8" t="s">
        <v>1923</v>
      </c>
      <c r="G1059" s="8" t="s">
        <v>1916</v>
      </c>
      <c r="H1059" s="11" t="s">
        <v>259</v>
      </c>
      <c r="I1059" s="8"/>
      <c r="J1059" s="8"/>
      <c r="K1059" s="8"/>
      <c r="L1059" s="17"/>
      <c r="M1059" s="17"/>
      <c r="N1059" s="18"/>
      <c r="O1059" s="19"/>
      <c r="P1059" s="7"/>
      <c r="Q1059" s="7"/>
      <c r="R1059" s="7"/>
      <c r="S1059" s="17"/>
    </row>
    <row r="1060" ht="13.5" customHeight="1">
      <c r="A1060" s="8"/>
      <c r="B1060" s="8" t="s">
        <v>1875</v>
      </c>
      <c r="C1060" s="8" t="s">
        <v>296</v>
      </c>
      <c r="D1060" s="8" t="s">
        <v>1287</v>
      </c>
      <c r="E1060" s="14" t="s">
        <v>1542</v>
      </c>
      <c r="F1060" s="8" t="s">
        <v>1896</v>
      </c>
      <c r="G1060" s="8" t="s">
        <v>1916</v>
      </c>
      <c r="H1060" s="11" t="s">
        <v>259</v>
      </c>
      <c r="I1060" s="8"/>
      <c r="J1060" s="8"/>
      <c r="K1060" s="8"/>
      <c r="L1060" s="17"/>
      <c r="M1060" s="17"/>
      <c r="N1060" s="18"/>
      <c r="O1060" s="19"/>
      <c r="P1060" s="7"/>
      <c r="Q1060" s="7"/>
      <c r="R1060" s="7"/>
      <c r="S1060" s="17"/>
    </row>
    <row r="1061" ht="13.5" customHeight="1">
      <c r="A1061" s="8"/>
      <c r="B1061" s="8"/>
      <c r="C1061" s="8"/>
      <c r="D1061" s="8"/>
      <c r="E1061" s="14"/>
      <c r="F1061" s="8"/>
      <c r="G1061" s="8"/>
      <c r="H1061" s="8"/>
      <c r="I1061" s="8"/>
      <c r="J1061" s="8"/>
      <c r="K1061" s="8"/>
      <c r="L1061" s="17"/>
      <c r="M1061" s="17"/>
      <c r="N1061" s="18"/>
      <c r="O1061" s="19"/>
      <c r="P1061" s="7"/>
      <c r="Q1061" s="7"/>
      <c r="R1061" s="7"/>
      <c r="S1061" s="17"/>
    </row>
    <row r="1062" ht="13.5" customHeight="1">
      <c r="A1062" s="8"/>
      <c r="B1062" s="8"/>
      <c r="C1062" s="8"/>
      <c r="D1062" s="8"/>
      <c r="E1062" s="14"/>
      <c r="F1062" s="8"/>
      <c r="G1062" s="8"/>
      <c r="H1062" s="8"/>
      <c r="I1062" s="8"/>
      <c r="J1062" s="8"/>
      <c r="K1062" s="8"/>
      <c r="L1062" s="17"/>
      <c r="M1062" s="17"/>
      <c r="N1062" s="18"/>
      <c r="O1062" s="19"/>
      <c r="P1062" s="7"/>
      <c r="Q1062" s="7"/>
      <c r="R1062" s="7"/>
      <c r="S1062" s="17"/>
    </row>
    <row r="1063" ht="13.5" customHeight="1">
      <c r="A1063" s="8"/>
      <c r="B1063" s="8"/>
      <c r="C1063" s="8"/>
      <c r="D1063" s="8"/>
      <c r="E1063" s="14"/>
      <c r="F1063" s="8"/>
      <c r="G1063" s="8"/>
      <c r="H1063" s="8"/>
      <c r="I1063" s="8"/>
      <c r="J1063" s="8"/>
      <c r="K1063" s="8"/>
      <c r="L1063" s="17"/>
      <c r="M1063" s="17"/>
      <c r="N1063" s="18"/>
      <c r="O1063" s="19"/>
      <c r="P1063" s="7"/>
      <c r="Q1063" s="7"/>
      <c r="R1063" s="7"/>
      <c r="S1063" s="17"/>
    </row>
    <row r="1064" ht="13.5" customHeight="1">
      <c r="A1064" s="8"/>
      <c r="B1064" s="8"/>
      <c r="C1064" s="8"/>
      <c r="D1064" s="8"/>
      <c r="E1064" s="14"/>
      <c r="F1064" s="8"/>
      <c r="G1064" s="8"/>
      <c r="H1064" s="8"/>
      <c r="I1064" s="8"/>
      <c r="J1064" s="8"/>
      <c r="K1064" s="8"/>
      <c r="L1064" s="17"/>
      <c r="M1064" s="17"/>
      <c r="N1064" s="18"/>
      <c r="O1064" s="19"/>
      <c r="P1064" s="7"/>
      <c r="Q1064" s="7"/>
      <c r="R1064" s="7"/>
      <c r="S1064" s="17"/>
    </row>
    <row r="1065" ht="13.5" customHeight="1">
      <c r="A1065" s="8"/>
      <c r="B1065" s="8"/>
      <c r="C1065" s="8"/>
      <c r="D1065" s="8"/>
      <c r="E1065" s="14"/>
      <c r="F1065" s="8"/>
      <c r="G1065" s="8"/>
      <c r="H1065" s="8"/>
      <c r="I1065" s="8"/>
      <c r="J1065" s="8"/>
      <c r="K1065" s="8"/>
      <c r="L1065" s="17"/>
      <c r="M1065" s="17"/>
      <c r="N1065" s="18"/>
      <c r="O1065" s="19"/>
      <c r="P1065" s="7"/>
      <c r="Q1065" s="7"/>
      <c r="R1065" s="7"/>
      <c r="S1065" s="17"/>
    </row>
    <row r="1066" ht="13.5" customHeight="1">
      <c r="A1066" s="8"/>
      <c r="B1066" s="8"/>
      <c r="C1066" s="8"/>
      <c r="D1066" s="8"/>
      <c r="E1066" s="14"/>
      <c r="F1066" s="8"/>
      <c r="G1066" s="8"/>
      <c r="H1066" s="8"/>
      <c r="I1066" s="8"/>
      <c r="J1066" s="8"/>
      <c r="K1066" s="8"/>
      <c r="L1066" s="17"/>
      <c r="M1066" s="17"/>
      <c r="N1066" s="18"/>
      <c r="O1066" s="19"/>
      <c r="P1066" s="7"/>
      <c r="Q1066" s="7"/>
      <c r="R1066" s="7"/>
      <c r="S1066" s="17"/>
    </row>
    <row r="1067" ht="13.5" customHeight="1">
      <c r="A1067" s="8"/>
      <c r="B1067" s="8"/>
      <c r="C1067" s="8"/>
      <c r="D1067" s="8"/>
      <c r="E1067" s="14"/>
      <c r="F1067" s="8"/>
      <c r="G1067" s="8"/>
      <c r="H1067" s="8"/>
      <c r="I1067" s="8"/>
      <c r="J1067" s="8"/>
      <c r="K1067" s="8"/>
      <c r="L1067" s="17"/>
      <c r="M1067" s="17"/>
      <c r="N1067" s="18"/>
      <c r="O1067" s="19"/>
      <c r="P1067" s="7"/>
      <c r="Q1067" s="7"/>
      <c r="R1067" s="7"/>
      <c r="S1067" s="17"/>
    </row>
    <row r="1068" ht="13.5" customHeight="1">
      <c r="A1068" s="8"/>
      <c r="B1068" s="8"/>
      <c r="C1068" s="8"/>
      <c r="D1068" s="8"/>
      <c r="E1068" s="14"/>
      <c r="F1068" s="8"/>
      <c r="G1068" s="8"/>
      <c r="H1068" s="8"/>
      <c r="I1068" s="8"/>
      <c r="J1068" s="8"/>
      <c r="K1068" s="8"/>
      <c r="L1068" s="17"/>
      <c r="M1068" s="17"/>
      <c r="N1068" s="18"/>
      <c r="O1068" s="19"/>
      <c r="P1068" s="7"/>
      <c r="Q1068" s="7"/>
      <c r="R1068" s="7"/>
      <c r="S1068" s="17"/>
    </row>
    <row r="1069" ht="13.5" customHeight="1">
      <c r="A1069" s="8"/>
      <c r="B1069" s="8"/>
      <c r="C1069" s="8"/>
      <c r="D1069" s="8"/>
      <c r="E1069" s="14"/>
      <c r="F1069" s="8"/>
      <c r="G1069" s="8"/>
      <c r="H1069" s="8"/>
      <c r="I1069" s="8"/>
      <c r="J1069" s="8"/>
      <c r="K1069" s="8"/>
      <c r="L1069" s="17"/>
      <c r="M1069" s="17"/>
      <c r="N1069" s="18"/>
      <c r="O1069" s="19"/>
      <c r="P1069" s="7"/>
      <c r="Q1069" s="7"/>
      <c r="R1069" s="7"/>
      <c r="S1069" s="17"/>
    </row>
    <row r="1070" ht="13.5" customHeight="1">
      <c r="A1070" s="8"/>
      <c r="B1070" s="8"/>
      <c r="C1070" s="8"/>
      <c r="D1070" s="8"/>
      <c r="E1070" s="14"/>
      <c r="F1070" s="8"/>
      <c r="G1070" s="8"/>
      <c r="H1070" s="8"/>
      <c r="I1070" s="8"/>
      <c r="J1070" s="8"/>
      <c r="K1070" s="8"/>
      <c r="L1070" s="17"/>
      <c r="M1070" s="17"/>
      <c r="N1070" s="18"/>
      <c r="O1070" s="19"/>
      <c r="P1070" s="7"/>
      <c r="Q1070" s="7"/>
      <c r="R1070" s="7"/>
      <c r="S1070" s="17"/>
    </row>
    <row r="1071" ht="13.5" customHeight="1">
      <c r="A1071" s="8"/>
      <c r="B1071" s="8"/>
      <c r="C1071" s="8"/>
      <c r="D1071" s="8"/>
      <c r="E1071" s="14"/>
      <c r="F1071" s="8"/>
      <c r="G1071" s="8"/>
      <c r="H1071" s="8"/>
      <c r="I1071" s="8"/>
      <c r="J1071" s="8"/>
      <c r="K1071" s="8"/>
      <c r="L1071" s="17"/>
      <c r="M1071" s="17"/>
      <c r="N1071" s="18"/>
      <c r="O1071" s="19"/>
      <c r="P1071" s="7"/>
      <c r="Q1071" s="7"/>
      <c r="R1071" s="7"/>
      <c r="S1071" s="17"/>
    </row>
    <row r="1072" ht="13.5" customHeight="1">
      <c r="A1072" s="8"/>
      <c r="B1072" s="8"/>
      <c r="C1072" s="8"/>
      <c r="D1072" s="8"/>
      <c r="E1072" s="14"/>
      <c r="F1072" s="8"/>
      <c r="G1072" s="8"/>
      <c r="H1072" s="8"/>
      <c r="I1072" s="8"/>
      <c r="J1072" s="8"/>
      <c r="K1072" s="8"/>
      <c r="L1072" s="17"/>
      <c r="M1072" s="17"/>
      <c r="N1072" s="18"/>
      <c r="O1072" s="19"/>
      <c r="P1072" s="7"/>
      <c r="Q1072" s="7"/>
      <c r="R1072" s="7"/>
      <c r="S1072" s="17"/>
    </row>
    <row r="1073" ht="13.5" customHeight="1">
      <c r="A1073" s="8"/>
      <c r="B1073" s="8"/>
      <c r="C1073" s="8"/>
      <c r="D1073" s="8"/>
      <c r="E1073" s="14"/>
      <c r="F1073" s="8"/>
      <c r="G1073" s="8"/>
      <c r="H1073" s="8"/>
      <c r="I1073" s="8"/>
      <c r="J1073" s="8"/>
      <c r="K1073" s="8"/>
      <c r="L1073" s="17"/>
      <c r="M1073" s="17"/>
      <c r="N1073" s="18"/>
      <c r="O1073" s="19"/>
      <c r="P1073" s="7"/>
      <c r="Q1073" s="7"/>
      <c r="R1073" s="7"/>
      <c r="S1073" s="17"/>
    </row>
    <row r="1074" ht="13.5" customHeight="1">
      <c r="A1074" s="8"/>
      <c r="B1074" s="8"/>
      <c r="C1074" s="8"/>
      <c r="D1074" s="8"/>
      <c r="E1074" s="14"/>
      <c r="F1074" s="8"/>
      <c r="G1074" s="8"/>
      <c r="H1074" s="8"/>
      <c r="I1074" s="8"/>
      <c r="J1074" s="8"/>
      <c r="K1074" s="8"/>
      <c r="L1074" s="17"/>
      <c r="M1074" s="17"/>
      <c r="N1074" s="18"/>
      <c r="O1074" s="19"/>
      <c r="P1074" s="7"/>
      <c r="Q1074" s="7"/>
      <c r="R1074" s="7"/>
      <c r="S1074" s="17"/>
    </row>
    <row r="1075" ht="13.5" customHeight="1">
      <c r="A1075" s="8"/>
      <c r="B1075" s="8"/>
      <c r="C1075" s="8"/>
      <c r="D1075" s="8"/>
      <c r="E1075" s="14"/>
      <c r="F1075" s="8"/>
      <c r="G1075" s="8"/>
      <c r="H1075" s="8"/>
      <c r="I1075" s="8"/>
      <c r="J1075" s="8"/>
      <c r="K1075" s="8"/>
      <c r="L1075" s="17"/>
      <c r="M1075" s="17"/>
      <c r="N1075" s="18"/>
      <c r="O1075" s="19"/>
      <c r="P1075" s="7"/>
      <c r="Q1075" s="7"/>
      <c r="R1075" s="7"/>
      <c r="S1075" s="17"/>
    </row>
    <row r="1076" ht="13.5" customHeight="1">
      <c r="A1076" s="8"/>
      <c r="B1076" s="8"/>
      <c r="C1076" s="8"/>
      <c r="D1076" s="8"/>
      <c r="E1076" s="14"/>
      <c r="F1076" s="8"/>
      <c r="G1076" s="8"/>
      <c r="H1076" s="8"/>
      <c r="I1076" s="8"/>
      <c r="J1076" s="8"/>
      <c r="K1076" s="8"/>
      <c r="L1076" s="17"/>
      <c r="M1076" s="17"/>
      <c r="N1076" s="18"/>
      <c r="O1076" s="19"/>
      <c r="P1076" s="7"/>
      <c r="Q1076" s="7"/>
      <c r="R1076" s="7"/>
      <c r="S1076" s="17"/>
    </row>
    <row r="1077" ht="13.5" customHeight="1">
      <c r="A1077" s="8"/>
      <c r="B1077" s="8"/>
      <c r="C1077" s="8"/>
      <c r="D1077" s="8"/>
      <c r="E1077" s="14"/>
      <c r="F1077" s="8"/>
      <c r="G1077" s="8"/>
      <c r="H1077" s="8"/>
      <c r="I1077" s="8"/>
      <c r="J1077" s="8"/>
      <c r="K1077" s="8"/>
      <c r="L1077" s="17"/>
      <c r="M1077" s="17"/>
      <c r="N1077" s="18"/>
      <c r="O1077" s="19"/>
      <c r="P1077" s="7"/>
      <c r="Q1077" s="7"/>
      <c r="R1077" s="7"/>
      <c r="S1077" s="17"/>
    </row>
    <row r="1078" ht="13.5" customHeight="1">
      <c r="A1078" s="8"/>
      <c r="B1078" s="8"/>
      <c r="C1078" s="8"/>
      <c r="D1078" s="8"/>
      <c r="E1078" s="14"/>
      <c r="F1078" s="8"/>
      <c r="G1078" s="8"/>
      <c r="H1078" s="8"/>
      <c r="I1078" s="8"/>
      <c r="J1078" s="8"/>
      <c r="K1078" s="8"/>
      <c r="L1078" s="17"/>
      <c r="M1078" s="17"/>
      <c r="N1078" s="18"/>
      <c r="O1078" s="19"/>
      <c r="P1078" s="7"/>
      <c r="Q1078" s="7"/>
      <c r="R1078" s="7"/>
      <c r="S1078" s="17"/>
    </row>
    <row r="1079" ht="13.5" customHeight="1">
      <c r="A1079" s="8"/>
      <c r="B1079" s="8"/>
      <c r="C1079" s="8"/>
      <c r="D1079" s="8"/>
      <c r="E1079" s="14"/>
      <c r="F1079" s="8"/>
      <c r="G1079" s="8"/>
      <c r="H1079" s="8"/>
      <c r="I1079" s="8"/>
      <c r="J1079" s="8"/>
      <c r="K1079" s="8"/>
      <c r="L1079" s="17"/>
      <c r="M1079" s="17"/>
      <c r="N1079" s="18"/>
      <c r="O1079" s="19"/>
      <c r="P1079" s="7"/>
      <c r="Q1079" s="7"/>
      <c r="R1079" s="7"/>
      <c r="S1079" s="17"/>
    </row>
    <row r="1080" ht="13.5" customHeight="1">
      <c r="A1080" s="8"/>
      <c r="B1080" s="8"/>
      <c r="C1080" s="8"/>
      <c r="D1080" s="8"/>
      <c r="E1080" s="14"/>
      <c r="F1080" s="8"/>
      <c r="G1080" s="8"/>
      <c r="H1080" s="8"/>
      <c r="I1080" s="8"/>
      <c r="J1080" s="8"/>
      <c r="K1080" s="8"/>
      <c r="L1080" s="17"/>
      <c r="M1080" s="17"/>
      <c r="N1080" s="18"/>
      <c r="O1080" s="19"/>
      <c r="P1080" s="7"/>
      <c r="Q1080" s="7"/>
      <c r="R1080" s="7"/>
      <c r="S1080" s="17"/>
    </row>
    <row r="1081" ht="13.5" customHeight="1">
      <c r="A1081" s="8"/>
      <c r="B1081" s="8"/>
      <c r="C1081" s="8"/>
      <c r="D1081" s="8"/>
      <c r="E1081" s="14"/>
      <c r="F1081" s="8"/>
      <c r="G1081" s="8"/>
      <c r="H1081" s="8"/>
      <c r="I1081" s="8"/>
      <c r="J1081" s="8"/>
      <c r="K1081" s="8"/>
      <c r="L1081" s="17"/>
      <c r="M1081" s="17"/>
      <c r="N1081" s="18"/>
      <c r="O1081" s="19"/>
      <c r="P1081" s="7"/>
      <c r="Q1081" s="7"/>
      <c r="R1081" s="7"/>
      <c r="S1081" s="17"/>
    </row>
    <row r="1082" ht="13.5" customHeight="1">
      <c r="A1082" s="8"/>
      <c r="B1082" s="8"/>
      <c r="C1082" s="8"/>
      <c r="D1082" s="8"/>
      <c r="E1082" s="14"/>
      <c r="F1082" s="8"/>
      <c r="G1082" s="8"/>
      <c r="H1082" s="8"/>
      <c r="I1082" s="8"/>
      <c r="J1082" s="8"/>
      <c r="K1082" s="8"/>
      <c r="L1082" s="17"/>
      <c r="M1082" s="17"/>
      <c r="N1082" s="18"/>
      <c r="O1082" s="19"/>
      <c r="P1082" s="7"/>
      <c r="Q1082" s="7"/>
      <c r="R1082" s="7"/>
      <c r="S1082" s="17"/>
    </row>
    <row r="1083" ht="13.5" customHeight="1">
      <c r="A1083" s="8"/>
      <c r="B1083" s="8"/>
      <c r="C1083" s="8"/>
      <c r="D1083" s="8"/>
      <c r="E1083" s="14"/>
      <c r="F1083" s="8"/>
      <c r="G1083" s="8"/>
      <c r="H1083" s="8"/>
      <c r="I1083" s="8"/>
      <c r="J1083" s="8"/>
      <c r="K1083" s="8"/>
      <c r="L1083" s="17"/>
      <c r="M1083" s="17"/>
      <c r="N1083" s="18"/>
      <c r="O1083" s="19"/>
      <c r="P1083" s="7"/>
      <c r="Q1083" s="7"/>
      <c r="R1083" s="7"/>
      <c r="S1083" s="17"/>
    </row>
    <row r="1084" ht="13.5" customHeight="1">
      <c r="A1084" s="8"/>
      <c r="B1084" s="8"/>
      <c r="C1084" s="8"/>
      <c r="D1084" s="8"/>
      <c r="E1084" s="14"/>
      <c r="F1084" s="8"/>
      <c r="G1084" s="8"/>
      <c r="H1084" s="8"/>
      <c r="I1084" s="8"/>
      <c r="J1084" s="8"/>
      <c r="K1084" s="8"/>
      <c r="L1084" s="17"/>
      <c r="M1084" s="17"/>
      <c r="N1084" s="18"/>
      <c r="O1084" s="19"/>
      <c r="P1084" s="7"/>
      <c r="Q1084" s="7"/>
      <c r="R1084" s="7"/>
      <c r="S1084" s="17"/>
    </row>
    <row r="1085" ht="13.5" customHeight="1">
      <c r="A1085" s="8"/>
      <c r="B1085" s="8"/>
      <c r="C1085" s="8"/>
      <c r="D1085" s="8"/>
      <c r="E1085" s="14"/>
      <c r="F1085" s="8"/>
      <c r="G1085" s="8"/>
      <c r="H1085" s="8"/>
      <c r="I1085" s="8"/>
      <c r="J1085" s="8"/>
      <c r="K1085" s="8"/>
      <c r="L1085" s="17"/>
      <c r="M1085" s="17"/>
      <c r="N1085" s="18"/>
      <c r="O1085" s="19"/>
      <c r="P1085" s="7"/>
      <c r="Q1085" s="7"/>
      <c r="R1085" s="7"/>
      <c r="S1085" s="17"/>
    </row>
    <row r="1086" ht="13.5" customHeight="1">
      <c r="A1086" s="8"/>
      <c r="B1086" s="8"/>
      <c r="C1086" s="8"/>
      <c r="D1086" s="8"/>
      <c r="E1086" s="14"/>
      <c r="F1086" s="8"/>
      <c r="G1086" s="8"/>
      <c r="H1086" s="8"/>
      <c r="I1086" s="8"/>
      <c r="J1086" s="8"/>
      <c r="K1086" s="8"/>
      <c r="L1086" s="17"/>
      <c r="M1086" s="17"/>
      <c r="N1086" s="18"/>
      <c r="O1086" s="19"/>
      <c r="P1086" s="7"/>
      <c r="Q1086" s="7"/>
      <c r="R1086" s="7"/>
      <c r="S1086" s="17"/>
    </row>
    <row r="1087" ht="13.5" customHeight="1">
      <c r="A1087" s="8"/>
      <c r="B1087" s="8"/>
      <c r="C1087" s="8"/>
      <c r="D1087" s="8"/>
      <c r="E1087" s="14"/>
      <c r="F1087" s="8"/>
      <c r="G1087" s="8"/>
      <c r="H1087" s="8"/>
      <c r="I1087" s="8"/>
      <c r="J1087" s="8"/>
      <c r="K1087" s="8"/>
      <c r="L1087" s="17"/>
      <c r="M1087" s="17"/>
      <c r="N1087" s="18"/>
      <c r="O1087" s="19"/>
      <c r="P1087" s="7"/>
      <c r="Q1087" s="7"/>
      <c r="R1087" s="7"/>
      <c r="S1087" s="17"/>
    </row>
    <row r="1088" ht="13.5" customHeight="1">
      <c r="A1088" s="8"/>
      <c r="B1088" s="8"/>
      <c r="C1088" s="8"/>
      <c r="D1088" s="8"/>
      <c r="E1088" s="14"/>
      <c r="F1088" s="8"/>
      <c r="G1088" s="8"/>
      <c r="H1088" s="8"/>
      <c r="I1088" s="8"/>
      <c r="J1088" s="8"/>
      <c r="K1088" s="8"/>
      <c r="L1088" s="17"/>
      <c r="M1088" s="17"/>
      <c r="N1088" s="18"/>
      <c r="O1088" s="19"/>
      <c r="P1088" s="7"/>
      <c r="Q1088" s="7"/>
      <c r="R1088" s="7"/>
      <c r="S1088" s="17"/>
    </row>
    <row r="1089" ht="13.5" customHeight="1">
      <c r="A1089" s="8"/>
      <c r="B1089" s="8"/>
      <c r="C1089" s="8"/>
      <c r="D1089" s="8"/>
      <c r="E1089" s="14"/>
      <c r="F1089" s="8"/>
      <c r="G1089" s="8"/>
      <c r="H1089" s="8"/>
      <c r="I1089" s="8"/>
      <c r="J1089" s="8"/>
      <c r="K1089" s="8"/>
      <c r="L1089" s="17"/>
      <c r="M1089" s="17"/>
      <c r="N1089" s="18"/>
      <c r="O1089" s="19"/>
      <c r="P1089" s="7"/>
      <c r="Q1089" s="7"/>
      <c r="R1089" s="7"/>
      <c r="S1089" s="17"/>
    </row>
    <row r="1090" ht="13.5" customHeight="1">
      <c r="A1090" s="8"/>
      <c r="B1090" s="8"/>
      <c r="C1090" s="8"/>
      <c r="D1090" s="8"/>
      <c r="E1090" s="14"/>
      <c r="F1090" s="8"/>
      <c r="G1090" s="8"/>
      <c r="H1090" s="8"/>
      <c r="I1090" s="8"/>
      <c r="J1090" s="8"/>
      <c r="K1090" s="8"/>
      <c r="L1090" s="17"/>
      <c r="M1090" s="17"/>
      <c r="N1090" s="18"/>
      <c r="O1090" s="19"/>
      <c r="P1090" s="7"/>
      <c r="Q1090" s="7"/>
      <c r="R1090" s="7"/>
      <c r="S1090" s="17"/>
    </row>
    <row r="1091" ht="13.5" customHeight="1">
      <c r="A1091" s="8"/>
      <c r="B1091" s="8"/>
      <c r="C1091" s="8"/>
      <c r="D1091" s="8"/>
      <c r="E1091" s="14"/>
      <c r="F1091" s="8"/>
      <c r="G1091" s="8"/>
      <c r="H1091" s="8"/>
      <c r="I1091" s="8"/>
      <c r="J1091" s="8"/>
      <c r="K1091" s="8"/>
      <c r="L1091" s="17"/>
      <c r="M1091" s="17"/>
      <c r="N1091" s="18"/>
      <c r="O1091" s="19"/>
      <c r="P1091" s="7"/>
      <c r="Q1091" s="7"/>
      <c r="R1091" s="7"/>
      <c r="S1091" s="17"/>
    </row>
    <row r="1092" ht="13.5" customHeight="1">
      <c r="A1092" s="8"/>
      <c r="B1092" s="8"/>
      <c r="C1092" s="8"/>
      <c r="D1092" s="8"/>
      <c r="E1092" s="14"/>
      <c r="F1092" s="8"/>
      <c r="G1092" s="8"/>
      <c r="H1092" s="8"/>
      <c r="I1092" s="8"/>
      <c r="J1092" s="8"/>
      <c r="K1092" s="8"/>
      <c r="L1092" s="17"/>
      <c r="M1092" s="17"/>
      <c r="N1092" s="18"/>
      <c r="O1092" s="19"/>
      <c r="P1092" s="7"/>
      <c r="Q1092" s="7"/>
      <c r="R1092" s="7"/>
      <c r="S1092" s="17"/>
    </row>
    <row r="1093" ht="13.5" customHeight="1">
      <c r="A1093" s="8"/>
      <c r="B1093" s="8"/>
      <c r="C1093" s="8"/>
      <c r="D1093" s="8"/>
      <c r="E1093" s="14"/>
      <c r="F1093" s="8"/>
      <c r="G1093" s="8"/>
      <c r="H1093" s="8"/>
      <c r="I1093" s="8"/>
      <c r="J1093" s="8"/>
      <c r="K1093" s="8"/>
      <c r="L1093" s="17"/>
      <c r="M1093" s="17"/>
      <c r="N1093" s="18"/>
      <c r="O1093" s="19"/>
      <c r="P1093" s="8"/>
      <c r="Q1093" s="7"/>
      <c r="R1093" s="7"/>
      <c r="S1093" s="17"/>
    </row>
    <row r="1094" ht="13.5" customHeight="1">
      <c r="A1094" s="8"/>
      <c r="B1094" s="8"/>
      <c r="C1094" s="8"/>
      <c r="D1094" s="8"/>
      <c r="E1094" s="14"/>
      <c r="F1094" s="8"/>
      <c r="G1094" s="8"/>
      <c r="H1094" s="8"/>
      <c r="I1094" s="8"/>
      <c r="J1094" s="8"/>
      <c r="K1094" s="8"/>
      <c r="L1094" s="17"/>
      <c r="M1094" s="17"/>
      <c r="N1094" s="18"/>
      <c r="O1094" s="19"/>
      <c r="P1094" s="7"/>
      <c r="Q1094" s="7"/>
      <c r="R1094" s="7"/>
      <c r="S1094" s="17"/>
    </row>
    <row r="1095" ht="13.5" customHeight="1">
      <c r="A1095" s="8"/>
      <c r="B1095" s="8"/>
      <c r="C1095" s="8"/>
      <c r="D1095" s="8"/>
      <c r="E1095" s="14"/>
      <c r="F1095" s="8"/>
      <c r="G1095" s="8"/>
      <c r="H1095" s="8"/>
      <c r="I1095" s="8"/>
      <c r="J1095" s="8"/>
      <c r="K1095" s="8"/>
      <c r="L1095" s="17"/>
      <c r="M1095" s="17"/>
      <c r="N1095" s="18"/>
      <c r="O1095" s="19"/>
      <c r="P1095" s="7"/>
      <c r="Q1095" s="7"/>
      <c r="R1095" s="7"/>
      <c r="S1095" s="17"/>
    </row>
    <row r="1096" ht="13.5" customHeight="1">
      <c r="A1096" s="8"/>
      <c r="B1096" s="8"/>
      <c r="C1096" s="8"/>
      <c r="D1096" s="8"/>
      <c r="E1096" s="14"/>
      <c r="F1096" s="8"/>
      <c r="G1096" s="8"/>
      <c r="H1096" s="8"/>
      <c r="I1096" s="8"/>
      <c r="J1096" s="8"/>
      <c r="K1096" s="8"/>
      <c r="L1096" s="17"/>
      <c r="M1096" s="17"/>
      <c r="N1096" s="18"/>
      <c r="O1096" s="19"/>
      <c r="P1096" s="7"/>
      <c r="Q1096" s="7"/>
      <c r="R1096" s="7"/>
      <c r="S1096" s="17"/>
    </row>
    <row r="1097" ht="13.5" customHeight="1">
      <c r="A1097" s="8"/>
      <c r="B1097" s="8"/>
      <c r="C1097" s="8"/>
      <c r="D1097" s="8"/>
      <c r="E1097" s="14"/>
      <c r="F1097" s="8"/>
      <c r="G1097" s="8"/>
      <c r="H1097" s="8"/>
      <c r="I1097" s="8"/>
      <c r="J1097" s="8"/>
      <c r="K1097" s="8"/>
      <c r="L1097" s="17"/>
      <c r="M1097" s="17"/>
      <c r="N1097" s="18"/>
      <c r="O1097" s="19"/>
      <c r="P1097" s="7"/>
      <c r="Q1097" s="7"/>
      <c r="R1097" s="7"/>
      <c r="S1097" s="17"/>
    </row>
    <row r="1098" ht="13.5" customHeight="1">
      <c r="A1098" s="8"/>
      <c r="B1098" s="8"/>
      <c r="C1098" s="8"/>
      <c r="D1098" s="8"/>
      <c r="E1098" s="14"/>
      <c r="F1098" s="8"/>
      <c r="G1098" s="8"/>
      <c r="H1098" s="8"/>
      <c r="I1098" s="8"/>
      <c r="J1098" s="8"/>
      <c r="K1098" s="8"/>
      <c r="L1098" s="17"/>
      <c r="M1098" s="17"/>
      <c r="N1098" s="18"/>
      <c r="O1098" s="19"/>
      <c r="P1098" s="7"/>
      <c r="Q1098" s="7"/>
      <c r="R1098" s="7"/>
      <c r="S1098" s="17"/>
    </row>
    <row r="1099" ht="13.5" customHeight="1">
      <c r="A1099" s="8"/>
      <c r="B1099" s="8"/>
      <c r="C1099" s="8"/>
      <c r="D1099" s="8"/>
      <c r="E1099" s="14"/>
      <c r="F1099" s="8"/>
      <c r="G1099" s="8"/>
      <c r="H1099" s="8"/>
      <c r="I1099" s="8"/>
      <c r="J1099" s="8"/>
      <c r="K1099" s="8"/>
      <c r="L1099" s="17"/>
      <c r="M1099" s="17"/>
      <c r="N1099" s="18"/>
      <c r="O1099" s="19"/>
      <c r="P1099" s="7"/>
      <c r="Q1099" s="7"/>
      <c r="R1099" s="7"/>
      <c r="S1099" s="17"/>
    </row>
    <row r="1100" ht="13.5" customHeight="1">
      <c r="A1100" s="8"/>
      <c r="B1100" s="8"/>
      <c r="C1100" s="8"/>
      <c r="D1100" s="8"/>
      <c r="E1100" s="14"/>
      <c r="F1100" s="8"/>
      <c r="G1100" s="8"/>
      <c r="H1100" s="8"/>
      <c r="I1100" s="8"/>
      <c r="J1100" s="8"/>
      <c r="K1100" s="8"/>
      <c r="L1100" s="17"/>
      <c r="M1100" s="17"/>
      <c r="N1100" s="18"/>
      <c r="O1100" s="19"/>
      <c r="P1100" s="7"/>
      <c r="Q1100" s="7"/>
      <c r="R1100" s="7"/>
      <c r="S1100" s="17"/>
    </row>
    <row r="1101" ht="13.5" customHeight="1">
      <c r="A1101" s="8"/>
      <c r="B1101" s="8"/>
      <c r="C1101" s="8"/>
      <c r="D1101" s="8"/>
      <c r="E1101" s="14"/>
      <c r="F1101" s="8"/>
      <c r="G1101" s="8"/>
      <c r="H1101" s="8"/>
      <c r="I1101" s="8"/>
      <c r="J1101" s="8"/>
      <c r="K1101" s="8"/>
      <c r="L1101" s="17"/>
      <c r="M1101" s="17"/>
      <c r="N1101" s="18"/>
      <c r="O1101" s="19"/>
      <c r="P1101" s="7"/>
      <c r="Q1101" s="7"/>
      <c r="R1101" s="7"/>
      <c r="S1101" s="17"/>
    </row>
    <row r="1102" ht="13.5" customHeight="1">
      <c r="A1102" s="8"/>
      <c r="B1102" s="8"/>
      <c r="C1102" s="8"/>
      <c r="D1102" s="8"/>
      <c r="E1102" s="14"/>
      <c r="F1102" s="8"/>
      <c r="G1102" s="8"/>
      <c r="H1102" s="8"/>
      <c r="I1102" s="8"/>
      <c r="J1102" s="8"/>
      <c r="K1102" s="8"/>
      <c r="L1102" s="17"/>
      <c r="M1102" s="17"/>
      <c r="N1102" s="18"/>
      <c r="O1102" s="19"/>
      <c r="P1102" s="7"/>
      <c r="Q1102" s="7"/>
      <c r="R1102" s="7"/>
      <c r="S1102" s="17"/>
    </row>
    <row r="1103" ht="13.5" customHeight="1">
      <c r="A1103" s="8"/>
      <c r="B1103" s="8"/>
      <c r="C1103" s="8"/>
      <c r="D1103" s="8"/>
      <c r="E1103" s="14"/>
      <c r="F1103" s="8"/>
      <c r="G1103" s="8"/>
      <c r="H1103" s="8"/>
      <c r="I1103" s="8"/>
      <c r="J1103" s="8"/>
      <c r="K1103" s="8"/>
      <c r="L1103" s="17"/>
      <c r="M1103" s="17"/>
      <c r="N1103" s="18"/>
      <c r="O1103" s="19"/>
      <c r="P1103" s="7"/>
      <c r="Q1103" s="7"/>
      <c r="R1103" s="7"/>
      <c r="S1103" s="17"/>
    </row>
    <row r="1104" ht="13.5" customHeight="1">
      <c r="A1104" s="8"/>
      <c r="B1104" s="8"/>
      <c r="C1104" s="8"/>
      <c r="D1104" s="8"/>
      <c r="E1104" s="14"/>
      <c r="F1104" s="8"/>
      <c r="G1104" s="8"/>
      <c r="H1104" s="8"/>
      <c r="I1104" s="8"/>
      <c r="J1104" s="8"/>
      <c r="K1104" s="8"/>
      <c r="L1104" s="17"/>
      <c r="M1104" s="17"/>
      <c r="N1104" s="18"/>
      <c r="O1104" s="19"/>
      <c r="P1104" s="7"/>
      <c r="Q1104" s="7"/>
      <c r="R1104" s="7"/>
      <c r="S1104" s="17"/>
    </row>
    <row r="1105" ht="13.5" customHeight="1">
      <c r="A1105" s="8"/>
      <c r="B1105" s="8"/>
      <c r="C1105" s="8"/>
      <c r="D1105" s="8"/>
      <c r="E1105" s="14"/>
      <c r="F1105" s="8"/>
      <c r="G1105" s="8"/>
      <c r="H1105" s="8"/>
      <c r="I1105" s="8"/>
      <c r="J1105" s="8"/>
      <c r="K1105" s="8"/>
      <c r="L1105" s="17"/>
      <c r="M1105" s="17"/>
      <c r="N1105" s="18"/>
      <c r="O1105" s="19"/>
      <c r="P1105" s="7"/>
      <c r="Q1105" s="7"/>
      <c r="R1105" s="7"/>
      <c r="S1105" s="17"/>
    </row>
    <row r="1106" ht="13.5" customHeight="1">
      <c r="A1106" s="8"/>
      <c r="B1106" s="8"/>
      <c r="C1106" s="8"/>
      <c r="D1106" s="8"/>
      <c r="E1106" s="14"/>
      <c r="F1106" s="8"/>
      <c r="G1106" s="8"/>
      <c r="H1106" s="8"/>
      <c r="I1106" s="8"/>
      <c r="J1106" s="8"/>
      <c r="K1106" s="8"/>
      <c r="L1106" s="17"/>
      <c r="M1106" s="17"/>
      <c r="N1106" s="18"/>
      <c r="O1106" s="19"/>
      <c r="P1106" s="7"/>
      <c r="Q1106" s="7"/>
      <c r="R1106" s="7"/>
      <c r="S1106" s="17"/>
    </row>
    <row r="1107" ht="13.5" customHeight="1">
      <c r="A1107" s="8"/>
      <c r="B1107" s="8"/>
      <c r="C1107" s="8"/>
      <c r="D1107" s="8"/>
      <c r="E1107" s="14"/>
      <c r="F1107" s="8"/>
      <c r="G1107" s="8"/>
      <c r="H1107" s="8"/>
      <c r="I1107" s="8"/>
      <c r="J1107" s="8"/>
      <c r="K1107" s="8"/>
      <c r="L1107" s="17"/>
      <c r="M1107" s="17"/>
      <c r="N1107" s="18"/>
      <c r="O1107" s="19"/>
      <c r="P1107" s="7"/>
      <c r="Q1107" s="7"/>
      <c r="R1107" s="7"/>
      <c r="S1107" s="17"/>
    </row>
    <row r="1108" ht="13.5" customHeight="1">
      <c r="A1108" s="8"/>
      <c r="B1108" s="8"/>
      <c r="C1108" s="8"/>
      <c r="D1108" s="8"/>
      <c r="E1108" s="14"/>
      <c r="F1108" s="8"/>
      <c r="G1108" s="8"/>
      <c r="H1108" s="8"/>
      <c r="I1108" s="8"/>
      <c r="J1108" s="8"/>
      <c r="K1108" s="8"/>
      <c r="L1108" s="17"/>
      <c r="M1108" s="17"/>
      <c r="N1108" s="18"/>
      <c r="O1108" s="19"/>
      <c r="P1108" s="7"/>
      <c r="Q1108" s="7"/>
      <c r="R1108" s="7"/>
      <c r="S1108" s="17"/>
    </row>
    <row r="1109" ht="13.5" customHeight="1">
      <c r="A1109" s="8"/>
      <c r="B1109" s="8"/>
      <c r="C1109" s="8"/>
      <c r="D1109" s="8"/>
      <c r="E1109" s="14"/>
      <c r="F1109" s="8"/>
      <c r="G1109" s="8"/>
      <c r="H1109" s="8"/>
      <c r="I1109" s="8"/>
      <c r="J1109" s="8"/>
      <c r="K1109" s="8"/>
      <c r="L1109" s="17"/>
      <c r="M1109" s="17"/>
      <c r="N1109" s="18"/>
      <c r="O1109" s="19"/>
      <c r="P1109" s="7"/>
      <c r="Q1109" s="7"/>
      <c r="R1109" s="7"/>
      <c r="S1109" s="17"/>
    </row>
    <row r="1110" ht="13.5" customHeight="1">
      <c r="A1110" s="8"/>
      <c r="B1110" s="8"/>
      <c r="C1110" s="8"/>
      <c r="D1110" s="8"/>
      <c r="E1110" s="14"/>
      <c r="F1110" s="8"/>
      <c r="G1110" s="8"/>
      <c r="H1110" s="8"/>
      <c r="I1110" s="8"/>
      <c r="J1110" s="8"/>
      <c r="K1110" s="8"/>
      <c r="L1110" s="17"/>
      <c r="M1110" s="17"/>
      <c r="N1110" s="18"/>
      <c r="O1110" s="19"/>
      <c r="P1110" s="7"/>
      <c r="Q1110" s="7"/>
      <c r="R1110" s="7"/>
      <c r="S1110" s="17"/>
    </row>
    <row r="1111" ht="13.5" customHeight="1">
      <c r="A1111" s="8"/>
      <c r="B1111" s="8"/>
      <c r="C1111" s="8"/>
      <c r="D1111" s="8"/>
      <c r="E1111" s="14"/>
      <c r="F1111" s="8"/>
      <c r="G1111" s="8"/>
      <c r="H1111" s="8"/>
      <c r="I1111" s="8"/>
      <c r="J1111" s="8"/>
      <c r="K1111" s="8"/>
      <c r="L1111" s="17"/>
      <c r="M1111" s="17"/>
      <c r="N1111" s="18"/>
      <c r="O1111" s="19"/>
      <c r="P1111" s="7"/>
      <c r="Q1111" s="7"/>
      <c r="R1111" s="7"/>
      <c r="S1111" s="17"/>
    </row>
    <row r="1112" ht="13.5" customHeight="1">
      <c r="A1112" s="8"/>
      <c r="B1112" s="8"/>
      <c r="C1112" s="8"/>
      <c r="D1112" s="8"/>
      <c r="E1112" s="14"/>
      <c r="F1112" s="8"/>
      <c r="G1112" s="8"/>
      <c r="H1112" s="8"/>
      <c r="I1112" s="8"/>
      <c r="J1112" s="8"/>
      <c r="K1112" s="8"/>
      <c r="L1112" s="17"/>
      <c r="M1112" s="17"/>
      <c r="N1112" s="18"/>
      <c r="O1112" s="19"/>
      <c r="P1112" s="7"/>
      <c r="Q1112" s="7"/>
      <c r="R1112" s="7"/>
      <c r="S1112" s="17"/>
    </row>
    <row r="1113" ht="13.5" customHeight="1">
      <c r="A1113" s="8"/>
      <c r="B1113" s="8"/>
      <c r="C1113" s="8"/>
      <c r="D1113" s="8"/>
      <c r="E1113" s="14"/>
      <c r="F1113" s="8"/>
      <c r="G1113" s="8"/>
      <c r="H1113" s="8"/>
      <c r="I1113" s="8"/>
      <c r="J1113" s="8"/>
      <c r="K1113" s="8"/>
      <c r="L1113" s="17"/>
      <c r="M1113" s="17"/>
      <c r="N1113" s="18"/>
      <c r="O1113" s="19"/>
      <c r="P1113" s="7"/>
      <c r="Q1113" s="7"/>
      <c r="R1113" s="7"/>
      <c r="S1113" s="17"/>
    </row>
    <row r="1114" ht="13.5" customHeight="1">
      <c r="A1114" s="8"/>
      <c r="B1114" s="8"/>
      <c r="C1114" s="8"/>
      <c r="D1114" s="8"/>
      <c r="E1114" s="14"/>
      <c r="F1114" s="8"/>
      <c r="G1114" s="8"/>
      <c r="H1114" s="8"/>
      <c r="I1114" s="8"/>
      <c r="J1114" s="8"/>
      <c r="K1114" s="8"/>
      <c r="L1114" s="17"/>
      <c r="M1114" s="17"/>
      <c r="N1114" s="18"/>
      <c r="O1114" s="19"/>
      <c r="P1114" s="7"/>
      <c r="Q1114" s="7"/>
      <c r="R1114" s="7"/>
      <c r="S1114" s="17"/>
    </row>
    <row r="1115" ht="13.5" customHeight="1">
      <c r="A1115" s="8"/>
      <c r="B1115" s="8"/>
      <c r="C1115" s="8"/>
      <c r="D1115" s="8"/>
      <c r="E1115" s="14"/>
      <c r="F1115" s="8"/>
      <c r="G1115" s="8"/>
      <c r="H1115" s="8"/>
      <c r="I1115" s="8"/>
      <c r="J1115" s="8"/>
      <c r="K1115" s="8"/>
      <c r="L1115" s="17"/>
      <c r="M1115" s="17"/>
      <c r="N1115" s="18"/>
      <c r="O1115" s="19"/>
      <c r="P1115" s="7"/>
      <c r="Q1115" s="7"/>
      <c r="R1115" s="7"/>
      <c r="S1115" s="17"/>
    </row>
    <row r="1116" ht="13.5" customHeight="1">
      <c r="A1116" s="8"/>
      <c r="B1116" s="8"/>
      <c r="C1116" s="8"/>
      <c r="D1116" s="8"/>
      <c r="E1116" s="14"/>
      <c r="F1116" s="8"/>
      <c r="G1116" s="8"/>
      <c r="H1116" s="8"/>
      <c r="I1116" s="8"/>
      <c r="J1116" s="8"/>
      <c r="K1116" s="8"/>
      <c r="L1116" s="17"/>
      <c r="M1116" s="17"/>
      <c r="N1116" s="18"/>
      <c r="O1116" s="19"/>
      <c r="P1116" s="7"/>
      <c r="Q1116" s="7"/>
      <c r="R1116" s="7"/>
      <c r="S1116" s="17"/>
    </row>
    <row r="1117" ht="13.5" customHeight="1">
      <c r="A1117" s="8"/>
      <c r="B1117" s="8"/>
      <c r="C1117" s="8"/>
      <c r="D1117" s="8"/>
      <c r="E1117" s="14"/>
      <c r="F1117" s="8"/>
      <c r="G1117" s="8"/>
      <c r="H1117" s="8"/>
      <c r="I1117" s="8"/>
      <c r="J1117" s="8"/>
      <c r="K1117" s="8"/>
      <c r="L1117" s="17"/>
      <c r="M1117" s="17"/>
      <c r="N1117" s="18"/>
      <c r="O1117" s="19"/>
      <c r="P1117" s="7"/>
      <c r="Q1117" s="7"/>
      <c r="R1117" s="7"/>
      <c r="S1117" s="17"/>
    </row>
    <row r="1118" ht="13.5" customHeight="1">
      <c r="A1118" s="8"/>
      <c r="B1118" s="8"/>
      <c r="C1118" s="8"/>
      <c r="D1118" s="8"/>
      <c r="E1118" s="14"/>
      <c r="F1118" s="8"/>
      <c r="G1118" s="8"/>
      <c r="H1118" s="8"/>
      <c r="I1118" s="8"/>
      <c r="J1118" s="8"/>
      <c r="K1118" s="8"/>
      <c r="L1118" s="17"/>
      <c r="M1118" s="17"/>
      <c r="N1118" s="18"/>
      <c r="O1118" s="19"/>
      <c r="P1118" s="7"/>
      <c r="Q1118" s="7"/>
      <c r="R1118" s="7"/>
      <c r="S1118" s="17"/>
    </row>
    <row r="1119" ht="13.5" customHeight="1">
      <c r="A1119" s="8"/>
      <c r="B1119" s="8"/>
      <c r="C1119" s="8"/>
      <c r="D1119" s="8"/>
      <c r="E1119" s="14"/>
      <c r="F1119" s="8"/>
      <c r="G1119" s="8"/>
      <c r="H1119" s="8"/>
      <c r="I1119" s="8"/>
      <c r="J1119" s="8"/>
      <c r="K1119" s="8"/>
      <c r="L1119" s="17"/>
      <c r="M1119" s="17"/>
      <c r="N1119" s="18"/>
      <c r="O1119" s="19"/>
      <c r="P1119" s="7"/>
      <c r="Q1119" s="7"/>
      <c r="R1119" s="7"/>
      <c r="S1119" s="17"/>
    </row>
    <row r="1120" ht="13.5" customHeight="1">
      <c r="A1120" s="8"/>
      <c r="B1120" s="8"/>
      <c r="C1120" s="8"/>
      <c r="D1120" s="8"/>
      <c r="E1120" s="14"/>
      <c r="F1120" s="8"/>
      <c r="G1120" s="8"/>
      <c r="H1120" s="8"/>
      <c r="I1120" s="8"/>
      <c r="J1120" s="8"/>
      <c r="K1120" s="8"/>
      <c r="L1120" s="17"/>
      <c r="M1120" s="17"/>
      <c r="N1120" s="18"/>
      <c r="O1120" s="19"/>
      <c r="P1120" s="7"/>
      <c r="Q1120" s="7"/>
      <c r="R1120" s="7"/>
      <c r="S1120" s="17"/>
    </row>
    <row r="1121" ht="13.5" customHeight="1">
      <c r="A1121" s="8"/>
      <c r="B1121" s="8"/>
      <c r="C1121" s="8"/>
      <c r="D1121" s="8"/>
      <c r="E1121" s="14"/>
      <c r="F1121" s="8"/>
      <c r="G1121" s="8"/>
      <c r="H1121" s="8"/>
      <c r="I1121" s="8"/>
      <c r="J1121" s="8"/>
      <c r="K1121" s="8"/>
      <c r="L1121" s="17"/>
      <c r="M1121" s="17"/>
      <c r="N1121" s="18"/>
      <c r="O1121" s="19"/>
      <c r="P1121" s="7"/>
      <c r="Q1121" s="7"/>
      <c r="R1121" s="7"/>
      <c r="S1121" s="17"/>
    </row>
    <row r="1122" ht="13.5" customHeight="1">
      <c r="A1122" s="8"/>
      <c r="B1122" s="8"/>
      <c r="C1122" s="8"/>
      <c r="D1122" s="8"/>
      <c r="E1122" s="14"/>
      <c r="F1122" s="8"/>
      <c r="G1122" s="8"/>
      <c r="H1122" s="8"/>
      <c r="I1122" s="8"/>
      <c r="J1122" s="8"/>
      <c r="K1122" s="8"/>
      <c r="L1122" s="17"/>
      <c r="M1122" s="17"/>
      <c r="N1122" s="18"/>
      <c r="O1122" s="19"/>
      <c r="P1122" s="7"/>
      <c r="Q1122" s="7"/>
      <c r="R1122" s="7"/>
      <c r="S1122" s="17"/>
    </row>
    <row r="1123" ht="13.5" customHeight="1">
      <c r="A1123" s="8"/>
      <c r="B1123" s="8"/>
      <c r="C1123" s="8"/>
      <c r="D1123" s="8"/>
      <c r="E1123" s="14"/>
      <c r="F1123" s="8"/>
      <c r="G1123" s="8"/>
      <c r="H1123" s="8"/>
      <c r="I1123" s="8"/>
      <c r="J1123" s="8"/>
      <c r="K1123" s="8"/>
      <c r="L1123" s="17"/>
      <c r="M1123" s="17"/>
      <c r="N1123" s="18"/>
      <c r="O1123" s="19"/>
      <c r="P1123" s="7"/>
      <c r="Q1123" s="7"/>
      <c r="R1123" s="7"/>
      <c r="S1123" s="17"/>
    </row>
    <row r="1124" ht="13.5" customHeight="1">
      <c r="A1124" s="8"/>
      <c r="B1124" s="8"/>
      <c r="C1124" s="8"/>
      <c r="D1124" s="8"/>
      <c r="E1124" s="14"/>
      <c r="F1124" s="8"/>
      <c r="G1124" s="8"/>
      <c r="H1124" s="8"/>
      <c r="I1124" s="8"/>
      <c r="J1124" s="8"/>
      <c r="K1124" s="8"/>
      <c r="L1124" s="17"/>
      <c r="M1124" s="17"/>
      <c r="N1124" s="18"/>
      <c r="O1124" s="19"/>
      <c r="P1124" s="7"/>
      <c r="Q1124" s="7"/>
      <c r="R1124" s="7"/>
      <c r="S1124" s="17"/>
    </row>
    <row r="1125" ht="13.5" customHeight="1">
      <c r="A1125" s="8"/>
      <c r="B1125" s="8"/>
      <c r="C1125" s="8"/>
      <c r="D1125" s="8"/>
      <c r="E1125" s="14"/>
      <c r="F1125" s="8"/>
      <c r="G1125" s="8"/>
      <c r="H1125" s="8"/>
      <c r="I1125" s="8"/>
      <c r="J1125" s="8"/>
      <c r="K1125" s="8"/>
      <c r="L1125" s="17"/>
      <c r="M1125" s="17"/>
      <c r="N1125" s="18"/>
      <c r="O1125" s="19"/>
      <c r="P1125" s="7"/>
      <c r="Q1125" s="7"/>
      <c r="R1125" s="7"/>
      <c r="S1125" s="17"/>
    </row>
    <row r="1126" ht="13.5" customHeight="1">
      <c r="A1126" s="8"/>
      <c r="B1126" s="8"/>
      <c r="C1126" s="8"/>
      <c r="D1126" s="8"/>
      <c r="E1126" s="14"/>
      <c r="F1126" s="8"/>
      <c r="G1126" s="8"/>
      <c r="H1126" s="8"/>
      <c r="I1126" s="8"/>
      <c r="J1126" s="8"/>
      <c r="K1126" s="8"/>
      <c r="L1126" s="17"/>
      <c r="M1126" s="17"/>
      <c r="N1126" s="18"/>
      <c r="O1126" s="19"/>
      <c r="P1126" s="7"/>
      <c r="Q1126" s="7"/>
      <c r="R1126" s="7"/>
      <c r="S1126" s="17"/>
    </row>
    <row r="1127" ht="13.5" customHeight="1">
      <c r="A1127" s="8"/>
      <c r="B1127" s="8"/>
      <c r="C1127" s="8"/>
      <c r="D1127" s="8"/>
      <c r="E1127" s="14"/>
      <c r="F1127" s="8"/>
      <c r="G1127" s="8"/>
      <c r="H1127" s="8"/>
      <c r="I1127" s="8"/>
      <c r="J1127" s="8"/>
      <c r="K1127" s="8"/>
      <c r="L1127" s="17"/>
      <c r="M1127" s="17"/>
      <c r="N1127" s="18"/>
      <c r="O1127" s="19"/>
      <c r="P1127" s="7"/>
      <c r="Q1127" s="7"/>
      <c r="R1127" s="7"/>
      <c r="S1127" s="17"/>
    </row>
    <row r="1128" ht="13.5" customHeight="1">
      <c r="A1128" s="8"/>
      <c r="B1128" s="8"/>
      <c r="C1128" s="8"/>
      <c r="D1128" s="8"/>
      <c r="E1128" s="14"/>
      <c r="F1128" s="8"/>
      <c r="G1128" s="8"/>
      <c r="H1128" s="8"/>
      <c r="I1128" s="8"/>
      <c r="J1128" s="8"/>
      <c r="K1128" s="8"/>
      <c r="L1128" s="17"/>
      <c r="M1128" s="17"/>
      <c r="N1128" s="18"/>
      <c r="O1128" s="19"/>
      <c r="P1128" s="7"/>
      <c r="Q1128" s="7"/>
      <c r="R1128" s="7"/>
      <c r="S1128" s="17"/>
    </row>
    <row r="1129" ht="13.5" customHeight="1">
      <c r="A1129" s="8"/>
      <c r="B1129" s="8"/>
      <c r="C1129" s="8"/>
      <c r="D1129" s="8"/>
      <c r="E1129" s="14"/>
      <c r="F1129" s="8"/>
      <c r="G1129" s="8"/>
      <c r="H1129" s="8"/>
      <c r="I1129" s="8"/>
      <c r="J1129" s="8"/>
      <c r="K1129" s="8"/>
      <c r="L1129" s="17"/>
      <c r="M1129" s="17"/>
      <c r="N1129" s="18"/>
      <c r="O1129" s="19"/>
      <c r="P1129" s="7"/>
      <c r="Q1129" s="7"/>
      <c r="R1129" s="7"/>
      <c r="S1129" s="17"/>
    </row>
    <row r="1130" ht="13.5" customHeight="1">
      <c r="A1130" s="8"/>
      <c r="B1130" s="8"/>
      <c r="C1130" s="8"/>
      <c r="D1130" s="8"/>
      <c r="E1130" s="14"/>
      <c r="F1130" s="8"/>
      <c r="G1130" s="8"/>
      <c r="H1130" s="8"/>
      <c r="I1130" s="8"/>
      <c r="J1130" s="8"/>
      <c r="K1130" s="8"/>
      <c r="L1130" s="17"/>
      <c r="M1130" s="17"/>
      <c r="N1130" s="18"/>
      <c r="O1130" s="19"/>
      <c r="P1130" s="7"/>
      <c r="Q1130" s="7"/>
      <c r="R1130" s="7"/>
      <c r="S1130" s="17"/>
    </row>
    <row r="1131" ht="13.5" customHeight="1">
      <c r="A1131" s="8"/>
      <c r="B1131" s="8"/>
      <c r="C1131" s="8"/>
      <c r="D1131" s="8"/>
      <c r="E1131" s="14"/>
      <c r="F1131" s="8"/>
      <c r="G1131" s="8"/>
      <c r="H1131" s="8"/>
      <c r="I1131" s="8"/>
      <c r="J1131" s="8"/>
      <c r="K1131" s="8"/>
      <c r="L1131" s="17"/>
      <c r="M1131" s="17"/>
      <c r="N1131" s="18"/>
      <c r="O1131" s="19"/>
      <c r="P1131" s="7"/>
      <c r="Q1131" s="7"/>
      <c r="R1131" s="7"/>
      <c r="S1131" s="17"/>
    </row>
    <row r="1132" ht="13.5" customHeight="1">
      <c r="A1132" s="8"/>
      <c r="B1132" s="8"/>
      <c r="C1132" s="8"/>
      <c r="D1132" s="8"/>
      <c r="E1132" s="14"/>
      <c r="F1132" s="8"/>
      <c r="G1132" s="8"/>
      <c r="H1132" s="8"/>
      <c r="I1132" s="8"/>
      <c r="J1132" s="8"/>
      <c r="K1132" s="8"/>
      <c r="L1132" s="17"/>
      <c r="M1132" s="17"/>
      <c r="N1132" s="18"/>
      <c r="O1132" s="19"/>
      <c r="P1132" s="7"/>
      <c r="Q1132" s="7"/>
      <c r="R1132" s="7"/>
      <c r="S1132" s="17"/>
    </row>
    <row r="1133" ht="13.5" customHeight="1">
      <c r="A1133" s="8"/>
      <c r="B1133" s="8"/>
      <c r="C1133" s="8"/>
      <c r="D1133" s="8"/>
      <c r="E1133" s="14"/>
      <c r="F1133" s="8"/>
      <c r="G1133" s="8"/>
      <c r="H1133" s="8"/>
      <c r="I1133" s="8"/>
      <c r="J1133" s="8"/>
      <c r="K1133" s="8"/>
      <c r="L1133" s="17"/>
      <c r="M1133" s="17"/>
      <c r="N1133" s="18"/>
      <c r="O1133" s="19"/>
      <c r="P1133" s="7"/>
      <c r="Q1133" s="7"/>
      <c r="R1133" s="7"/>
      <c r="S1133" s="17"/>
    </row>
    <row r="1134" ht="13.5" customHeight="1">
      <c r="A1134" s="8"/>
      <c r="B1134" s="8"/>
      <c r="C1134" s="8"/>
      <c r="D1134" s="8"/>
      <c r="E1134" s="14"/>
      <c r="F1134" s="8"/>
      <c r="G1134" s="8"/>
      <c r="H1134" s="8"/>
      <c r="I1134" s="8"/>
      <c r="J1134" s="8"/>
      <c r="K1134" s="8"/>
      <c r="L1134" s="17"/>
      <c r="M1134" s="17"/>
      <c r="N1134" s="18"/>
      <c r="O1134" s="19"/>
      <c r="P1134" s="7"/>
      <c r="Q1134" s="7"/>
      <c r="R1134" s="7"/>
      <c r="S1134" s="17"/>
    </row>
    <row r="1135" ht="13.5" customHeight="1">
      <c r="A1135" s="8"/>
      <c r="B1135" s="8"/>
      <c r="C1135" s="8"/>
      <c r="D1135" s="8"/>
      <c r="E1135" s="14"/>
      <c r="F1135" s="8"/>
      <c r="G1135" s="8"/>
      <c r="H1135" s="8"/>
      <c r="I1135" s="8"/>
      <c r="J1135" s="8"/>
      <c r="K1135" s="8"/>
      <c r="L1135" s="17"/>
      <c r="M1135" s="17"/>
      <c r="N1135" s="18"/>
      <c r="O1135" s="19"/>
      <c r="P1135" s="7"/>
      <c r="Q1135" s="7"/>
      <c r="R1135" s="7"/>
      <c r="S1135" s="17"/>
    </row>
    <row r="1136" ht="13.5" customHeight="1">
      <c r="A1136" s="8"/>
      <c r="B1136" s="8"/>
      <c r="C1136" s="8"/>
      <c r="D1136" s="8"/>
      <c r="E1136" s="14"/>
      <c r="F1136" s="8"/>
      <c r="G1136" s="8"/>
      <c r="H1136" s="8"/>
      <c r="I1136" s="8"/>
      <c r="J1136" s="8"/>
      <c r="K1136" s="8"/>
      <c r="L1136" s="17"/>
      <c r="M1136" s="17"/>
      <c r="N1136" s="18"/>
      <c r="O1136" s="19"/>
      <c r="P1136" s="7"/>
      <c r="Q1136" s="7"/>
      <c r="R1136" s="7"/>
      <c r="S1136" s="17"/>
    </row>
    <row r="1137" ht="13.5" customHeight="1">
      <c r="A1137" s="8"/>
      <c r="B1137" s="8"/>
      <c r="C1137" s="8"/>
      <c r="D1137" s="8"/>
      <c r="E1137" s="14"/>
      <c r="F1137" s="8"/>
      <c r="G1137" s="8"/>
      <c r="H1137" s="8"/>
      <c r="I1137" s="8"/>
      <c r="J1137" s="8"/>
      <c r="K1137" s="8"/>
      <c r="L1137" s="17"/>
      <c r="M1137" s="17"/>
      <c r="N1137" s="18"/>
      <c r="O1137" s="19"/>
      <c r="P1137" s="7"/>
      <c r="Q1137" s="7"/>
      <c r="R1137" s="7"/>
      <c r="S1137" s="17"/>
    </row>
    <row r="1138" ht="13.5" customHeight="1">
      <c r="A1138" s="8"/>
      <c r="B1138" s="8"/>
      <c r="C1138" s="8"/>
      <c r="D1138" s="8"/>
      <c r="E1138" s="14"/>
      <c r="F1138" s="8"/>
      <c r="G1138" s="8"/>
      <c r="H1138" s="8"/>
      <c r="I1138" s="8"/>
      <c r="J1138" s="8"/>
      <c r="K1138" s="8"/>
      <c r="L1138" s="17"/>
      <c r="M1138" s="17"/>
      <c r="N1138" s="18"/>
      <c r="O1138" s="19"/>
      <c r="P1138" s="7"/>
      <c r="Q1138" s="7"/>
      <c r="R1138" s="7"/>
      <c r="S1138" s="17"/>
    </row>
    <row r="1139" ht="13.5" customHeight="1">
      <c r="A1139" s="8"/>
      <c r="B1139" s="8"/>
      <c r="C1139" s="8"/>
      <c r="D1139" s="8"/>
      <c r="E1139" s="14"/>
      <c r="F1139" s="8"/>
      <c r="G1139" s="8"/>
      <c r="H1139" s="8"/>
      <c r="I1139" s="8"/>
      <c r="J1139" s="8"/>
      <c r="K1139" s="8"/>
      <c r="L1139" s="17"/>
      <c r="M1139" s="17"/>
      <c r="N1139" s="18"/>
      <c r="O1139" s="19"/>
      <c r="P1139" s="7"/>
      <c r="Q1139" s="7"/>
      <c r="R1139" s="7"/>
      <c r="S1139" s="17"/>
    </row>
    <row r="1140" ht="13.5" customHeight="1">
      <c r="A1140" s="8"/>
      <c r="B1140" s="8"/>
      <c r="C1140" s="8"/>
      <c r="D1140" s="8"/>
      <c r="E1140" s="14"/>
      <c r="F1140" s="8"/>
      <c r="G1140" s="8"/>
      <c r="H1140" s="8"/>
      <c r="I1140" s="8"/>
      <c r="J1140" s="8"/>
      <c r="K1140" s="8"/>
      <c r="L1140" s="17"/>
      <c r="M1140" s="17"/>
      <c r="N1140" s="18"/>
      <c r="O1140" s="19"/>
      <c r="P1140" s="7"/>
      <c r="Q1140" s="7"/>
      <c r="R1140" s="7"/>
      <c r="S1140" s="17"/>
    </row>
    <row r="1141" ht="13.5" customHeight="1">
      <c r="A1141" s="8"/>
      <c r="B1141" s="8"/>
      <c r="C1141" s="8"/>
      <c r="D1141" s="8"/>
      <c r="E1141" s="14"/>
      <c r="F1141" s="8"/>
      <c r="G1141" s="8"/>
      <c r="H1141" s="8"/>
      <c r="I1141" s="8"/>
      <c r="J1141" s="8"/>
      <c r="K1141" s="8"/>
      <c r="L1141" s="17"/>
      <c r="M1141" s="17"/>
      <c r="N1141" s="18"/>
      <c r="O1141" s="19"/>
      <c r="P1141" s="7"/>
      <c r="Q1141" s="7"/>
      <c r="R1141" s="7"/>
      <c r="S1141" s="17"/>
    </row>
    <row r="1142" ht="13.5" customHeight="1">
      <c r="A1142" s="8"/>
      <c r="B1142" s="8"/>
      <c r="C1142" s="8"/>
      <c r="D1142" s="8"/>
      <c r="E1142" s="14"/>
      <c r="F1142" s="8"/>
      <c r="G1142" s="8"/>
      <c r="H1142" s="8"/>
      <c r="I1142" s="8"/>
      <c r="J1142" s="8"/>
      <c r="K1142" s="8"/>
      <c r="L1142" s="17"/>
      <c r="M1142" s="17"/>
      <c r="N1142" s="18"/>
      <c r="O1142" s="19"/>
      <c r="P1142" s="7"/>
      <c r="Q1142" s="7"/>
      <c r="R1142" s="7"/>
      <c r="S1142" s="17"/>
    </row>
    <row r="1143" ht="13.5" customHeight="1">
      <c r="A1143" s="8"/>
      <c r="B1143" s="8"/>
      <c r="C1143" s="8"/>
      <c r="D1143" s="8"/>
      <c r="E1143" s="14"/>
      <c r="F1143" s="8"/>
      <c r="G1143" s="8"/>
      <c r="H1143" s="8"/>
      <c r="I1143" s="8"/>
      <c r="J1143" s="8"/>
      <c r="K1143" s="8"/>
      <c r="L1143" s="17"/>
      <c r="M1143" s="17"/>
      <c r="N1143" s="18"/>
      <c r="O1143" s="19"/>
      <c r="P1143" s="7"/>
      <c r="Q1143" s="7"/>
      <c r="R1143" s="7"/>
      <c r="S1143" s="17"/>
    </row>
    <row r="1144" ht="13.5" customHeight="1">
      <c r="A1144" s="8"/>
      <c r="B1144" s="8"/>
      <c r="C1144" s="8"/>
      <c r="D1144" s="8"/>
      <c r="E1144" s="14"/>
      <c r="F1144" s="8"/>
      <c r="G1144" s="8"/>
      <c r="H1144" s="8"/>
      <c r="I1144" s="8"/>
      <c r="J1144" s="8"/>
      <c r="K1144" s="8"/>
      <c r="L1144" s="17"/>
      <c r="M1144" s="17"/>
      <c r="N1144" s="18"/>
      <c r="O1144" s="19"/>
      <c r="P1144" s="7"/>
      <c r="Q1144" s="7"/>
      <c r="R1144" s="7"/>
      <c r="S1144" s="17"/>
    </row>
    <row r="1145" ht="13.5" customHeight="1">
      <c r="A1145" s="8"/>
      <c r="B1145" s="8"/>
      <c r="C1145" s="8"/>
      <c r="D1145" s="8"/>
      <c r="E1145" s="14"/>
      <c r="F1145" s="8"/>
      <c r="G1145" s="8"/>
      <c r="H1145" s="8"/>
      <c r="I1145" s="8"/>
      <c r="J1145" s="8"/>
      <c r="K1145" s="8"/>
      <c r="L1145" s="17"/>
      <c r="M1145" s="17"/>
      <c r="N1145" s="18"/>
      <c r="O1145" s="19"/>
      <c r="P1145" s="7"/>
      <c r="Q1145" s="7"/>
      <c r="R1145" s="7"/>
      <c r="S1145" s="17"/>
    </row>
    <row r="1146" ht="13.5" customHeight="1">
      <c r="A1146" s="8"/>
      <c r="B1146" s="8"/>
      <c r="C1146" s="8"/>
      <c r="D1146" s="8"/>
      <c r="E1146" s="14"/>
      <c r="F1146" s="8"/>
      <c r="G1146" s="8"/>
      <c r="H1146" s="8"/>
      <c r="I1146" s="8"/>
      <c r="J1146" s="8"/>
      <c r="K1146" s="8"/>
      <c r="L1146" s="17"/>
      <c r="M1146" s="17"/>
      <c r="N1146" s="18"/>
      <c r="O1146" s="19"/>
      <c r="P1146" s="7"/>
      <c r="Q1146" s="7"/>
      <c r="R1146" s="7"/>
      <c r="S1146" s="17"/>
    </row>
    <row r="1147" ht="13.5" customHeight="1">
      <c r="A1147" s="8"/>
      <c r="B1147" s="8"/>
      <c r="C1147" s="8"/>
      <c r="D1147" s="8"/>
      <c r="E1147" s="14"/>
      <c r="F1147" s="8"/>
      <c r="G1147" s="8"/>
      <c r="H1147" s="8"/>
      <c r="I1147" s="8"/>
      <c r="J1147" s="8"/>
      <c r="K1147" s="8"/>
      <c r="L1147" s="17"/>
      <c r="M1147" s="17"/>
      <c r="N1147" s="18"/>
      <c r="O1147" s="19"/>
      <c r="P1147" s="7"/>
      <c r="Q1147" s="7"/>
      <c r="R1147" s="7"/>
      <c r="S1147" s="17"/>
    </row>
    <row r="1148" ht="13.5" customHeight="1">
      <c r="A1148" s="8"/>
      <c r="B1148" s="8"/>
      <c r="C1148" s="8"/>
      <c r="D1148" s="8"/>
      <c r="E1148" s="14"/>
      <c r="F1148" s="8"/>
      <c r="G1148" s="8"/>
      <c r="H1148" s="8"/>
      <c r="I1148" s="8"/>
      <c r="J1148" s="8"/>
      <c r="K1148" s="8"/>
      <c r="L1148" s="17"/>
      <c r="M1148" s="17"/>
      <c r="N1148" s="18"/>
      <c r="O1148" s="19"/>
      <c r="P1148" s="7"/>
      <c r="Q1148" s="7"/>
      <c r="R1148" s="7"/>
      <c r="S1148" s="17"/>
    </row>
    <row r="1149" ht="13.5" customHeight="1">
      <c r="A1149" s="8"/>
      <c r="B1149" s="8"/>
      <c r="C1149" s="8"/>
      <c r="D1149" s="8"/>
      <c r="E1149" s="14"/>
      <c r="F1149" s="8"/>
      <c r="G1149" s="8"/>
      <c r="H1149" s="8"/>
      <c r="I1149" s="8"/>
      <c r="J1149" s="8"/>
      <c r="K1149" s="8"/>
      <c r="L1149" s="17"/>
      <c r="M1149" s="17"/>
      <c r="N1149" s="18"/>
      <c r="O1149" s="19"/>
      <c r="P1149" s="7"/>
      <c r="Q1149" s="7"/>
      <c r="R1149" s="7"/>
      <c r="S1149" s="17"/>
    </row>
    <row r="1150" ht="13.5" customHeight="1">
      <c r="A1150" s="8"/>
      <c r="B1150" s="8"/>
      <c r="C1150" s="8"/>
      <c r="D1150" s="8"/>
      <c r="E1150" s="14"/>
      <c r="F1150" s="8"/>
      <c r="G1150" s="8"/>
      <c r="H1150" s="8"/>
      <c r="I1150" s="8"/>
      <c r="J1150" s="8"/>
      <c r="K1150" s="8"/>
      <c r="L1150" s="17"/>
      <c r="M1150" s="17"/>
      <c r="N1150" s="18"/>
      <c r="O1150" s="19"/>
      <c r="P1150" s="7"/>
      <c r="Q1150" s="7"/>
      <c r="R1150" s="7"/>
      <c r="S1150" s="17"/>
    </row>
    <row r="1151" ht="13.5" customHeight="1">
      <c r="A1151" s="8"/>
      <c r="B1151" s="8"/>
      <c r="C1151" s="8"/>
      <c r="D1151" s="8"/>
      <c r="E1151" s="14"/>
      <c r="F1151" s="8"/>
      <c r="G1151" s="8"/>
      <c r="H1151" s="8"/>
      <c r="I1151" s="8"/>
      <c r="J1151" s="8"/>
      <c r="K1151" s="8"/>
      <c r="L1151" s="17"/>
      <c r="M1151" s="17"/>
      <c r="N1151" s="18"/>
      <c r="O1151" s="19"/>
      <c r="P1151" s="7"/>
      <c r="Q1151" s="7"/>
      <c r="R1151" s="7"/>
      <c r="S1151" s="17"/>
    </row>
    <row r="1152" ht="13.5" customHeight="1">
      <c r="A1152" s="8"/>
      <c r="B1152" s="8"/>
      <c r="C1152" s="8"/>
      <c r="D1152" s="8"/>
      <c r="E1152" s="14"/>
      <c r="F1152" s="8"/>
      <c r="G1152" s="8"/>
      <c r="H1152" s="8"/>
      <c r="I1152" s="8"/>
      <c r="J1152" s="8"/>
      <c r="K1152" s="8"/>
      <c r="L1152" s="17"/>
      <c r="M1152" s="17"/>
      <c r="N1152" s="18"/>
      <c r="O1152" s="19"/>
      <c r="P1152" s="7"/>
      <c r="Q1152" s="7"/>
      <c r="R1152" s="7"/>
      <c r="S1152" s="17"/>
    </row>
    <row r="1153" ht="13.5" customHeight="1">
      <c r="A1153" s="8"/>
      <c r="B1153" s="8"/>
      <c r="C1153" s="8"/>
      <c r="D1153" s="8"/>
      <c r="E1153" s="14"/>
      <c r="F1153" s="8"/>
      <c r="G1153" s="8"/>
      <c r="H1153" s="8"/>
      <c r="I1153" s="8"/>
      <c r="J1153" s="8"/>
      <c r="K1153" s="8"/>
      <c r="L1153" s="17"/>
      <c r="M1153" s="17"/>
      <c r="N1153" s="18"/>
      <c r="O1153" s="19"/>
      <c r="P1153" s="7"/>
      <c r="Q1153" s="7"/>
      <c r="R1153" s="7"/>
      <c r="S1153" s="17"/>
    </row>
    <row r="1154" ht="13.5" customHeight="1">
      <c r="A1154" s="8"/>
      <c r="B1154" s="8"/>
      <c r="C1154" s="8"/>
      <c r="D1154" s="8"/>
      <c r="E1154" s="14"/>
      <c r="F1154" s="8"/>
      <c r="G1154" s="8"/>
      <c r="H1154" s="8"/>
      <c r="I1154" s="8"/>
      <c r="J1154" s="8"/>
      <c r="K1154" s="8"/>
      <c r="L1154" s="17"/>
      <c r="M1154" s="17"/>
      <c r="N1154" s="18"/>
      <c r="O1154" s="19"/>
      <c r="P1154" s="7"/>
      <c r="Q1154" s="7"/>
      <c r="R1154" s="7"/>
      <c r="S1154" s="17"/>
    </row>
    <row r="1155" ht="13.5" customHeight="1">
      <c r="A1155" s="8"/>
      <c r="B1155" s="8"/>
      <c r="C1155" s="8"/>
      <c r="D1155" s="8"/>
      <c r="E1155" s="14"/>
      <c r="F1155" s="8"/>
      <c r="G1155" s="8"/>
      <c r="H1155" s="8"/>
      <c r="I1155" s="8"/>
      <c r="J1155" s="8"/>
      <c r="K1155" s="8"/>
      <c r="L1155" s="17"/>
      <c r="M1155" s="17"/>
      <c r="N1155" s="18"/>
      <c r="O1155" s="19"/>
      <c r="P1155" s="7"/>
      <c r="Q1155" s="7"/>
      <c r="R1155" s="7"/>
      <c r="S1155" s="17"/>
    </row>
    <row r="1156" ht="13.5" customHeight="1">
      <c r="A1156" s="8"/>
      <c r="B1156" s="8"/>
      <c r="C1156" s="8"/>
      <c r="D1156" s="8"/>
      <c r="E1156" s="14"/>
      <c r="F1156" s="8"/>
      <c r="G1156" s="8"/>
      <c r="H1156" s="8"/>
      <c r="I1156" s="8"/>
      <c r="J1156" s="8"/>
      <c r="K1156" s="8"/>
      <c r="L1156" s="17"/>
      <c r="M1156" s="17"/>
      <c r="N1156" s="18"/>
      <c r="O1156" s="19"/>
      <c r="P1156" s="7"/>
      <c r="Q1156" s="7"/>
      <c r="R1156" s="7"/>
      <c r="S1156" s="17"/>
    </row>
    <row r="1157" ht="13.5" customHeight="1">
      <c r="A1157" s="8"/>
      <c r="B1157" s="8"/>
      <c r="C1157" s="8"/>
      <c r="D1157" s="8"/>
      <c r="E1157" s="14"/>
      <c r="F1157" s="8"/>
      <c r="G1157" s="8"/>
      <c r="H1157" s="8"/>
      <c r="I1157" s="8"/>
      <c r="J1157" s="8"/>
      <c r="K1157" s="8"/>
      <c r="L1157" s="17"/>
      <c r="M1157" s="17"/>
      <c r="N1157" s="18"/>
      <c r="O1157" s="19"/>
      <c r="P1157" s="7"/>
      <c r="Q1157" s="7"/>
      <c r="R1157" s="7"/>
      <c r="S1157" s="17"/>
    </row>
    <row r="1158" ht="13.5" customHeight="1">
      <c r="A1158" s="8"/>
      <c r="B1158" s="8"/>
      <c r="C1158" s="8"/>
      <c r="D1158" s="8"/>
      <c r="E1158" s="14"/>
      <c r="F1158" s="8"/>
      <c r="G1158" s="8"/>
      <c r="H1158" s="8"/>
      <c r="I1158" s="8"/>
      <c r="J1158" s="8"/>
      <c r="K1158" s="8"/>
      <c r="L1158" s="17"/>
      <c r="M1158" s="17"/>
      <c r="N1158" s="18"/>
      <c r="O1158" s="19"/>
      <c r="P1158" s="7"/>
      <c r="Q1158" s="7"/>
      <c r="R1158" s="7"/>
      <c r="S1158" s="17"/>
    </row>
    <row r="1159" ht="13.5" customHeight="1">
      <c r="A1159" s="8"/>
      <c r="B1159" s="8"/>
      <c r="C1159" s="8"/>
      <c r="D1159" s="8"/>
      <c r="E1159" s="14"/>
      <c r="F1159" s="8"/>
      <c r="G1159" s="8"/>
      <c r="H1159" s="8"/>
      <c r="I1159" s="8"/>
      <c r="J1159" s="8"/>
      <c r="K1159" s="8"/>
      <c r="L1159" s="17"/>
      <c r="M1159" s="17"/>
      <c r="N1159" s="18"/>
      <c r="O1159" s="19"/>
      <c r="P1159" s="7"/>
      <c r="Q1159" s="7"/>
      <c r="R1159" s="7"/>
      <c r="S1159" s="17"/>
    </row>
    <row r="1160" ht="13.5" customHeight="1">
      <c r="A1160" s="8"/>
      <c r="B1160" s="8"/>
      <c r="C1160" s="8"/>
      <c r="D1160" s="8"/>
      <c r="E1160" s="14"/>
      <c r="F1160" s="8"/>
      <c r="G1160" s="8"/>
      <c r="H1160" s="8"/>
      <c r="I1160" s="8"/>
      <c r="J1160" s="8"/>
      <c r="K1160" s="8"/>
      <c r="L1160" s="17"/>
      <c r="M1160" s="17"/>
      <c r="N1160" s="18"/>
      <c r="O1160" s="19"/>
      <c r="P1160" s="7"/>
      <c r="Q1160" s="7"/>
      <c r="R1160" s="7"/>
      <c r="S1160" s="17"/>
    </row>
    <row r="1161" ht="13.5" customHeight="1">
      <c r="A1161" s="8"/>
      <c r="B1161" s="8"/>
      <c r="C1161" s="8"/>
      <c r="D1161" s="8"/>
      <c r="E1161" s="14"/>
      <c r="F1161" s="8"/>
      <c r="G1161" s="8"/>
      <c r="H1161" s="8"/>
      <c r="I1161" s="8"/>
      <c r="J1161" s="8"/>
      <c r="K1161" s="8"/>
      <c r="L1161" s="17"/>
      <c r="M1161" s="17"/>
      <c r="N1161" s="18"/>
      <c r="O1161" s="19"/>
      <c r="P1161" s="7"/>
      <c r="Q1161" s="7"/>
      <c r="R1161" s="7"/>
      <c r="S1161" s="17"/>
    </row>
    <row r="1162" ht="13.5" customHeight="1">
      <c r="A1162" s="8"/>
      <c r="B1162" s="8"/>
      <c r="C1162" s="8"/>
      <c r="D1162" s="8"/>
      <c r="E1162" s="14"/>
      <c r="F1162" s="8"/>
      <c r="G1162" s="8"/>
      <c r="H1162" s="8"/>
      <c r="I1162" s="8"/>
      <c r="J1162" s="8"/>
      <c r="K1162" s="8"/>
      <c r="L1162" s="17"/>
      <c r="M1162" s="17"/>
      <c r="N1162" s="18"/>
      <c r="O1162" s="19"/>
      <c r="P1162" s="7"/>
      <c r="Q1162" s="7"/>
      <c r="R1162" s="7"/>
      <c r="S1162" s="17"/>
    </row>
    <row r="1163" ht="13.5" customHeight="1">
      <c r="A1163" s="8"/>
      <c r="B1163" s="8"/>
      <c r="C1163" s="8"/>
      <c r="D1163" s="8"/>
      <c r="E1163" s="14"/>
      <c r="F1163" s="8"/>
      <c r="G1163" s="8"/>
      <c r="H1163" s="8"/>
      <c r="I1163" s="8"/>
      <c r="J1163" s="8"/>
      <c r="K1163" s="8"/>
      <c r="L1163" s="17"/>
      <c r="M1163" s="17"/>
      <c r="N1163" s="18"/>
      <c r="O1163" s="19"/>
      <c r="P1163" s="7"/>
      <c r="Q1163" s="7"/>
      <c r="R1163" s="7"/>
      <c r="S1163" s="17"/>
    </row>
    <row r="1164" ht="13.5" customHeight="1">
      <c r="A1164" s="8"/>
      <c r="B1164" s="8"/>
      <c r="C1164" s="8"/>
      <c r="D1164" s="8"/>
      <c r="E1164" s="14"/>
      <c r="F1164" s="8"/>
      <c r="G1164" s="8"/>
      <c r="H1164" s="8"/>
      <c r="I1164" s="8"/>
      <c r="J1164" s="8"/>
      <c r="K1164" s="8"/>
      <c r="L1164" s="17"/>
      <c r="M1164" s="17"/>
      <c r="N1164" s="18"/>
      <c r="O1164" s="19"/>
      <c r="P1164" s="7"/>
      <c r="Q1164" s="7"/>
      <c r="R1164" s="7"/>
      <c r="S1164" s="17"/>
    </row>
    <row r="1165" ht="13.5" customHeight="1">
      <c r="A1165" s="8"/>
      <c r="B1165" s="8"/>
      <c r="C1165" s="8"/>
      <c r="D1165" s="8"/>
      <c r="E1165" s="14"/>
      <c r="F1165" s="8"/>
      <c r="G1165" s="8"/>
      <c r="H1165" s="8"/>
      <c r="I1165" s="8"/>
      <c r="J1165" s="8"/>
      <c r="K1165" s="8"/>
      <c r="L1165" s="17"/>
      <c r="M1165" s="17"/>
      <c r="N1165" s="18"/>
      <c r="O1165" s="19"/>
      <c r="P1165" s="7"/>
      <c r="Q1165" s="7"/>
      <c r="R1165" s="7"/>
      <c r="S1165" s="17"/>
    </row>
    <row r="1166" ht="13.5" customHeight="1">
      <c r="A1166" s="8"/>
      <c r="B1166" s="8"/>
      <c r="C1166" s="8"/>
      <c r="D1166" s="8"/>
      <c r="E1166" s="14"/>
      <c r="F1166" s="8"/>
      <c r="G1166" s="8"/>
      <c r="H1166" s="8"/>
      <c r="I1166" s="8"/>
      <c r="J1166" s="8"/>
      <c r="K1166" s="8"/>
      <c r="L1166" s="17"/>
      <c r="M1166" s="17"/>
      <c r="N1166" s="18"/>
      <c r="O1166" s="19"/>
      <c r="P1166" s="7"/>
      <c r="Q1166" s="7"/>
      <c r="R1166" s="7"/>
      <c r="S1166" s="17"/>
    </row>
    <row r="1167" ht="13.5" customHeight="1">
      <c r="A1167" s="8"/>
      <c r="B1167" s="8"/>
      <c r="C1167" s="8"/>
      <c r="D1167" s="8"/>
      <c r="E1167" s="14"/>
      <c r="F1167" s="8"/>
      <c r="G1167" s="8"/>
      <c r="H1167" s="8"/>
      <c r="I1167" s="8"/>
      <c r="J1167" s="8"/>
      <c r="K1167" s="8"/>
      <c r="L1167" s="17"/>
      <c r="M1167" s="17"/>
      <c r="N1167" s="18"/>
      <c r="O1167" s="19"/>
      <c r="P1167" s="7"/>
      <c r="Q1167" s="7"/>
      <c r="R1167" s="7"/>
      <c r="S1167" s="17"/>
    </row>
    <row r="1168" ht="13.5" customHeight="1">
      <c r="A1168" s="8"/>
      <c r="B1168" s="8"/>
      <c r="C1168" s="8"/>
      <c r="D1168" s="8"/>
      <c r="E1168" s="14"/>
      <c r="F1168" s="8"/>
      <c r="G1168" s="8"/>
      <c r="H1168" s="8"/>
      <c r="I1168" s="8"/>
      <c r="J1168" s="8"/>
      <c r="K1168" s="8"/>
      <c r="L1168" s="17"/>
      <c r="M1168" s="17"/>
      <c r="N1168" s="18"/>
      <c r="O1168" s="19"/>
      <c r="P1168" s="7"/>
      <c r="Q1168" s="7"/>
      <c r="R1168" s="7"/>
      <c r="S1168" s="17"/>
    </row>
    <row r="1169" ht="13.5" customHeight="1">
      <c r="A1169" s="8"/>
      <c r="B1169" s="8"/>
      <c r="C1169" s="8"/>
      <c r="D1169" s="8"/>
      <c r="E1169" s="14"/>
      <c r="F1169" s="8"/>
      <c r="G1169" s="8"/>
      <c r="H1169" s="8"/>
      <c r="I1169" s="8"/>
      <c r="J1169" s="8"/>
      <c r="K1169" s="8"/>
      <c r="L1169" s="17"/>
      <c r="M1169" s="17"/>
      <c r="N1169" s="18"/>
      <c r="O1169" s="19"/>
      <c r="P1169" s="7"/>
      <c r="Q1169" s="7"/>
      <c r="R1169" s="7"/>
      <c r="S1169" s="17"/>
    </row>
    <row r="1170" ht="13.5" customHeight="1">
      <c r="A1170" s="8"/>
      <c r="B1170" s="8"/>
      <c r="C1170" s="8"/>
      <c r="D1170" s="8"/>
      <c r="E1170" s="14"/>
      <c r="F1170" s="8"/>
      <c r="G1170" s="8"/>
      <c r="H1170" s="8"/>
      <c r="I1170" s="8"/>
      <c r="J1170" s="8"/>
      <c r="K1170" s="8"/>
      <c r="L1170" s="17"/>
      <c r="M1170" s="17"/>
      <c r="N1170" s="18"/>
      <c r="O1170" s="19"/>
      <c r="P1170" s="7"/>
      <c r="Q1170" s="7"/>
      <c r="R1170" s="7"/>
      <c r="S1170" s="17"/>
    </row>
    <row r="1171" ht="13.5" customHeight="1">
      <c r="A1171" s="8"/>
      <c r="B1171" s="8"/>
      <c r="C1171" s="8"/>
      <c r="D1171" s="8"/>
      <c r="E1171" s="14"/>
      <c r="F1171" s="8"/>
      <c r="G1171" s="8"/>
      <c r="H1171" s="8"/>
      <c r="I1171" s="8"/>
      <c r="J1171" s="8"/>
      <c r="K1171" s="8"/>
      <c r="L1171" s="17"/>
      <c r="M1171" s="17"/>
      <c r="N1171" s="18"/>
      <c r="O1171" s="19"/>
      <c r="P1171" s="7"/>
      <c r="Q1171" s="7"/>
      <c r="R1171" s="7"/>
      <c r="S1171" s="17"/>
    </row>
    <row r="1172" ht="13.5" customHeight="1">
      <c r="A1172" s="8"/>
      <c r="B1172" s="8"/>
      <c r="C1172" s="8"/>
      <c r="D1172" s="8"/>
      <c r="E1172" s="14"/>
      <c r="F1172" s="8"/>
      <c r="G1172" s="8"/>
      <c r="H1172" s="8"/>
      <c r="I1172" s="8"/>
      <c r="J1172" s="8"/>
      <c r="K1172" s="8"/>
      <c r="L1172" s="17"/>
      <c r="M1172" s="17"/>
      <c r="N1172" s="18"/>
      <c r="O1172" s="19"/>
      <c r="P1172" s="7"/>
      <c r="Q1172" s="7"/>
      <c r="R1172" s="7"/>
      <c r="S1172" s="17"/>
    </row>
    <row r="1173" ht="13.5" customHeight="1">
      <c r="A1173" s="8"/>
      <c r="B1173" s="8"/>
      <c r="C1173" s="8"/>
      <c r="D1173" s="8"/>
      <c r="E1173" s="14"/>
      <c r="F1173" s="8"/>
      <c r="G1173" s="8"/>
      <c r="H1173" s="8"/>
      <c r="I1173" s="8"/>
      <c r="J1173" s="8"/>
      <c r="K1173" s="8"/>
      <c r="L1173" s="17"/>
      <c r="M1173" s="17"/>
      <c r="N1173" s="18"/>
      <c r="O1173" s="19"/>
      <c r="P1173" s="7"/>
      <c r="Q1173" s="7"/>
      <c r="R1173" s="7"/>
      <c r="S1173" s="17"/>
    </row>
    <row r="1174" ht="13.5" customHeight="1">
      <c r="A1174" s="8"/>
      <c r="B1174" s="8"/>
      <c r="C1174" s="8"/>
      <c r="D1174" s="8"/>
      <c r="E1174" s="14"/>
      <c r="F1174" s="8"/>
      <c r="G1174" s="8"/>
      <c r="H1174" s="8"/>
      <c r="I1174" s="8"/>
      <c r="J1174" s="8"/>
      <c r="K1174" s="8"/>
      <c r="L1174" s="17"/>
      <c r="M1174" s="17"/>
      <c r="N1174" s="18"/>
      <c r="O1174" s="19"/>
      <c r="P1174" s="7"/>
      <c r="Q1174" s="7"/>
      <c r="R1174" s="7"/>
      <c r="S1174" s="17"/>
    </row>
    <row r="1175" ht="13.5" customHeight="1">
      <c r="A1175" s="8"/>
      <c r="B1175" s="8"/>
      <c r="C1175" s="8"/>
      <c r="D1175" s="8"/>
      <c r="E1175" s="14"/>
      <c r="F1175" s="8"/>
      <c r="G1175" s="8"/>
      <c r="H1175" s="8"/>
      <c r="I1175" s="8"/>
      <c r="J1175" s="8"/>
      <c r="K1175" s="8"/>
      <c r="L1175" s="17"/>
      <c r="M1175" s="17"/>
      <c r="N1175" s="18"/>
      <c r="O1175" s="19"/>
      <c r="P1175" s="7"/>
      <c r="Q1175" s="7"/>
      <c r="R1175" s="7"/>
      <c r="S1175" s="17"/>
    </row>
    <row r="1176" ht="13.5" customHeight="1">
      <c r="A1176" s="8"/>
      <c r="B1176" s="8"/>
      <c r="C1176" s="8"/>
      <c r="D1176" s="8"/>
      <c r="E1176" s="14"/>
      <c r="F1176" s="8"/>
      <c r="G1176" s="8"/>
      <c r="H1176" s="8"/>
      <c r="I1176" s="8"/>
      <c r="J1176" s="8"/>
      <c r="K1176" s="8"/>
      <c r="L1176" s="17"/>
      <c r="M1176" s="17"/>
      <c r="N1176" s="18"/>
      <c r="O1176" s="19"/>
      <c r="P1176" s="7"/>
      <c r="Q1176" s="7"/>
      <c r="R1176" s="7"/>
      <c r="S1176" s="17"/>
    </row>
    <row r="1177" ht="13.5" customHeight="1">
      <c r="A1177" s="8"/>
      <c r="B1177" s="8"/>
      <c r="C1177" s="8"/>
      <c r="D1177" s="8"/>
      <c r="E1177" s="14"/>
      <c r="F1177" s="8"/>
      <c r="G1177" s="8"/>
      <c r="H1177" s="8"/>
      <c r="I1177" s="8"/>
      <c r="J1177" s="8"/>
      <c r="K1177" s="8"/>
      <c r="L1177" s="17"/>
      <c r="M1177" s="17"/>
      <c r="N1177" s="18"/>
      <c r="O1177" s="19"/>
      <c r="P1177" s="7"/>
      <c r="Q1177" s="7"/>
      <c r="R1177" s="7"/>
      <c r="S1177" s="17"/>
    </row>
    <row r="1178" ht="13.5" customHeight="1">
      <c r="A1178" s="8"/>
      <c r="B1178" s="8"/>
      <c r="C1178" s="8"/>
      <c r="D1178" s="8"/>
      <c r="E1178" s="14"/>
      <c r="F1178" s="8"/>
      <c r="G1178" s="8"/>
      <c r="H1178" s="8"/>
      <c r="I1178" s="8"/>
      <c r="J1178" s="8"/>
      <c r="K1178" s="8"/>
      <c r="L1178" s="17"/>
      <c r="M1178" s="17"/>
      <c r="N1178" s="18"/>
      <c r="O1178" s="19"/>
      <c r="P1178" s="7"/>
      <c r="Q1178" s="7"/>
      <c r="R1178" s="7"/>
      <c r="S1178" s="17"/>
    </row>
    <row r="1179" ht="13.5" customHeight="1">
      <c r="A1179" s="8"/>
      <c r="B1179" s="8"/>
      <c r="C1179" s="8"/>
      <c r="D1179" s="8"/>
      <c r="E1179" s="14"/>
      <c r="F1179" s="8"/>
      <c r="G1179" s="8"/>
      <c r="H1179" s="8"/>
      <c r="I1179" s="8"/>
      <c r="J1179" s="8"/>
      <c r="K1179" s="8"/>
      <c r="L1179" s="17"/>
      <c r="M1179" s="17"/>
      <c r="N1179" s="18"/>
      <c r="O1179" s="19"/>
      <c r="P1179" s="7"/>
      <c r="Q1179" s="7"/>
      <c r="R1179" s="7"/>
      <c r="S1179" s="17"/>
    </row>
    <row r="1180" ht="13.5" customHeight="1">
      <c r="A1180" s="8"/>
      <c r="B1180" s="8"/>
      <c r="C1180" s="8"/>
      <c r="D1180" s="8"/>
      <c r="E1180" s="14"/>
      <c r="F1180" s="8"/>
      <c r="G1180" s="8"/>
      <c r="H1180" s="8"/>
      <c r="I1180" s="8"/>
      <c r="J1180" s="8"/>
      <c r="K1180" s="8"/>
      <c r="L1180" s="17"/>
      <c r="M1180" s="17"/>
      <c r="N1180" s="18"/>
      <c r="O1180" s="19"/>
      <c r="P1180" s="7"/>
      <c r="Q1180" s="7"/>
      <c r="R1180" s="7"/>
      <c r="S1180" s="17"/>
    </row>
    <row r="1181" ht="13.5" customHeight="1">
      <c r="A1181" s="8"/>
      <c r="B1181" s="8"/>
      <c r="C1181" s="8"/>
      <c r="D1181" s="8"/>
      <c r="E1181" s="14"/>
      <c r="F1181" s="8"/>
      <c r="G1181" s="8"/>
      <c r="H1181" s="8"/>
      <c r="I1181" s="8"/>
      <c r="J1181" s="8"/>
      <c r="K1181" s="8"/>
      <c r="L1181" s="17"/>
      <c r="M1181" s="17"/>
      <c r="N1181" s="18"/>
      <c r="O1181" s="19"/>
      <c r="P1181" s="7"/>
      <c r="Q1181" s="7"/>
      <c r="R1181" s="7"/>
      <c r="S1181" s="17"/>
    </row>
    <row r="1182" ht="13.5" customHeight="1">
      <c r="A1182" s="8"/>
      <c r="B1182" s="8"/>
      <c r="C1182" s="8"/>
      <c r="D1182" s="8"/>
      <c r="E1182" s="14"/>
      <c r="F1182" s="8"/>
      <c r="G1182" s="8"/>
      <c r="H1182" s="8"/>
      <c r="I1182" s="8"/>
      <c r="J1182" s="8"/>
      <c r="K1182" s="8"/>
      <c r="L1182" s="17"/>
      <c r="M1182" s="17"/>
      <c r="N1182" s="18"/>
      <c r="O1182" s="19"/>
      <c r="P1182" s="7"/>
      <c r="Q1182" s="7"/>
      <c r="R1182" s="7"/>
      <c r="S1182" s="17"/>
    </row>
    <row r="1183" ht="13.5" customHeight="1">
      <c r="A1183" s="8"/>
      <c r="B1183" s="8"/>
      <c r="C1183" s="8"/>
      <c r="D1183" s="8"/>
      <c r="E1183" s="14"/>
      <c r="F1183" s="8"/>
      <c r="G1183" s="8"/>
      <c r="H1183" s="8"/>
      <c r="I1183" s="8"/>
      <c r="J1183" s="8"/>
      <c r="K1183" s="8"/>
      <c r="L1183" s="17"/>
      <c r="M1183" s="17"/>
      <c r="N1183" s="18"/>
      <c r="O1183" s="19"/>
      <c r="P1183" s="7"/>
      <c r="Q1183" s="7"/>
      <c r="R1183" s="7"/>
      <c r="S1183" s="17"/>
    </row>
    <row r="1184" ht="13.5" customHeight="1">
      <c r="A1184" s="8"/>
      <c r="B1184" s="8"/>
      <c r="C1184" s="8"/>
      <c r="D1184" s="8"/>
      <c r="E1184" s="14"/>
      <c r="F1184" s="8"/>
      <c r="G1184" s="8"/>
      <c r="H1184" s="8"/>
      <c r="I1184" s="8"/>
      <c r="J1184" s="8"/>
      <c r="K1184" s="8"/>
      <c r="L1184" s="17"/>
      <c r="M1184" s="17"/>
      <c r="N1184" s="18"/>
      <c r="O1184" s="19"/>
      <c r="P1184" s="7"/>
      <c r="Q1184" s="7"/>
      <c r="R1184" s="7"/>
      <c r="S1184" s="17"/>
    </row>
    <row r="1185" ht="13.5" customHeight="1">
      <c r="A1185" s="8"/>
      <c r="B1185" s="8"/>
      <c r="C1185" s="8"/>
      <c r="D1185" s="8"/>
      <c r="E1185" s="14"/>
      <c r="F1185" s="8"/>
      <c r="G1185" s="8"/>
      <c r="H1185" s="8"/>
      <c r="I1185" s="8"/>
      <c r="J1185" s="8"/>
      <c r="K1185" s="8"/>
      <c r="L1185" s="17"/>
      <c r="M1185" s="17"/>
      <c r="N1185" s="18"/>
      <c r="O1185" s="19"/>
      <c r="P1185" s="7"/>
      <c r="Q1185" s="7"/>
      <c r="R1185" s="7"/>
      <c r="S1185" s="17"/>
    </row>
    <row r="1186" ht="13.5" customHeight="1">
      <c r="A1186" s="8"/>
      <c r="B1186" s="8"/>
      <c r="C1186" s="8"/>
      <c r="D1186" s="8"/>
      <c r="E1186" s="14"/>
      <c r="F1186" s="8"/>
      <c r="G1186" s="8"/>
      <c r="H1186" s="8"/>
      <c r="I1186" s="8"/>
      <c r="J1186" s="8"/>
      <c r="K1186" s="8"/>
      <c r="L1186" s="17"/>
      <c r="M1186" s="17"/>
      <c r="N1186" s="18"/>
      <c r="O1186" s="19"/>
      <c r="P1186" s="7"/>
      <c r="Q1186" s="7"/>
      <c r="R1186" s="7"/>
      <c r="S1186" s="17"/>
    </row>
    <row r="1187" ht="13.5" customHeight="1">
      <c r="A1187" s="8"/>
      <c r="B1187" s="8"/>
      <c r="C1187" s="8"/>
      <c r="D1187" s="8"/>
      <c r="E1187" s="14"/>
      <c r="F1187" s="8"/>
      <c r="G1187" s="8"/>
      <c r="H1187" s="8"/>
      <c r="I1187" s="8"/>
      <c r="J1187" s="8"/>
      <c r="K1187" s="8"/>
      <c r="L1187" s="17"/>
      <c r="M1187" s="17"/>
      <c r="N1187" s="18"/>
      <c r="O1187" s="19"/>
      <c r="P1187" s="7"/>
      <c r="Q1187" s="7"/>
      <c r="R1187" s="7"/>
      <c r="S1187" s="17"/>
    </row>
    <row r="1188" ht="13.5" customHeight="1">
      <c r="A1188" s="8"/>
      <c r="B1188" s="8"/>
      <c r="C1188" s="8"/>
      <c r="D1188" s="8"/>
      <c r="E1188" s="14"/>
      <c r="F1188" s="8"/>
      <c r="G1188" s="8"/>
      <c r="H1188" s="8"/>
      <c r="I1188" s="8"/>
      <c r="J1188" s="8"/>
      <c r="K1188" s="8"/>
      <c r="L1188" s="17"/>
      <c r="M1188" s="17"/>
      <c r="N1188" s="18"/>
      <c r="O1188" s="19"/>
      <c r="P1188" s="7"/>
      <c r="Q1188" s="7"/>
      <c r="R1188" s="7"/>
      <c r="S1188" s="17"/>
    </row>
    <row r="1189" ht="13.5" customHeight="1">
      <c r="A1189" s="8"/>
      <c r="B1189" s="8"/>
      <c r="C1189" s="8"/>
      <c r="D1189" s="8"/>
      <c r="E1189" s="14"/>
      <c r="F1189" s="8"/>
      <c r="G1189" s="8"/>
      <c r="H1189" s="8"/>
      <c r="I1189" s="8"/>
      <c r="J1189" s="8"/>
      <c r="K1189" s="8"/>
      <c r="L1189" s="17"/>
      <c r="M1189" s="17"/>
      <c r="N1189" s="18"/>
      <c r="O1189" s="19"/>
      <c r="P1189" s="7"/>
      <c r="Q1189" s="7"/>
      <c r="R1189" s="7"/>
      <c r="S1189" s="17"/>
    </row>
    <row r="1190" ht="13.5" customHeight="1">
      <c r="A1190" s="8"/>
      <c r="B1190" s="8"/>
      <c r="C1190" s="8"/>
      <c r="D1190" s="8"/>
      <c r="E1190" s="14"/>
      <c r="F1190" s="8"/>
      <c r="G1190" s="8"/>
      <c r="H1190" s="8"/>
      <c r="I1190" s="8"/>
      <c r="J1190" s="8"/>
      <c r="K1190" s="8"/>
      <c r="L1190" s="17"/>
      <c r="M1190" s="17"/>
      <c r="N1190" s="18"/>
      <c r="O1190" s="19"/>
      <c r="P1190" s="7"/>
      <c r="Q1190" s="7"/>
      <c r="R1190" s="7"/>
      <c r="S1190" s="17"/>
    </row>
    <row r="1191" ht="13.5" customHeight="1">
      <c r="A1191" s="8"/>
      <c r="B1191" s="8"/>
      <c r="C1191" s="8"/>
      <c r="D1191" s="8"/>
      <c r="E1191" s="14"/>
      <c r="F1191" s="8"/>
      <c r="G1191" s="8"/>
      <c r="H1191" s="8"/>
      <c r="I1191" s="8"/>
      <c r="J1191" s="8"/>
      <c r="K1191" s="8"/>
      <c r="L1191" s="17"/>
      <c r="M1191" s="17"/>
      <c r="N1191" s="18"/>
      <c r="O1191" s="19"/>
      <c r="P1191" s="7"/>
      <c r="Q1191" s="7"/>
      <c r="R1191" s="7"/>
      <c r="S1191" s="17"/>
    </row>
    <row r="1192" ht="13.5" customHeight="1">
      <c r="A1192" s="8"/>
      <c r="B1192" s="8"/>
      <c r="C1192" s="8"/>
      <c r="D1192" s="8"/>
      <c r="E1192" s="14"/>
      <c r="F1192" s="8"/>
      <c r="G1192" s="8"/>
      <c r="H1192" s="8"/>
      <c r="I1192" s="8"/>
      <c r="J1192" s="8"/>
      <c r="K1192" s="8"/>
      <c r="L1192" s="17"/>
      <c r="M1192" s="17"/>
      <c r="N1192" s="18"/>
      <c r="O1192" s="19"/>
      <c r="P1192" s="7"/>
      <c r="Q1192" s="7"/>
      <c r="R1192" s="7"/>
      <c r="S1192" s="17"/>
    </row>
    <row r="1193" ht="13.5" customHeight="1">
      <c r="A1193" s="8"/>
      <c r="B1193" s="8"/>
      <c r="C1193" s="8"/>
      <c r="D1193" s="8"/>
      <c r="E1193" s="14"/>
      <c r="F1193" s="8"/>
      <c r="G1193" s="8"/>
      <c r="H1193" s="8"/>
      <c r="I1193" s="8"/>
      <c r="J1193" s="8"/>
      <c r="K1193" s="8"/>
      <c r="L1193" s="17"/>
      <c r="M1193" s="17"/>
      <c r="N1193" s="18"/>
      <c r="O1193" s="19"/>
      <c r="P1193" s="7"/>
      <c r="Q1193" s="7"/>
      <c r="R1193" s="7"/>
      <c r="S1193" s="17"/>
    </row>
    <row r="1194" ht="13.5" customHeight="1">
      <c r="A1194" s="8"/>
      <c r="B1194" s="8"/>
      <c r="C1194" s="8"/>
      <c r="D1194" s="8"/>
      <c r="E1194" s="14"/>
      <c r="F1194" s="8"/>
      <c r="G1194" s="8"/>
      <c r="H1194" s="8"/>
      <c r="I1194" s="8"/>
      <c r="J1194" s="8"/>
      <c r="K1194" s="8"/>
      <c r="L1194" s="17"/>
      <c r="M1194" s="17"/>
      <c r="N1194" s="18"/>
      <c r="O1194" s="19"/>
      <c r="P1194" s="7"/>
      <c r="Q1194" s="7"/>
      <c r="R1194" s="7"/>
      <c r="S1194" s="17"/>
    </row>
    <row r="1195" ht="13.5" customHeight="1">
      <c r="A1195" s="8"/>
      <c r="B1195" s="8"/>
      <c r="C1195" s="8"/>
      <c r="D1195" s="8"/>
      <c r="E1195" s="14"/>
      <c r="F1195" s="8"/>
      <c r="G1195" s="8"/>
      <c r="H1195" s="8"/>
      <c r="I1195" s="8"/>
      <c r="J1195" s="8"/>
      <c r="K1195" s="8"/>
      <c r="L1195" s="17"/>
      <c r="M1195" s="17"/>
      <c r="N1195" s="18"/>
      <c r="O1195" s="19"/>
      <c r="P1195" s="7"/>
      <c r="Q1195" s="7"/>
      <c r="R1195" s="7"/>
      <c r="S1195" s="17"/>
    </row>
    <row r="1196" ht="13.5" customHeight="1">
      <c r="A1196" s="8"/>
      <c r="B1196" s="8"/>
      <c r="C1196" s="8"/>
      <c r="D1196" s="8"/>
      <c r="E1196" s="14"/>
      <c r="F1196" s="8"/>
      <c r="G1196" s="8"/>
      <c r="H1196" s="8"/>
      <c r="I1196" s="8"/>
      <c r="J1196" s="8"/>
      <c r="K1196" s="8"/>
      <c r="L1196" s="17"/>
      <c r="M1196" s="17"/>
      <c r="N1196" s="18"/>
      <c r="O1196" s="19"/>
      <c r="P1196" s="7"/>
      <c r="Q1196" s="7"/>
      <c r="R1196" s="7"/>
      <c r="S1196" s="17"/>
    </row>
    <row r="1197" ht="13.5" customHeight="1">
      <c r="A1197" s="8"/>
      <c r="B1197" s="8"/>
      <c r="C1197" s="8"/>
      <c r="D1197" s="8"/>
      <c r="E1197" s="14"/>
      <c r="F1197" s="8"/>
      <c r="G1197" s="8"/>
      <c r="H1197" s="8"/>
      <c r="I1197" s="8"/>
      <c r="J1197" s="8"/>
      <c r="K1197" s="8"/>
      <c r="L1197" s="17"/>
      <c r="M1197" s="17"/>
      <c r="N1197" s="18"/>
      <c r="O1197" s="19"/>
      <c r="P1197" s="7"/>
      <c r="Q1197" s="7"/>
      <c r="R1197" s="7"/>
      <c r="S1197" s="17"/>
    </row>
    <row r="1198" ht="13.5" customHeight="1">
      <c r="A1198" s="8"/>
      <c r="B1198" s="8"/>
      <c r="C1198" s="8"/>
      <c r="D1198" s="8"/>
      <c r="E1198" s="14"/>
      <c r="F1198" s="8"/>
      <c r="G1198" s="8"/>
      <c r="H1198" s="8"/>
      <c r="I1198" s="8"/>
      <c r="J1198" s="8"/>
      <c r="K1198" s="8"/>
      <c r="L1198" s="17"/>
      <c r="M1198" s="17"/>
      <c r="N1198" s="18"/>
      <c r="O1198" s="19"/>
      <c r="P1198" s="7"/>
      <c r="Q1198" s="7"/>
      <c r="R1198" s="7"/>
      <c r="S1198" s="17"/>
    </row>
    <row r="1199" ht="13.5" customHeight="1">
      <c r="A1199" s="8"/>
      <c r="B1199" s="8"/>
      <c r="C1199" s="8"/>
      <c r="D1199" s="8"/>
      <c r="E1199" s="14"/>
      <c r="F1199" s="8"/>
      <c r="G1199" s="8"/>
      <c r="H1199" s="8"/>
      <c r="I1199" s="8"/>
      <c r="J1199" s="8"/>
      <c r="K1199" s="8"/>
      <c r="L1199" s="17"/>
      <c r="M1199" s="17"/>
      <c r="N1199" s="18"/>
      <c r="O1199" s="19"/>
      <c r="P1199" s="7"/>
      <c r="Q1199" s="7"/>
      <c r="R1199" s="7"/>
      <c r="S1199" s="17"/>
    </row>
    <row r="1200" ht="13.5" customHeight="1">
      <c r="A1200" s="8"/>
      <c r="B1200" s="8"/>
      <c r="C1200" s="8"/>
      <c r="D1200" s="8"/>
      <c r="E1200" s="14"/>
      <c r="F1200" s="8"/>
      <c r="G1200" s="8"/>
      <c r="H1200" s="8"/>
      <c r="I1200" s="8"/>
      <c r="J1200" s="8"/>
      <c r="K1200" s="8"/>
      <c r="L1200" s="17"/>
      <c r="M1200" s="17"/>
      <c r="N1200" s="18"/>
      <c r="O1200" s="19"/>
      <c r="P1200" s="7"/>
      <c r="Q1200" s="7"/>
      <c r="R1200" s="7"/>
      <c r="S1200" s="17"/>
    </row>
    <row r="1201" ht="13.5" customHeight="1">
      <c r="A1201" s="8"/>
      <c r="B1201" s="8"/>
      <c r="C1201" s="8"/>
      <c r="D1201" s="8"/>
      <c r="E1201" s="14"/>
      <c r="F1201" s="8"/>
      <c r="G1201" s="8"/>
      <c r="H1201" s="8"/>
      <c r="I1201" s="8"/>
      <c r="J1201" s="8"/>
      <c r="K1201" s="8"/>
      <c r="L1201" s="17"/>
      <c r="M1201" s="17"/>
      <c r="N1201" s="18"/>
      <c r="O1201" s="19"/>
      <c r="P1201" s="7"/>
      <c r="Q1201" s="7"/>
      <c r="R1201" s="7"/>
      <c r="S1201" s="17"/>
    </row>
    <row r="1202" ht="13.5" customHeight="1">
      <c r="A1202" s="8"/>
      <c r="B1202" s="8"/>
      <c r="C1202" s="8"/>
      <c r="D1202" s="8"/>
      <c r="E1202" s="14"/>
      <c r="F1202" s="8"/>
      <c r="G1202" s="8"/>
      <c r="H1202" s="8"/>
      <c r="I1202" s="8"/>
      <c r="J1202" s="8"/>
      <c r="K1202" s="8"/>
      <c r="L1202" s="17"/>
      <c r="M1202" s="17"/>
      <c r="N1202" s="18"/>
      <c r="O1202" s="19"/>
      <c r="P1202" s="7"/>
      <c r="Q1202" s="7"/>
      <c r="R1202" s="7"/>
      <c r="S1202" s="17"/>
    </row>
    <row r="1203" ht="13.5" customHeight="1">
      <c r="A1203" s="8"/>
      <c r="B1203" s="8"/>
      <c r="C1203" s="8"/>
      <c r="D1203" s="8"/>
      <c r="E1203" s="14"/>
      <c r="F1203" s="8"/>
      <c r="G1203" s="8"/>
      <c r="H1203" s="8"/>
      <c r="I1203" s="8"/>
      <c r="J1203" s="8"/>
      <c r="K1203" s="8"/>
      <c r="L1203" s="17"/>
      <c r="M1203" s="17"/>
      <c r="N1203" s="18"/>
      <c r="O1203" s="19"/>
      <c r="P1203" s="7"/>
      <c r="Q1203" s="7"/>
      <c r="R1203" s="7"/>
      <c r="S1203" s="17"/>
    </row>
    <row r="1204" ht="13.5" customHeight="1">
      <c r="A1204" s="8"/>
      <c r="B1204" s="8"/>
      <c r="C1204" s="8"/>
      <c r="D1204" s="8"/>
      <c r="E1204" s="14"/>
      <c r="F1204" s="8"/>
      <c r="G1204" s="8"/>
      <c r="H1204" s="8"/>
      <c r="I1204" s="8"/>
      <c r="J1204" s="8"/>
      <c r="K1204" s="8"/>
      <c r="L1204" s="17"/>
      <c r="M1204" s="17"/>
      <c r="N1204" s="18"/>
      <c r="O1204" s="19"/>
      <c r="P1204" s="7"/>
      <c r="Q1204" s="7"/>
      <c r="R1204" s="7"/>
      <c r="S1204" s="17"/>
    </row>
    <row r="1205" ht="13.5" customHeight="1">
      <c r="A1205" s="8"/>
      <c r="B1205" s="8"/>
      <c r="C1205" s="8"/>
      <c r="D1205" s="8"/>
      <c r="E1205" s="14"/>
      <c r="F1205" s="8"/>
      <c r="G1205" s="8"/>
      <c r="H1205" s="8"/>
      <c r="I1205" s="8"/>
      <c r="J1205" s="8"/>
      <c r="K1205" s="8"/>
      <c r="L1205" s="17"/>
      <c r="M1205" s="17"/>
      <c r="N1205" s="18"/>
      <c r="O1205" s="19"/>
      <c r="P1205" s="7"/>
      <c r="Q1205" s="7"/>
      <c r="R1205" s="7"/>
      <c r="S1205" s="17"/>
    </row>
    <row r="1206" ht="13.5" customHeight="1">
      <c r="A1206" s="8"/>
      <c r="B1206" s="8"/>
      <c r="C1206" s="8"/>
      <c r="D1206" s="8"/>
      <c r="E1206" s="14"/>
      <c r="F1206" s="8"/>
      <c r="G1206" s="8"/>
      <c r="H1206" s="8"/>
      <c r="I1206" s="8"/>
      <c r="J1206" s="8"/>
      <c r="K1206" s="8"/>
      <c r="L1206" s="17"/>
      <c r="M1206" s="17"/>
      <c r="N1206" s="18"/>
      <c r="O1206" s="19"/>
      <c r="P1206" s="7"/>
      <c r="Q1206" s="7"/>
      <c r="R1206" s="7"/>
      <c r="S1206" s="17"/>
    </row>
    <row r="1207" ht="13.5" customHeight="1">
      <c r="A1207" s="8"/>
      <c r="B1207" s="8"/>
      <c r="C1207" s="8"/>
      <c r="D1207" s="8"/>
      <c r="E1207" s="14"/>
      <c r="F1207" s="8"/>
      <c r="G1207" s="8"/>
      <c r="H1207" s="8"/>
      <c r="I1207" s="8"/>
      <c r="J1207" s="8"/>
      <c r="K1207" s="8"/>
      <c r="L1207" s="17"/>
      <c r="M1207" s="17"/>
      <c r="N1207" s="18"/>
      <c r="O1207" s="19"/>
      <c r="P1207" s="7"/>
      <c r="Q1207" s="7"/>
      <c r="R1207" s="7"/>
      <c r="S1207" s="17"/>
    </row>
    <row r="1208" ht="13.5" customHeight="1">
      <c r="A1208" s="8"/>
      <c r="B1208" s="8"/>
      <c r="C1208" s="8"/>
      <c r="D1208" s="8"/>
      <c r="E1208" s="14"/>
      <c r="F1208" s="8"/>
      <c r="G1208" s="8"/>
      <c r="H1208" s="8"/>
      <c r="I1208" s="8"/>
      <c r="J1208" s="8"/>
      <c r="K1208" s="8"/>
      <c r="L1208" s="17"/>
      <c r="M1208" s="17"/>
      <c r="N1208" s="18"/>
      <c r="O1208" s="19"/>
      <c r="P1208" s="7"/>
      <c r="Q1208" s="7"/>
      <c r="R1208" s="7"/>
      <c r="S1208" s="17"/>
    </row>
    <row r="1209" ht="13.5" customHeight="1">
      <c r="A1209" s="8"/>
      <c r="B1209" s="8"/>
      <c r="C1209" s="8"/>
      <c r="D1209" s="8"/>
      <c r="E1209" s="14"/>
      <c r="F1209" s="8"/>
      <c r="G1209" s="8"/>
      <c r="H1209" s="8"/>
      <c r="I1209" s="8"/>
      <c r="J1209" s="8"/>
      <c r="K1209" s="8"/>
      <c r="L1209" s="17"/>
      <c r="M1209" s="17"/>
      <c r="N1209" s="18"/>
      <c r="O1209" s="19"/>
      <c r="P1209" s="7"/>
      <c r="Q1209" s="7"/>
      <c r="R1209" s="7"/>
      <c r="S1209" s="17"/>
    </row>
    <row r="1210" ht="13.5" customHeight="1">
      <c r="A1210" s="8"/>
      <c r="B1210" s="8"/>
      <c r="C1210" s="8"/>
      <c r="D1210" s="8"/>
      <c r="E1210" s="14"/>
      <c r="F1210" s="8"/>
      <c r="G1210" s="8"/>
      <c r="H1210" s="8"/>
      <c r="I1210" s="8"/>
      <c r="J1210" s="8"/>
      <c r="K1210" s="8"/>
      <c r="L1210" s="17"/>
      <c r="M1210" s="17"/>
      <c r="N1210" s="18"/>
      <c r="O1210" s="19"/>
      <c r="P1210" s="7"/>
      <c r="Q1210" s="7"/>
      <c r="R1210" s="7"/>
      <c r="S1210" s="17"/>
    </row>
    <row r="1211" ht="13.5" customHeight="1">
      <c r="A1211" s="8"/>
      <c r="B1211" s="8"/>
      <c r="C1211" s="8"/>
      <c r="D1211" s="8"/>
      <c r="E1211" s="14"/>
      <c r="F1211" s="8"/>
      <c r="G1211" s="8"/>
      <c r="H1211" s="8"/>
      <c r="I1211" s="8"/>
      <c r="J1211" s="8"/>
      <c r="K1211" s="8"/>
      <c r="L1211" s="17"/>
      <c r="M1211" s="17"/>
      <c r="N1211" s="18"/>
      <c r="O1211" s="19"/>
      <c r="P1211" s="7"/>
      <c r="Q1211" s="7"/>
      <c r="R1211" s="7"/>
      <c r="S1211" s="17"/>
    </row>
    <row r="1212" ht="13.5" customHeight="1">
      <c r="A1212" s="8"/>
      <c r="B1212" s="8"/>
      <c r="C1212" s="8"/>
      <c r="D1212" s="8"/>
      <c r="E1212" s="14"/>
      <c r="F1212" s="8"/>
      <c r="G1212" s="8"/>
      <c r="H1212" s="8"/>
      <c r="I1212" s="8"/>
      <c r="J1212" s="8"/>
      <c r="K1212" s="8"/>
      <c r="L1212" s="17"/>
      <c r="M1212" s="17"/>
      <c r="N1212" s="18"/>
      <c r="O1212" s="19"/>
      <c r="P1212" s="7"/>
      <c r="Q1212" s="7"/>
      <c r="R1212" s="7"/>
      <c r="S1212" s="17"/>
    </row>
    <row r="1213" ht="13.5" customHeight="1">
      <c r="A1213" s="8"/>
      <c r="B1213" s="8"/>
      <c r="C1213" s="8"/>
      <c r="D1213" s="8"/>
      <c r="E1213" s="14"/>
      <c r="F1213" s="8"/>
      <c r="G1213" s="8"/>
      <c r="H1213" s="8"/>
      <c r="I1213" s="8"/>
      <c r="J1213" s="8"/>
      <c r="K1213" s="8"/>
      <c r="L1213" s="17"/>
      <c r="M1213" s="17"/>
      <c r="N1213" s="18"/>
      <c r="O1213" s="19"/>
      <c r="P1213" s="7"/>
      <c r="Q1213" s="7"/>
      <c r="R1213" s="7"/>
      <c r="S1213" s="17"/>
    </row>
    <row r="1214" ht="13.5" customHeight="1">
      <c r="A1214" s="8"/>
      <c r="B1214" s="8"/>
      <c r="C1214" s="8"/>
      <c r="D1214" s="8"/>
      <c r="E1214" s="14"/>
      <c r="F1214" s="8"/>
      <c r="G1214" s="8"/>
      <c r="H1214" s="8"/>
      <c r="I1214" s="8"/>
      <c r="J1214" s="8"/>
      <c r="K1214" s="8"/>
      <c r="L1214" s="17"/>
      <c r="M1214" s="17"/>
      <c r="N1214" s="18"/>
      <c r="O1214" s="19"/>
      <c r="P1214" s="7"/>
      <c r="Q1214" s="7"/>
      <c r="R1214" s="7"/>
      <c r="S1214" s="17"/>
    </row>
    <row r="1215" ht="13.5" customHeight="1">
      <c r="A1215" s="8"/>
      <c r="B1215" s="8"/>
      <c r="C1215" s="8"/>
      <c r="D1215" s="8"/>
      <c r="E1215" s="14"/>
      <c r="F1215" s="8"/>
      <c r="G1215" s="8"/>
      <c r="H1215" s="8"/>
      <c r="I1215" s="8"/>
      <c r="J1215" s="8"/>
      <c r="K1215" s="8"/>
      <c r="L1215" s="17"/>
      <c r="M1215" s="17"/>
      <c r="N1215" s="18"/>
      <c r="O1215" s="19"/>
      <c r="P1215" s="7"/>
      <c r="Q1215" s="7"/>
      <c r="R1215" s="7"/>
      <c r="S1215" s="17"/>
    </row>
    <row r="1216" ht="13.5" customHeight="1">
      <c r="A1216" s="8"/>
      <c r="B1216" s="8"/>
      <c r="C1216" s="8"/>
      <c r="D1216" s="8"/>
      <c r="E1216" s="14"/>
      <c r="F1216" s="8"/>
      <c r="G1216" s="8"/>
      <c r="H1216" s="8"/>
      <c r="I1216" s="8"/>
      <c r="J1216" s="8"/>
      <c r="K1216" s="8"/>
      <c r="L1216" s="17"/>
      <c r="M1216" s="17"/>
      <c r="N1216" s="18"/>
      <c r="O1216" s="19"/>
      <c r="P1216" s="7"/>
      <c r="Q1216" s="7"/>
      <c r="R1216" s="7"/>
      <c r="S1216" s="17"/>
    </row>
    <row r="1217" ht="13.5" customHeight="1">
      <c r="A1217" s="8"/>
      <c r="B1217" s="8"/>
      <c r="C1217" s="8"/>
      <c r="D1217" s="8"/>
      <c r="E1217" s="14"/>
      <c r="F1217" s="8"/>
      <c r="G1217" s="8"/>
      <c r="H1217" s="8"/>
      <c r="I1217" s="8"/>
      <c r="J1217" s="8"/>
      <c r="K1217" s="8"/>
      <c r="L1217" s="17"/>
      <c r="M1217" s="17"/>
      <c r="N1217" s="18"/>
      <c r="O1217" s="19"/>
      <c r="P1217" s="7"/>
      <c r="Q1217" s="7"/>
      <c r="R1217" s="7"/>
      <c r="S1217" s="17"/>
    </row>
    <row r="1218" ht="13.5" customHeight="1">
      <c r="A1218" s="8"/>
      <c r="B1218" s="8"/>
      <c r="C1218" s="8"/>
      <c r="D1218" s="8"/>
      <c r="E1218" s="14"/>
      <c r="F1218" s="8"/>
      <c r="G1218" s="8"/>
      <c r="H1218" s="8"/>
      <c r="I1218" s="8"/>
      <c r="J1218" s="8"/>
      <c r="K1218" s="8"/>
      <c r="L1218" s="17"/>
      <c r="M1218" s="17"/>
      <c r="N1218" s="18"/>
      <c r="O1218" s="19"/>
      <c r="P1218" s="7"/>
      <c r="Q1218" s="7"/>
      <c r="R1218" s="7"/>
      <c r="S1218" s="17"/>
    </row>
    <row r="1219" ht="13.5" customHeight="1">
      <c r="A1219" s="8"/>
      <c r="B1219" s="8"/>
      <c r="C1219" s="8"/>
      <c r="D1219" s="8"/>
      <c r="E1219" s="14"/>
      <c r="F1219" s="8"/>
      <c r="G1219" s="8"/>
      <c r="H1219" s="8"/>
      <c r="I1219" s="8"/>
      <c r="J1219" s="8"/>
      <c r="K1219" s="8"/>
      <c r="L1219" s="17"/>
      <c r="M1219" s="17"/>
      <c r="N1219" s="18"/>
      <c r="O1219" s="19"/>
      <c r="P1219" s="7"/>
      <c r="Q1219" s="7"/>
      <c r="R1219" s="7"/>
      <c r="S1219" s="17"/>
    </row>
    <row r="1220" ht="13.5" customHeight="1">
      <c r="A1220" s="8"/>
      <c r="B1220" s="8"/>
      <c r="C1220" s="8"/>
      <c r="D1220" s="8"/>
      <c r="E1220" s="14"/>
      <c r="F1220" s="8"/>
      <c r="G1220" s="8"/>
      <c r="H1220" s="8"/>
      <c r="I1220" s="8"/>
      <c r="J1220" s="8"/>
      <c r="K1220" s="8"/>
      <c r="L1220" s="17"/>
      <c r="M1220" s="17"/>
      <c r="N1220" s="18"/>
      <c r="O1220" s="19"/>
      <c r="P1220" s="7"/>
      <c r="Q1220" s="7"/>
      <c r="R1220" s="7"/>
      <c r="S1220" s="17"/>
    </row>
    <row r="1221" ht="13.5" customHeight="1">
      <c r="A1221" s="8"/>
      <c r="B1221" s="8"/>
      <c r="C1221" s="8"/>
      <c r="D1221" s="8"/>
      <c r="E1221" s="14"/>
      <c r="F1221" s="8"/>
      <c r="G1221" s="8"/>
      <c r="H1221" s="8"/>
      <c r="I1221" s="8"/>
      <c r="J1221" s="8"/>
      <c r="K1221" s="8"/>
      <c r="L1221" s="17"/>
      <c r="M1221" s="17"/>
      <c r="N1221" s="18"/>
      <c r="O1221" s="19"/>
      <c r="P1221" s="7"/>
      <c r="Q1221" s="7"/>
      <c r="R1221" s="7"/>
      <c r="S1221" s="17"/>
    </row>
    <row r="1222" ht="13.5" customHeight="1">
      <c r="A1222" s="8"/>
      <c r="B1222" s="8"/>
      <c r="C1222" s="8"/>
      <c r="D1222" s="8"/>
      <c r="E1222" s="14"/>
      <c r="F1222" s="8"/>
      <c r="G1222" s="8"/>
      <c r="H1222" s="8"/>
      <c r="I1222" s="8"/>
      <c r="J1222" s="8"/>
      <c r="K1222" s="8"/>
      <c r="L1222" s="17"/>
      <c r="M1222" s="17"/>
      <c r="N1222" s="18"/>
      <c r="O1222" s="19"/>
      <c r="P1222" s="7"/>
      <c r="Q1222" s="7"/>
      <c r="R1222" s="7"/>
      <c r="S1222" s="17"/>
    </row>
    <row r="1223" ht="13.5" customHeight="1">
      <c r="A1223" s="8"/>
      <c r="B1223" s="8"/>
      <c r="C1223" s="8"/>
      <c r="D1223" s="8"/>
      <c r="E1223" s="14"/>
      <c r="F1223" s="8"/>
      <c r="G1223" s="8"/>
      <c r="H1223" s="8"/>
      <c r="I1223" s="8"/>
      <c r="J1223" s="8"/>
      <c r="K1223" s="8"/>
      <c r="L1223" s="17"/>
      <c r="M1223" s="17"/>
      <c r="N1223" s="18"/>
      <c r="O1223" s="19"/>
      <c r="P1223" s="7"/>
      <c r="Q1223" s="7"/>
      <c r="R1223" s="7"/>
      <c r="S1223" s="17"/>
    </row>
    <row r="1224" ht="13.5" customHeight="1">
      <c r="A1224" s="8"/>
      <c r="B1224" s="8"/>
      <c r="C1224" s="8"/>
      <c r="D1224" s="8"/>
      <c r="E1224" s="14"/>
      <c r="F1224" s="8"/>
      <c r="G1224" s="8"/>
      <c r="H1224" s="8"/>
      <c r="I1224" s="8"/>
      <c r="J1224" s="8"/>
      <c r="K1224" s="8"/>
      <c r="L1224" s="17"/>
      <c r="M1224" s="17"/>
      <c r="N1224" s="18"/>
      <c r="O1224" s="19"/>
      <c r="P1224" s="7"/>
      <c r="Q1224" s="7"/>
      <c r="R1224" s="7"/>
      <c r="S1224" s="17"/>
    </row>
    <row r="1225" ht="13.5" customHeight="1">
      <c r="A1225" s="8"/>
      <c r="B1225" s="8"/>
      <c r="C1225" s="8"/>
      <c r="D1225" s="8"/>
      <c r="E1225" s="14"/>
      <c r="F1225" s="8"/>
      <c r="G1225" s="8"/>
      <c r="H1225" s="8"/>
      <c r="I1225" s="8"/>
      <c r="J1225" s="8"/>
      <c r="K1225" s="8"/>
      <c r="L1225" s="17"/>
      <c r="M1225" s="17"/>
      <c r="N1225" s="18"/>
      <c r="O1225" s="19"/>
      <c r="P1225" s="7"/>
      <c r="Q1225" s="7"/>
      <c r="R1225" s="7"/>
      <c r="S1225" s="17"/>
    </row>
    <row r="1226" ht="13.5" customHeight="1">
      <c r="A1226" s="8"/>
      <c r="B1226" s="8"/>
      <c r="C1226" s="8"/>
      <c r="D1226" s="8"/>
      <c r="E1226" s="14"/>
      <c r="F1226" s="8"/>
      <c r="G1226" s="8"/>
      <c r="H1226" s="8"/>
      <c r="I1226" s="8"/>
      <c r="J1226" s="8"/>
      <c r="K1226" s="8"/>
      <c r="L1226" s="17"/>
      <c r="M1226" s="17"/>
      <c r="N1226" s="18"/>
      <c r="O1226" s="19"/>
      <c r="P1226" s="7"/>
      <c r="Q1226" s="7"/>
      <c r="R1226" s="7"/>
      <c r="S1226" s="17"/>
    </row>
    <row r="1227" ht="13.5" customHeight="1">
      <c r="A1227" s="8"/>
      <c r="B1227" s="8"/>
      <c r="C1227" s="8"/>
      <c r="D1227" s="8"/>
      <c r="E1227" s="14"/>
      <c r="F1227" s="8"/>
      <c r="G1227" s="8"/>
      <c r="H1227" s="8"/>
      <c r="I1227" s="8"/>
      <c r="J1227" s="8"/>
      <c r="K1227" s="8"/>
      <c r="L1227" s="17"/>
      <c r="M1227" s="17"/>
      <c r="N1227" s="18"/>
      <c r="O1227" s="19"/>
      <c r="P1227" s="7"/>
      <c r="Q1227" s="7"/>
      <c r="R1227" s="7"/>
      <c r="S1227" s="17"/>
    </row>
    <row r="1228" ht="13.5" customHeight="1">
      <c r="A1228" s="8"/>
      <c r="B1228" s="8"/>
      <c r="C1228" s="8"/>
      <c r="D1228" s="8"/>
      <c r="E1228" s="14"/>
      <c r="F1228" s="8"/>
      <c r="G1228" s="8"/>
      <c r="H1228" s="8"/>
      <c r="I1228" s="8"/>
      <c r="J1228" s="8"/>
      <c r="K1228" s="8"/>
      <c r="L1228" s="17"/>
      <c r="M1228" s="17"/>
      <c r="N1228" s="18"/>
      <c r="O1228" s="19"/>
      <c r="P1228" s="7"/>
      <c r="Q1228" s="7"/>
      <c r="R1228" s="7"/>
      <c r="S1228" s="17"/>
    </row>
    <row r="1229" ht="13.5" customHeight="1">
      <c r="A1229" s="8"/>
      <c r="B1229" s="8"/>
      <c r="C1229" s="8"/>
      <c r="D1229" s="8"/>
      <c r="E1229" s="14"/>
      <c r="F1229" s="8"/>
      <c r="G1229" s="8"/>
      <c r="H1229" s="8"/>
      <c r="I1229" s="8"/>
      <c r="J1229" s="8"/>
      <c r="K1229" s="8"/>
      <c r="L1229" s="17"/>
      <c r="M1229" s="17"/>
      <c r="N1229" s="18"/>
      <c r="O1229" s="19"/>
      <c r="P1229" s="7"/>
      <c r="Q1229" s="7"/>
      <c r="R1229" s="7"/>
      <c r="S1229" s="17"/>
    </row>
    <row r="1230" ht="13.5" customHeight="1">
      <c r="A1230" s="8"/>
      <c r="B1230" s="8"/>
      <c r="C1230" s="8"/>
      <c r="D1230" s="8"/>
      <c r="E1230" s="14"/>
      <c r="F1230" s="8"/>
      <c r="G1230" s="8"/>
      <c r="H1230" s="8"/>
      <c r="I1230" s="8"/>
      <c r="J1230" s="8"/>
      <c r="K1230" s="8"/>
      <c r="L1230" s="17"/>
      <c r="M1230" s="17"/>
      <c r="N1230" s="18"/>
      <c r="O1230" s="19"/>
      <c r="P1230" s="7"/>
      <c r="Q1230" s="7"/>
      <c r="R1230" s="7"/>
      <c r="S1230" s="17"/>
    </row>
    <row r="1231" ht="13.5" customHeight="1">
      <c r="A1231" s="8"/>
      <c r="B1231" s="8"/>
      <c r="C1231" s="8"/>
      <c r="D1231" s="8"/>
      <c r="E1231" s="14"/>
      <c r="F1231" s="8"/>
      <c r="G1231" s="8"/>
      <c r="H1231" s="8"/>
      <c r="I1231" s="8"/>
      <c r="J1231" s="8"/>
      <c r="K1231" s="8"/>
      <c r="L1231" s="17"/>
      <c r="M1231" s="17"/>
      <c r="N1231" s="18"/>
      <c r="O1231" s="19"/>
      <c r="P1231" s="7"/>
      <c r="Q1231" s="7"/>
      <c r="R1231" s="7"/>
      <c r="S1231" s="17"/>
    </row>
    <row r="1232" ht="13.5" customHeight="1">
      <c r="A1232" s="8"/>
      <c r="B1232" s="8"/>
      <c r="C1232" s="8"/>
      <c r="D1232" s="8"/>
      <c r="E1232" s="14"/>
      <c r="F1232" s="8"/>
      <c r="G1232" s="8"/>
      <c r="H1232" s="8"/>
      <c r="I1232" s="8"/>
      <c r="J1232" s="8"/>
      <c r="K1232" s="8"/>
      <c r="L1232" s="17"/>
      <c r="M1232" s="17"/>
      <c r="N1232" s="18"/>
      <c r="O1232" s="19"/>
      <c r="P1232" s="7"/>
      <c r="Q1232" s="7"/>
      <c r="R1232" s="7"/>
      <c r="S1232" s="17"/>
    </row>
    <row r="1233" ht="13.5" customHeight="1">
      <c r="A1233" s="8"/>
      <c r="B1233" s="8"/>
      <c r="C1233" s="8"/>
      <c r="D1233" s="8"/>
      <c r="E1233" s="14"/>
      <c r="F1233" s="8"/>
      <c r="G1233" s="8"/>
      <c r="H1233" s="8"/>
      <c r="I1233" s="8"/>
      <c r="J1233" s="8"/>
      <c r="K1233" s="8"/>
      <c r="L1233" s="17"/>
      <c r="M1233" s="17"/>
      <c r="N1233" s="18"/>
      <c r="O1233" s="19"/>
      <c r="P1233" s="7"/>
      <c r="Q1233" s="7"/>
      <c r="R1233" s="7"/>
      <c r="S1233" s="17"/>
    </row>
    <row r="1234" ht="13.5" customHeight="1">
      <c r="A1234" s="8"/>
      <c r="B1234" s="8"/>
      <c r="C1234" s="8"/>
      <c r="D1234" s="8"/>
      <c r="E1234" s="14"/>
      <c r="F1234" s="8"/>
      <c r="G1234" s="8"/>
      <c r="H1234" s="8"/>
      <c r="I1234" s="8"/>
      <c r="J1234" s="8"/>
      <c r="K1234" s="8"/>
      <c r="L1234" s="17"/>
      <c r="M1234" s="17"/>
      <c r="N1234" s="18"/>
      <c r="O1234" s="19"/>
      <c r="P1234" s="7"/>
      <c r="Q1234" s="7"/>
      <c r="R1234" s="7"/>
      <c r="S1234" s="17"/>
    </row>
    <row r="1235" ht="13.5" customHeight="1">
      <c r="A1235" s="8"/>
      <c r="B1235" s="8"/>
      <c r="C1235" s="8"/>
      <c r="D1235" s="8"/>
      <c r="E1235" s="14"/>
      <c r="F1235" s="8"/>
      <c r="G1235" s="8"/>
      <c r="H1235" s="8"/>
      <c r="I1235" s="8"/>
      <c r="J1235" s="8"/>
      <c r="K1235" s="8"/>
      <c r="L1235" s="17"/>
      <c r="M1235" s="17"/>
      <c r="N1235" s="18"/>
      <c r="O1235" s="19"/>
      <c r="P1235" s="7"/>
      <c r="Q1235" s="7"/>
      <c r="R1235" s="7"/>
      <c r="S1235" s="17"/>
    </row>
    <row r="1236" ht="13.5" customHeight="1">
      <c r="A1236" s="8"/>
      <c r="B1236" s="8"/>
      <c r="C1236" s="8"/>
      <c r="D1236" s="8"/>
      <c r="E1236" s="14"/>
      <c r="F1236" s="8"/>
      <c r="G1236" s="8"/>
      <c r="H1236" s="8"/>
      <c r="I1236" s="8"/>
      <c r="J1236" s="8"/>
      <c r="K1236" s="8"/>
      <c r="L1236" s="17"/>
      <c r="M1236" s="17"/>
      <c r="N1236" s="18"/>
      <c r="O1236" s="19"/>
      <c r="P1236" s="7"/>
      <c r="Q1236" s="7"/>
      <c r="R1236" s="7"/>
      <c r="S1236" s="17"/>
    </row>
    <row r="1237" ht="13.5" customHeight="1">
      <c r="A1237" s="8"/>
      <c r="B1237" s="8"/>
      <c r="C1237" s="8"/>
      <c r="D1237" s="8"/>
      <c r="E1237" s="14"/>
      <c r="F1237" s="8"/>
      <c r="G1237" s="8"/>
      <c r="H1237" s="8"/>
      <c r="I1237" s="8"/>
      <c r="J1237" s="8"/>
      <c r="K1237" s="8"/>
      <c r="L1237" s="17"/>
      <c r="M1237" s="17"/>
      <c r="N1237" s="18"/>
      <c r="O1237" s="19"/>
      <c r="P1237" s="7"/>
      <c r="Q1237" s="7"/>
      <c r="R1237" s="7"/>
      <c r="S1237" s="17"/>
    </row>
    <row r="1238" ht="13.5" customHeight="1">
      <c r="A1238" s="8"/>
      <c r="B1238" s="8"/>
      <c r="C1238" s="8"/>
      <c r="D1238" s="8"/>
      <c r="E1238" s="14"/>
      <c r="F1238" s="8"/>
      <c r="G1238" s="8"/>
      <c r="H1238" s="8"/>
      <c r="I1238" s="8"/>
      <c r="J1238" s="8"/>
      <c r="K1238" s="8"/>
      <c r="L1238" s="17"/>
      <c r="M1238" s="17"/>
      <c r="N1238" s="18"/>
      <c r="O1238" s="19"/>
      <c r="P1238" s="7"/>
      <c r="Q1238" s="7"/>
      <c r="R1238" s="7"/>
      <c r="S1238" s="17"/>
    </row>
    <row r="1239" ht="13.5" customHeight="1">
      <c r="A1239" s="8"/>
      <c r="B1239" s="8"/>
      <c r="C1239" s="8"/>
      <c r="D1239" s="8"/>
      <c r="E1239" s="14"/>
      <c r="F1239" s="8"/>
      <c r="G1239" s="8"/>
      <c r="H1239" s="8"/>
      <c r="I1239" s="8"/>
      <c r="J1239" s="8"/>
      <c r="K1239" s="8"/>
      <c r="L1239" s="17"/>
      <c r="M1239" s="17"/>
      <c r="N1239" s="18"/>
      <c r="O1239" s="19"/>
      <c r="P1239" s="7"/>
      <c r="Q1239" s="7"/>
      <c r="R1239" s="7"/>
      <c r="S1239" s="17"/>
    </row>
    <row r="1240" ht="13.5" customHeight="1">
      <c r="A1240" s="8"/>
      <c r="B1240" s="8"/>
      <c r="C1240" s="8"/>
      <c r="D1240" s="8"/>
      <c r="E1240" s="14"/>
      <c r="F1240" s="8"/>
      <c r="G1240" s="8"/>
      <c r="H1240" s="8"/>
      <c r="I1240" s="8"/>
      <c r="J1240" s="8"/>
      <c r="K1240" s="8"/>
      <c r="L1240" s="17"/>
      <c r="M1240" s="17"/>
      <c r="N1240" s="18"/>
      <c r="O1240" s="19"/>
      <c r="P1240" s="7"/>
      <c r="Q1240" s="7"/>
      <c r="R1240" s="7"/>
      <c r="S1240" s="17"/>
    </row>
    <row r="1241" ht="13.5" customHeight="1">
      <c r="A1241" s="8"/>
      <c r="B1241" s="8"/>
      <c r="C1241" s="8"/>
      <c r="D1241" s="8"/>
      <c r="E1241" s="14"/>
      <c r="F1241" s="8"/>
      <c r="G1241" s="8"/>
      <c r="H1241" s="8"/>
      <c r="I1241" s="8"/>
      <c r="J1241" s="8"/>
      <c r="K1241" s="8"/>
      <c r="L1241" s="17"/>
      <c r="M1241" s="17"/>
      <c r="N1241" s="18"/>
      <c r="O1241" s="19"/>
      <c r="P1241" s="7"/>
      <c r="Q1241" s="7"/>
      <c r="R1241" s="7"/>
      <c r="S1241" s="17"/>
    </row>
    <row r="1242" ht="13.5" customHeight="1">
      <c r="A1242" s="8"/>
      <c r="B1242" s="8"/>
      <c r="C1242" s="8"/>
      <c r="D1242" s="8"/>
      <c r="E1242" s="14"/>
      <c r="F1242" s="8"/>
      <c r="G1242" s="8"/>
      <c r="H1242" s="8"/>
      <c r="I1242" s="8"/>
      <c r="J1242" s="8"/>
      <c r="K1242" s="8"/>
      <c r="L1242" s="17"/>
      <c r="M1242" s="17"/>
      <c r="N1242" s="18"/>
      <c r="O1242" s="19"/>
      <c r="P1242" s="7"/>
      <c r="Q1242" s="7"/>
      <c r="R1242" s="7"/>
      <c r="S1242" s="17"/>
    </row>
    <row r="1243" ht="13.5" customHeight="1">
      <c r="A1243" s="8"/>
      <c r="B1243" s="8"/>
      <c r="C1243" s="8"/>
      <c r="D1243" s="8"/>
      <c r="E1243" s="14"/>
      <c r="F1243" s="8"/>
      <c r="G1243" s="8"/>
      <c r="H1243" s="8"/>
      <c r="I1243" s="8"/>
      <c r="J1243" s="8"/>
      <c r="K1243" s="8"/>
      <c r="L1243" s="17"/>
      <c r="M1243" s="17"/>
      <c r="N1243" s="18"/>
      <c r="O1243" s="19"/>
      <c r="P1243" s="7"/>
      <c r="Q1243" s="7"/>
      <c r="R1243" s="7"/>
      <c r="S1243" s="17"/>
    </row>
    <row r="1244" ht="13.5" customHeight="1">
      <c r="A1244" s="8"/>
      <c r="B1244" s="8"/>
      <c r="C1244" s="8"/>
      <c r="D1244" s="8"/>
      <c r="E1244" s="14"/>
      <c r="F1244" s="8"/>
      <c r="G1244" s="8"/>
      <c r="H1244" s="8"/>
      <c r="I1244" s="8"/>
      <c r="J1244" s="8"/>
      <c r="K1244" s="8"/>
      <c r="L1244" s="17"/>
      <c r="M1244" s="17"/>
      <c r="N1244" s="18"/>
      <c r="O1244" s="19"/>
      <c r="P1244" s="7"/>
      <c r="Q1244" s="7"/>
      <c r="R1244" s="7"/>
      <c r="S1244" s="17"/>
    </row>
    <row r="1245" ht="13.5" customHeight="1">
      <c r="A1245" s="8"/>
      <c r="B1245" s="8"/>
      <c r="C1245" s="8"/>
      <c r="D1245" s="8"/>
      <c r="E1245" s="14"/>
      <c r="F1245" s="8"/>
      <c r="G1245" s="8"/>
      <c r="H1245" s="8"/>
      <c r="I1245" s="8"/>
      <c r="J1245" s="8"/>
      <c r="K1245" s="8"/>
      <c r="L1245" s="17"/>
      <c r="M1245" s="17"/>
      <c r="N1245" s="18"/>
      <c r="O1245" s="19"/>
      <c r="P1245" s="7"/>
      <c r="Q1245" s="7"/>
      <c r="R1245" s="7"/>
      <c r="S1245" s="17"/>
    </row>
    <row r="1246" ht="13.5" customHeight="1">
      <c r="A1246" s="8"/>
      <c r="B1246" s="8"/>
      <c r="C1246" s="8"/>
      <c r="D1246" s="8"/>
      <c r="E1246" s="14"/>
      <c r="F1246" s="8"/>
      <c r="G1246" s="8"/>
      <c r="H1246" s="8"/>
      <c r="I1246" s="8"/>
      <c r="J1246" s="8"/>
      <c r="K1246" s="8"/>
      <c r="L1246" s="17"/>
      <c r="M1246" s="17"/>
      <c r="N1246" s="18"/>
      <c r="O1246" s="19"/>
      <c r="P1246" s="7"/>
      <c r="Q1246" s="7"/>
      <c r="R1246" s="7"/>
      <c r="S1246" s="17"/>
    </row>
    <row r="1247" ht="13.5" customHeight="1">
      <c r="A1247" s="8"/>
      <c r="B1247" s="8"/>
      <c r="C1247" s="8"/>
      <c r="D1247" s="8"/>
      <c r="E1247" s="14"/>
      <c r="F1247" s="8"/>
      <c r="G1247" s="8"/>
      <c r="H1247" s="8"/>
      <c r="I1247" s="8"/>
      <c r="J1247" s="8"/>
      <c r="K1247" s="8"/>
      <c r="L1247" s="17"/>
      <c r="M1247" s="17"/>
      <c r="N1247" s="18"/>
      <c r="O1247" s="19"/>
      <c r="P1247" s="7"/>
      <c r="Q1247" s="7"/>
      <c r="R1247" s="7"/>
      <c r="S1247" s="17"/>
    </row>
    <row r="1248" ht="13.5" customHeight="1">
      <c r="A1248" s="8"/>
      <c r="B1248" s="8"/>
      <c r="C1248" s="8"/>
      <c r="D1248" s="8"/>
      <c r="E1248" s="14"/>
      <c r="F1248" s="8"/>
      <c r="G1248" s="8"/>
      <c r="H1248" s="8"/>
      <c r="I1248" s="8"/>
      <c r="J1248" s="8"/>
      <c r="K1248" s="8"/>
      <c r="L1248" s="17"/>
      <c r="M1248" s="17"/>
      <c r="N1248" s="18"/>
      <c r="O1248" s="19"/>
      <c r="P1248" s="7"/>
      <c r="Q1248" s="7"/>
      <c r="R1248" s="7"/>
      <c r="S1248" s="17"/>
    </row>
    <row r="1249" ht="13.5" customHeight="1">
      <c r="A1249" s="8"/>
      <c r="B1249" s="8"/>
      <c r="C1249" s="8"/>
      <c r="D1249" s="8"/>
      <c r="E1249" s="14"/>
      <c r="F1249" s="8"/>
      <c r="G1249" s="8"/>
      <c r="H1249" s="8"/>
      <c r="I1249" s="8"/>
      <c r="J1249" s="8"/>
      <c r="K1249" s="8"/>
      <c r="L1249" s="17"/>
      <c r="M1249" s="17"/>
      <c r="N1249" s="18"/>
      <c r="O1249" s="19"/>
      <c r="P1249" s="7"/>
      <c r="Q1249" s="7"/>
      <c r="R1249" s="7"/>
      <c r="S1249" s="17"/>
    </row>
    <row r="1250" ht="13.5" customHeight="1">
      <c r="A1250" s="8"/>
      <c r="B1250" s="8"/>
      <c r="C1250" s="8"/>
      <c r="D1250" s="8"/>
      <c r="E1250" s="14"/>
      <c r="F1250" s="8"/>
      <c r="G1250" s="8"/>
      <c r="H1250" s="8"/>
      <c r="I1250" s="8"/>
      <c r="J1250" s="8"/>
      <c r="K1250" s="8"/>
      <c r="L1250" s="17"/>
      <c r="M1250" s="17"/>
      <c r="N1250" s="18"/>
      <c r="O1250" s="19"/>
      <c r="P1250" s="7"/>
      <c r="Q1250" s="7"/>
      <c r="R1250" s="7"/>
      <c r="S1250" s="17"/>
    </row>
    <row r="1251" ht="13.5" customHeight="1">
      <c r="A1251" s="8"/>
      <c r="B1251" s="8"/>
      <c r="C1251" s="8"/>
      <c r="D1251" s="8"/>
      <c r="E1251" s="14"/>
      <c r="F1251" s="8"/>
      <c r="G1251" s="8"/>
      <c r="H1251" s="8"/>
      <c r="I1251" s="8"/>
      <c r="J1251" s="8"/>
      <c r="K1251" s="8"/>
      <c r="L1251" s="17"/>
      <c r="M1251" s="17"/>
      <c r="N1251" s="18"/>
      <c r="O1251" s="19"/>
      <c r="P1251" s="7"/>
      <c r="Q1251" s="7"/>
      <c r="R1251" s="7"/>
      <c r="S1251" s="17"/>
    </row>
    <row r="1252" ht="13.5" customHeight="1">
      <c r="A1252" s="8"/>
      <c r="B1252" s="8"/>
      <c r="C1252" s="8"/>
      <c r="D1252" s="8"/>
      <c r="E1252" s="14"/>
      <c r="F1252" s="8"/>
      <c r="G1252" s="8"/>
      <c r="H1252" s="8"/>
      <c r="I1252" s="8"/>
      <c r="J1252" s="8"/>
      <c r="K1252" s="8"/>
      <c r="L1252" s="17"/>
      <c r="M1252" s="17"/>
      <c r="N1252" s="18"/>
      <c r="O1252" s="19"/>
      <c r="P1252" s="7"/>
      <c r="Q1252" s="7"/>
      <c r="R1252" s="7"/>
      <c r="S1252" s="17"/>
    </row>
    <row r="1253" ht="13.5" customHeight="1">
      <c r="A1253" s="8"/>
      <c r="B1253" s="8"/>
      <c r="C1253" s="8"/>
      <c r="D1253" s="8"/>
      <c r="E1253" s="14"/>
      <c r="F1253" s="8"/>
      <c r="G1253" s="8"/>
      <c r="H1253" s="8"/>
      <c r="I1253" s="8"/>
      <c r="J1253" s="8"/>
      <c r="K1253" s="8"/>
      <c r="L1253" s="17"/>
      <c r="M1253" s="17"/>
      <c r="N1253" s="18"/>
      <c r="O1253" s="19"/>
      <c r="P1253" s="7"/>
      <c r="Q1253" s="7"/>
      <c r="R1253" s="7"/>
      <c r="S1253" s="17"/>
    </row>
    <row r="1254" ht="13.5" customHeight="1">
      <c r="A1254" s="8"/>
      <c r="B1254" s="8"/>
      <c r="C1254" s="8"/>
      <c r="D1254" s="8"/>
      <c r="E1254" s="14"/>
      <c r="F1254" s="8"/>
      <c r="G1254" s="8"/>
      <c r="H1254" s="8"/>
      <c r="I1254" s="8"/>
      <c r="J1254" s="8"/>
      <c r="K1254" s="8"/>
      <c r="L1254" s="17"/>
      <c r="M1254" s="17"/>
      <c r="N1254" s="18"/>
      <c r="O1254" s="19"/>
      <c r="P1254" s="7"/>
      <c r="Q1254" s="7"/>
      <c r="R1254" s="7"/>
      <c r="S1254" s="17"/>
    </row>
    <row r="1255" ht="13.5" customHeight="1">
      <c r="A1255" s="8"/>
      <c r="B1255" s="8"/>
      <c r="C1255" s="8"/>
      <c r="D1255" s="8"/>
      <c r="E1255" s="14"/>
      <c r="F1255" s="8"/>
      <c r="G1255" s="8"/>
      <c r="H1255" s="8"/>
      <c r="I1255" s="8"/>
      <c r="J1255" s="8"/>
      <c r="K1255" s="8"/>
      <c r="L1255" s="17"/>
      <c r="M1255" s="17"/>
      <c r="N1255" s="18"/>
      <c r="O1255" s="19"/>
      <c r="P1255" s="7"/>
      <c r="Q1255" s="7"/>
      <c r="R1255" s="7"/>
      <c r="S1255" s="17"/>
    </row>
    <row r="1256" ht="13.5" customHeight="1">
      <c r="A1256" s="8"/>
      <c r="B1256" s="8"/>
      <c r="C1256" s="8"/>
      <c r="D1256" s="8"/>
      <c r="E1256" s="14"/>
      <c r="F1256" s="8"/>
      <c r="G1256" s="8"/>
      <c r="H1256" s="8"/>
      <c r="I1256" s="8"/>
      <c r="J1256" s="8"/>
      <c r="K1256" s="8"/>
      <c r="L1256" s="17"/>
      <c r="M1256" s="17"/>
      <c r="N1256" s="18"/>
      <c r="O1256" s="19"/>
      <c r="P1256" s="7"/>
      <c r="Q1256" s="7"/>
      <c r="R1256" s="7"/>
      <c r="S1256" s="17"/>
    </row>
    <row r="1257" ht="13.5" customHeight="1">
      <c r="A1257" s="8"/>
      <c r="B1257" s="8"/>
      <c r="C1257" s="8"/>
      <c r="D1257" s="8"/>
      <c r="E1257" s="14"/>
      <c r="F1257" s="8"/>
      <c r="G1257" s="8"/>
      <c r="H1257" s="8"/>
      <c r="I1257" s="8"/>
      <c r="J1257" s="8"/>
      <c r="K1257" s="8"/>
      <c r="L1257" s="17"/>
      <c r="M1257" s="17"/>
      <c r="N1257" s="18"/>
      <c r="O1257" s="19"/>
      <c r="P1257" s="7"/>
      <c r="Q1257" s="7"/>
      <c r="R1257" s="7"/>
      <c r="S1257" s="17"/>
    </row>
    <row r="1258" ht="13.5" customHeight="1">
      <c r="A1258" s="8"/>
      <c r="B1258" s="8"/>
      <c r="C1258" s="8"/>
      <c r="D1258" s="8"/>
      <c r="E1258" s="14"/>
      <c r="F1258" s="8"/>
      <c r="G1258" s="8"/>
      <c r="H1258" s="8"/>
      <c r="I1258" s="8"/>
      <c r="J1258" s="8"/>
      <c r="K1258" s="8"/>
      <c r="L1258" s="17"/>
      <c r="M1258" s="17"/>
      <c r="N1258" s="18"/>
      <c r="O1258" s="19"/>
      <c r="P1258" s="7"/>
      <c r="Q1258" s="7"/>
      <c r="R1258" s="7"/>
      <c r="S1258" s="17"/>
    </row>
    <row r="1259" ht="13.5" customHeight="1">
      <c r="A1259" s="8"/>
      <c r="B1259" s="8"/>
      <c r="C1259" s="8"/>
      <c r="D1259" s="8"/>
      <c r="E1259" s="14"/>
      <c r="F1259" s="8"/>
      <c r="G1259" s="8"/>
      <c r="H1259" s="8"/>
      <c r="I1259" s="8"/>
      <c r="J1259" s="8"/>
      <c r="K1259" s="8"/>
      <c r="L1259" s="17"/>
      <c r="M1259" s="17"/>
      <c r="N1259" s="18"/>
      <c r="O1259" s="19"/>
      <c r="P1259" s="7"/>
      <c r="Q1259" s="7"/>
      <c r="R1259" s="7"/>
      <c r="S1259" s="17"/>
    </row>
    <row r="1260" ht="13.5" customHeight="1">
      <c r="A1260" s="8"/>
      <c r="B1260" s="8"/>
      <c r="C1260" s="8"/>
      <c r="D1260" s="8"/>
      <c r="E1260" s="14"/>
      <c r="F1260" s="8"/>
      <c r="G1260" s="8"/>
      <c r="H1260" s="8"/>
      <c r="I1260" s="8"/>
      <c r="J1260" s="8"/>
      <c r="K1260" s="8"/>
      <c r="L1260" s="17"/>
      <c r="M1260" s="17"/>
      <c r="N1260" s="18"/>
      <c r="O1260" s="19"/>
      <c r="P1260" s="7"/>
      <c r="Q1260" s="7"/>
      <c r="R1260" s="7"/>
      <c r="S1260" s="17"/>
    </row>
    <row r="1261" ht="13.5" customHeight="1">
      <c r="A1261" s="8"/>
      <c r="B1261" s="8"/>
      <c r="C1261" s="8"/>
      <c r="D1261" s="8"/>
      <c r="E1261" s="14"/>
      <c r="F1261" s="8"/>
      <c r="G1261" s="8"/>
      <c r="H1261" s="8"/>
      <c r="I1261" s="8"/>
      <c r="J1261" s="8"/>
      <c r="K1261" s="8"/>
      <c r="L1261" s="17"/>
      <c r="M1261" s="17"/>
      <c r="N1261" s="18"/>
      <c r="O1261" s="19"/>
      <c r="P1261" s="7"/>
      <c r="Q1261" s="7"/>
      <c r="R1261" s="7"/>
      <c r="S1261" s="17"/>
    </row>
    <row r="1262" ht="13.5" customHeight="1">
      <c r="A1262" s="8"/>
      <c r="B1262" s="8"/>
      <c r="C1262" s="8"/>
      <c r="D1262" s="8"/>
      <c r="E1262" s="14"/>
      <c r="F1262" s="8"/>
      <c r="G1262" s="8"/>
      <c r="H1262" s="8"/>
      <c r="I1262" s="8"/>
      <c r="J1262" s="8"/>
      <c r="K1262" s="8"/>
      <c r="L1262" s="17"/>
      <c r="M1262" s="17"/>
      <c r="N1262" s="18"/>
      <c r="O1262" s="19"/>
      <c r="P1262" s="7"/>
      <c r="Q1262" s="7"/>
      <c r="R1262" s="7"/>
      <c r="S1262" s="17"/>
    </row>
    <row r="1263" ht="13.5" customHeight="1">
      <c r="A1263" s="8"/>
      <c r="B1263" s="8"/>
      <c r="C1263" s="8"/>
      <c r="D1263" s="8"/>
      <c r="E1263" s="14"/>
      <c r="F1263" s="8"/>
      <c r="G1263" s="8"/>
      <c r="H1263" s="8"/>
      <c r="I1263" s="8"/>
      <c r="J1263" s="8"/>
      <c r="K1263" s="8"/>
      <c r="L1263" s="17"/>
      <c r="M1263" s="17"/>
      <c r="N1263" s="18"/>
      <c r="O1263" s="19"/>
      <c r="P1263" s="7"/>
      <c r="Q1263" s="7"/>
      <c r="R1263" s="7"/>
      <c r="S1263" s="17"/>
    </row>
    <row r="1264" ht="13.5" customHeight="1">
      <c r="A1264" s="8"/>
      <c r="B1264" s="8"/>
      <c r="C1264" s="8"/>
      <c r="D1264" s="8"/>
      <c r="E1264" s="14"/>
      <c r="F1264" s="8"/>
      <c r="G1264" s="8"/>
      <c r="H1264" s="8"/>
      <c r="I1264" s="8"/>
      <c r="J1264" s="8"/>
      <c r="K1264" s="8"/>
      <c r="L1264" s="17"/>
      <c r="M1264" s="17"/>
      <c r="N1264" s="18"/>
      <c r="O1264" s="19"/>
      <c r="P1264" s="7"/>
      <c r="Q1264" s="7"/>
      <c r="R1264" s="7"/>
      <c r="S1264" s="17"/>
    </row>
    <row r="1265" ht="13.5" customHeight="1">
      <c r="A1265" s="8"/>
      <c r="B1265" s="13"/>
      <c r="C1265" s="13"/>
      <c r="D1265" s="13"/>
      <c r="E1265" s="14"/>
      <c r="F1265" s="13"/>
      <c r="G1265" s="8"/>
      <c r="H1265" s="8"/>
      <c r="I1265" s="8"/>
      <c r="J1265" s="8"/>
      <c r="K1265" s="13"/>
      <c r="L1265" s="8"/>
      <c r="M1265" s="17"/>
      <c r="N1265" s="18"/>
      <c r="O1265" s="19"/>
      <c r="P1265" s="7"/>
      <c r="Q1265" s="7"/>
      <c r="R1265" s="7"/>
      <c r="S1265" s="17"/>
    </row>
    <row r="1266" ht="13.5" customHeight="1">
      <c r="A1266" s="8"/>
      <c r="B1266" s="13"/>
      <c r="C1266" s="13"/>
      <c r="D1266" s="8"/>
      <c r="E1266" s="14"/>
      <c r="F1266" s="8"/>
      <c r="G1266" s="8"/>
      <c r="H1266" s="8"/>
      <c r="I1266" s="8"/>
      <c r="J1266" s="8"/>
      <c r="K1266" s="13"/>
      <c r="L1266" s="8"/>
      <c r="M1266" s="17"/>
      <c r="N1266" s="18"/>
      <c r="O1266" s="19"/>
      <c r="P1266" s="7"/>
      <c r="Q1266" s="7"/>
      <c r="R1266" s="7"/>
      <c r="S1266" s="17"/>
    </row>
  </sheetData>
  <autoFilter ref="$A$1:$S$1266"/>
  <dataValidations>
    <dataValidation type="list" allowBlank="1" showErrorMessage="1" sqref="I2:I193 I204:I358 I360:I557 I559:I594 I600:I605 I607:I613 I615:I626 I628:I991">
      <formula1>"ADMIN &amp; FIN,NEGOCIOS,COMERCIAL,OPERACIONES,ACCIONISTA"</formula1>
    </dataValidation>
    <dataValidation type="list" allowBlank="1" showErrorMessage="1" sqref="J2:J193 J204:J264 J268 J270:J358 J360:J557 J559:J594 J600:J605 J607:J613 J615:J626 J628:J991">
      <formula1>"ATC,ADV,ADT,NOC,CONTACT CENTER,TELEVENTAS,TI,ALMACEN TI,JEFATURA,FINANZAS,RRHH,MARKETING,LOGISTICA,PROYECTOS,CABECERA,DATA CENTER,TECNICO,CADISTA,CAPACITADOR,OFICINA,CONTABILIDAD,ANALISTA,RECLUTADOR,VIGILANTE,TELESUR,ACCIONISTA"</formula1>
    </dataValidation>
    <dataValidation type="list" allowBlank="1" showErrorMessage="1" sqref="J265:J267 J269">
      <formula1>"ATC,ADV,ADT,NOC,CONTACT CENTER,TELEVENTAS,TI,ALMACEN TI,JEFATURA,FINANZAS,RRHH,MARKETING,LOGISTICA,PROYECTOS,CABECERA,DATA CENTER,TECNICO,CADISTA,CAPACITADOR,OFICINA,CONTABILIDAD,ANALISTA,RECLUTADOR,VIGILANTE,TELESUR,ACCIONISTA,ASISTENTE"</formula1>
    </dataValidation>
    <dataValidation type="list" allowBlank="1" showErrorMessage="1" sqref="H2:H193 H204:H358 H360:H557 H559:H594 H600:H605 H607:H613 H615:H626 H628:H1060">
      <formula1>"ILO,CAM,MOLL,LIM,ARE,TAC,MOQ"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9.71"/>
    <col customWidth="1" min="3" max="3" width="19.0"/>
    <col customWidth="1" min="4" max="5" width="13.86"/>
    <col customWidth="1" min="6" max="6" width="33.43"/>
    <col customWidth="1" min="7" max="7" width="22.29"/>
    <col customWidth="1" min="8" max="8" width="8.57"/>
    <col customWidth="1" min="9" max="9" width="15.0"/>
    <col customWidth="1" min="10" max="10" width="16.29"/>
    <col customWidth="1" min="11" max="11" width="18.57"/>
    <col customWidth="1" min="12" max="12" width="14.57"/>
    <col customWidth="1" min="13" max="13" width="18.57"/>
    <col customWidth="1" min="14" max="14" width="17.0"/>
    <col customWidth="1" min="15" max="15" width="16.57"/>
  </cols>
  <sheetData>
    <row r="1">
      <c r="A1" s="85" t="s">
        <v>2530</v>
      </c>
      <c r="B1" s="85" t="s">
        <v>2531</v>
      </c>
      <c r="C1" s="85" t="s">
        <v>2532</v>
      </c>
      <c r="D1" s="86" t="s">
        <v>2533</v>
      </c>
      <c r="E1" s="86" t="s">
        <v>2534</v>
      </c>
      <c r="F1" s="85" t="s">
        <v>2535</v>
      </c>
      <c r="G1" s="85" t="s">
        <v>2536</v>
      </c>
      <c r="H1" s="85" t="s">
        <v>2537</v>
      </c>
      <c r="I1" s="85" t="s">
        <v>2538</v>
      </c>
      <c r="J1" s="87" t="s">
        <v>2539</v>
      </c>
      <c r="K1" s="86" t="s">
        <v>2540</v>
      </c>
      <c r="L1" s="88" t="s">
        <v>2541</v>
      </c>
      <c r="M1" s="85" t="s">
        <v>2542</v>
      </c>
      <c r="N1" s="89" t="s">
        <v>2543</v>
      </c>
      <c r="O1" s="85" t="s">
        <v>2544</v>
      </c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</row>
    <row r="2">
      <c r="A2" s="91"/>
      <c r="B2" s="91"/>
      <c r="C2" s="92" t="s">
        <v>2545</v>
      </c>
      <c r="D2" s="92" t="s">
        <v>223</v>
      </c>
      <c r="E2" s="92">
        <v>711.0</v>
      </c>
      <c r="F2" s="92" t="s">
        <v>2546</v>
      </c>
      <c r="G2" s="92" t="s">
        <v>2547</v>
      </c>
      <c r="H2" s="93">
        <f t="shared" ref="H2:H13" si="1">IF(K2&lt;&gt;"",0,1)</f>
        <v>1</v>
      </c>
      <c r="I2" s="92" t="s">
        <v>2548</v>
      </c>
      <c r="J2" s="94">
        <v>45402.0</v>
      </c>
      <c r="K2" s="94"/>
      <c r="L2" s="92">
        <v>4.0</v>
      </c>
      <c r="M2" s="95" t="str">
        <f t="shared" ref="M2:M13" si="2">IF(K2&lt;&gt;"",EDATE(K2,L2),"")</f>
        <v/>
      </c>
      <c r="N2" s="96">
        <v>165.0</v>
      </c>
      <c r="O2" s="92" t="s">
        <v>2549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</row>
    <row r="3">
      <c r="A3" s="91"/>
      <c r="B3" s="91"/>
      <c r="C3" s="92" t="s">
        <v>2545</v>
      </c>
      <c r="D3" s="92" t="s">
        <v>223</v>
      </c>
      <c r="E3" s="92">
        <v>711.0</v>
      </c>
      <c r="F3" s="92" t="s">
        <v>2550</v>
      </c>
      <c r="G3" s="92" t="s">
        <v>2547</v>
      </c>
      <c r="H3" s="93">
        <f t="shared" si="1"/>
        <v>0</v>
      </c>
      <c r="I3" s="92" t="s">
        <v>2548</v>
      </c>
      <c r="J3" s="94">
        <v>45402.0</v>
      </c>
      <c r="K3" s="94">
        <v>45407.0</v>
      </c>
      <c r="L3" s="92">
        <v>6.0</v>
      </c>
      <c r="M3" s="95">
        <f t="shared" si="2"/>
        <v>45590</v>
      </c>
      <c r="N3" s="96">
        <v>146.0</v>
      </c>
      <c r="O3" s="92" t="s">
        <v>2549</v>
      </c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</row>
    <row r="4">
      <c r="A4" s="91"/>
      <c r="B4" s="91"/>
      <c r="C4" s="92" t="s">
        <v>2545</v>
      </c>
      <c r="D4" s="92" t="s">
        <v>223</v>
      </c>
      <c r="E4" s="92">
        <v>711.0</v>
      </c>
      <c r="F4" s="92" t="s">
        <v>2551</v>
      </c>
      <c r="G4" s="92" t="s">
        <v>2547</v>
      </c>
      <c r="H4" s="93">
        <f t="shared" si="1"/>
        <v>0</v>
      </c>
      <c r="I4" s="92" t="s">
        <v>2548</v>
      </c>
      <c r="J4" s="94">
        <v>45402.0</v>
      </c>
      <c r="K4" s="94">
        <v>45407.0</v>
      </c>
      <c r="L4" s="92">
        <v>6.0</v>
      </c>
      <c r="M4" s="95">
        <f t="shared" si="2"/>
        <v>45590</v>
      </c>
      <c r="N4" s="96">
        <v>146.0</v>
      </c>
      <c r="O4" s="92" t="s">
        <v>2549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</row>
    <row r="5">
      <c r="A5" s="91"/>
      <c r="B5" s="91"/>
      <c r="C5" s="92" t="s">
        <v>2545</v>
      </c>
      <c r="D5" s="92" t="s">
        <v>223</v>
      </c>
      <c r="E5" s="92">
        <v>711.0</v>
      </c>
      <c r="F5" s="92" t="s">
        <v>2552</v>
      </c>
      <c r="G5" s="92" t="s">
        <v>2547</v>
      </c>
      <c r="H5" s="93">
        <f t="shared" si="1"/>
        <v>0</v>
      </c>
      <c r="I5" s="92" t="s">
        <v>2548</v>
      </c>
      <c r="J5" s="94">
        <v>45402.0</v>
      </c>
      <c r="K5" s="94">
        <v>45407.0</v>
      </c>
      <c r="L5" s="92">
        <v>6.0</v>
      </c>
      <c r="M5" s="95">
        <f t="shared" si="2"/>
        <v>45590</v>
      </c>
      <c r="N5" s="96">
        <v>146.0</v>
      </c>
      <c r="O5" s="92" t="s">
        <v>2549</v>
      </c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>
      <c r="A6" s="91"/>
      <c r="B6" s="91"/>
      <c r="C6" s="92" t="s">
        <v>2545</v>
      </c>
      <c r="D6" s="92" t="s">
        <v>223</v>
      </c>
      <c r="E6" s="92">
        <v>711.0</v>
      </c>
      <c r="F6" s="92" t="s">
        <v>2546</v>
      </c>
      <c r="G6" s="92" t="s">
        <v>2547</v>
      </c>
      <c r="H6" s="93">
        <f t="shared" si="1"/>
        <v>1</v>
      </c>
      <c r="I6" s="92" t="s">
        <v>2548</v>
      </c>
      <c r="J6" s="94">
        <v>45402.0</v>
      </c>
      <c r="K6" s="94"/>
      <c r="L6" s="92">
        <v>4.0</v>
      </c>
      <c r="M6" s="95" t="str">
        <f t="shared" si="2"/>
        <v/>
      </c>
      <c r="N6" s="96">
        <v>165.0</v>
      </c>
      <c r="O6" s="92" t="s">
        <v>2549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</row>
    <row r="7">
      <c r="A7" s="91"/>
      <c r="B7" s="91"/>
      <c r="C7" s="92" t="s">
        <v>2545</v>
      </c>
      <c r="D7" s="92" t="s">
        <v>223</v>
      </c>
      <c r="E7" s="92">
        <v>711.0</v>
      </c>
      <c r="F7" s="92" t="s">
        <v>2550</v>
      </c>
      <c r="G7" s="92" t="s">
        <v>2547</v>
      </c>
      <c r="H7" s="93">
        <f t="shared" si="1"/>
        <v>1</v>
      </c>
      <c r="I7" s="92" t="s">
        <v>2548</v>
      </c>
      <c r="J7" s="94">
        <v>45402.0</v>
      </c>
      <c r="K7" s="94"/>
      <c r="L7" s="92">
        <v>6.0</v>
      </c>
      <c r="M7" s="95" t="str">
        <f t="shared" si="2"/>
        <v/>
      </c>
      <c r="N7" s="96">
        <v>146.0</v>
      </c>
      <c r="O7" s="92" t="s">
        <v>2549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</row>
    <row r="8">
      <c r="A8" s="91"/>
      <c r="B8" s="91"/>
      <c r="C8" s="92" t="s">
        <v>2545</v>
      </c>
      <c r="D8" s="92" t="s">
        <v>223</v>
      </c>
      <c r="E8" s="92">
        <v>711.0</v>
      </c>
      <c r="F8" s="92" t="s">
        <v>2551</v>
      </c>
      <c r="G8" s="92" t="s">
        <v>2547</v>
      </c>
      <c r="H8" s="93">
        <f t="shared" si="1"/>
        <v>1</v>
      </c>
      <c r="I8" s="92" t="s">
        <v>2548</v>
      </c>
      <c r="J8" s="94">
        <v>45402.0</v>
      </c>
      <c r="K8" s="94"/>
      <c r="L8" s="92">
        <v>6.0</v>
      </c>
      <c r="M8" s="95" t="str">
        <f t="shared" si="2"/>
        <v/>
      </c>
      <c r="N8" s="96">
        <v>146.0</v>
      </c>
      <c r="O8" s="92" t="s">
        <v>2549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>
      <c r="A9" s="91"/>
      <c r="B9" s="91"/>
      <c r="C9" s="92" t="s">
        <v>2545</v>
      </c>
      <c r="D9" s="92" t="s">
        <v>223</v>
      </c>
      <c r="E9" s="92">
        <v>711.0</v>
      </c>
      <c r="F9" s="92" t="s">
        <v>2552</v>
      </c>
      <c r="G9" s="92" t="s">
        <v>2547</v>
      </c>
      <c r="H9" s="93">
        <f t="shared" si="1"/>
        <v>1</v>
      </c>
      <c r="I9" s="92" t="s">
        <v>2548</v>
      </c>
      <c r="J9" s="94">
        <v>45402.0</v>
      </c>
      <c r="K9" s="94"/>
      <c r="L9" s="92">
        <v>6.0</v>
      </c>
      <c r="M9" s="95" t="str">
        <f t="shared" si="2"/>
        <v/>
      </c>
      <c r="N9" s="96">
        <v>146.0</v>
      </c>
      <c r="O9" s="92" t="s">
        <v>2549</v>
      </c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</row>
    <row r="10">
      <c r="A10" s="91"/>
      <c r="B10" s="91"/>
      <c r="C10" s="92" t="s">
        <v>2553</v>
      </c>
      <c r="D10" s="92" t="s">
        <v>21</v>
      </c>
      <c r="E10" s="92">
        <v>544.0</v>
      </c>
      <c r="F10" s="92" t="s">
        <v>2554</v>
      </c>
      <c r="G10" s="92" t="s">
        <v>2555</v>
      </c>
      <c r="H10" s="93">
        <f t="shared" si="1"/>
        <v>0</v>
      </c>
      <c r="I10" s="92" t="s">
        <v>2548</v>
      </c>
      <c r="J10" s="94">
        <v>45402.0</v>
      </c>
      <c r="K10" s="94">
        <v>45407.0</v>
      </c>
      <c r="L10" s="92">
        <v>2.0</v>
      </c>
      <c r="M10" s="95">
        <f t="shared" si="2"/>
        <v>45468</v>
      </c>
      <c r="N10" s="96">
        <v>36.5</v>
      </c>
      <c r="O10" s="92" t="s">
        <v>2556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</row>
    <row r="11">
      <c r="A11" s="91"/>
      <c r="B11" s="91"/>
      <c r="C11" s="92" t="s">
        <v>2553</v>
      </c>
      <c r="D11" s="92" t="s">
        <v>21</v>
      </c>
      <c r="E11" s="92">
        <v>544.0</v>
      </c>
      <c r="F11" s="92" t="s">
        <v>2557</v>
      </c>
      <c r="G11" s="92" t="s">
        <v>2555</v>
      </c>
      <c r="H11" s="93">
        <f t="shared" si="1"/>
        <v>1</v>
      </c>
      <c r="I11" s="92" t="s">
        <v>2548</v>
      </c>
      <c r="J11" s="94">
        <v>45402.0</v>
      </c>
      <c r="K11" s="97"/>
      <c r="L11" s="92">
        <v>3.0</v>
      </c>
      <c r="M11" s="95" t="str">
        <f t="shared" si="2"/>
        <v/>
      </c>
      <c r="N11" s="96">
        <v>36.5</v>
      </c>
      <c r="O11" s="92" t="s">
        <v>2556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</row>
    <row r="12">
      <c r="A12" s="91"/>
      <c r="B12" s="91"/>
      <c r="C12" s="92" t="s">
        <v>2553</v>
      </c>
      <c r="D12" s="92" t="s">
        <v>21</v>
      </c>
      <c r="E12" s="92">
        <v>544.0</v>
      </c>
      <c r="F12" s="92" t="s">
        <v>2558</v>
      </c>
      <c r="G12" s="92" t="s">
        <v>2555</v>
      </c>
      <c r="H12" s="93">
        <f t="shared" si="1"/>
        <v>1</v>
      </c>
      <c r="I12" s="92" t="s">
        <v>2548</v>
      </c>
      <c r="J12" s="94">
        <v>45402.0</v>
      </c>
      <c r="K12" s="97"/>
      <c r="L12" s="92">
        <v>3.0</v>
      </c>
      <c r="M12" s="95" t="str">
        <f t="shared" si="2"/>
        <v/>
      </c>
      <c r="N12" s="96">
        <v>36.5</v>
      </c>
      <c r="O12" s="92" t="s">
        <v>2556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>
      <c r="A13" s="91"/>
      <c r="B13" s="91"/>
      <c r="C13" s="92" t="s">
        <v>2553</v>
      </c>
      <c r="D13" s="92" t="s">
        <v>21</v>
      </c>
      <c r="E13" s="92">
        <v>544.0</v>
      </c>
      <c r="F13" s="92" t="s">
        <v>2559</v>
      </c>
      <c r="G13" s="92" t="s">
        <v>2555</v>
      </c>
      <c r="H13" s="93">
        <f t="shared" si="1"/>
        <v>1</v>
      </c>
      <c r="I13" s="92" t="s">
        <v>2548</v>
      </c>
      <c r="J13" s="94">
        <v>45402.0</v>
      </c>
      <c r="K13" s="97"/>
      <c r="L13" s="92">
        <v>3.0</v>
      </c>
      <c r="M13" s="95" t="str">
        <f t="shared" si="2"/>
        <v/>
      </c>
      <c r="N13" s="96">
        <v>36.5</v>
      </c>
      <c r="O13" s="92" t="s">
        <v>2556</v>
      </c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</row>
    <row r="14">
      <c r="A14" s="91"/>
      <c r="B14" s="91"/>
      <c r="C14" s="91"/>
      <c r="D14" s="91"/>
      <c r="E14" s="91"/>
      <c r="F14" s="91"/>
      <c r="G14" s="91"/>
      <c r="H14" s="98"/>
      <c r="I14" s="91"/>
      <c r="J14" s="97"/>
      <c r="K14" s="97"/>
      <c r="L14" s="99"/>
      <c r="M14" s="100"/>
      <c r="N14" s="101"/>
      <c r="O14" s="91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</row>
    <row r="15">
      <c r="A15" s="91"/>
      <c r="B15" s="91"/>
      <c r="C15" s="91"/>
      <c r="D15" s="91"/>
      <c r="E15" s="91"/>
      <c r="F15" s="91"/>
      <c r="G15" s="91"/>
      <c r="H15" s="98"/>
      <c r="I15" s="91"/>
      <c r="J15" s="97"/>
      <c r="K15" s="92"/>
      <c r="L15" s="99"/>
      <c r="M15" s="100"/>
      <c r="N15" s="101"/>
      <c r="O15" s="91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</row>
    <row r="16" ht="14.25" customHeight="1">
      <c r="A16" s="91"/>
      <c r="B16" s="102"/>
      <c r="C16" s="103" t="s">
        <v>2560</v>
      </c>
      <c r="D16" s="103" t="s">
        <v>2561</v>
      </c>
      <c r="E16" s="103" t="s">
        <v>2562</v>
      </c>
      <c r="F16" s="104" t="s">
        <v>33</v>
      </c>
      <c r="G16" s="103" t="s">
        <v>2563</v>
      </c>
      <c r="H16" s="103" t="s">
        <v>2564</v>
      </c>
      <c r="I16" s="103" t="s">
        <v>2457</v>
      </c>
      <c r="J16" s="103" t="s">
        <v>261</v>
      </c>
      <c r="K16" s="103" t="s">
        <v>2565</v>
      </c>
      <c r="L16" s="105"/>
      <c r="M16" s="106"/>
      <c r="N16" s="107"/>
      <c r="O16" s="105"/>
      <c r="P16" s="105"/>
      <c r="Q16" s="106"/>
      <c r="R16" s="108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</row>
    <row r="17" ht="14.25" customHeight="1">
      <c r="A17" s="91"/>
      <c r="B17" s="109"/>
      <c r="C17" s="110" t="s">
        <v>2560</v>
      </c>
      <c r="D17" s="110" t="s">
        <v>2561</v>
      </c>
      <c r="E17" s="110" t="s">
        <v>2566</v>
      </c>
      <c r="F17" s="111" t="s">
        <v>33</v>
      </c>
      <c r="G17" s="110" t="s">
        <v>2567</v>
      </c>
      <c r="H17" s="110" t="s">
        <v>2564</v>
      </c>
      <c r="I17" s="110" t="s">
        <v>2457</v>
      </c>
      <c r="J17" s="110" t="s">
        <v>261</v>
      </c>
      <c r="K17" s="110" t="s">
        <v>2565</v>
      </c>
      <c r="L17" s="112"/>
      <c r="M17" s="113"/>
      <c r="N17" s="114"/>
      <c r="O17" s="112"/>
      <c r="P17" s="112"/>
      <c r="Q17" s="113"/>
      <c r="R17" s="115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</row>
    <row r="18" ht="14.25" customHeight="1">
      <c r="A18" s="91"/>
      <c r="B18" s="102"/>
      <c r="C18" s="103" t="s">
        <v>2560</v>
      </c>
      <c r="D18" s="103" t="s">
        <v>2561</v>
      </c>
      <c r="E18" s="103" t="s">
        <v>2568</v>
      </c>
      <c r="F18" s="104" t="s">
        <v>33</v>
      </c>
      <c r="G18" s="103" t="s">
        <v>2569</v>
      </c>
      <c r="H18" s="103" t="s">
        <v>2564</v>
      </c>
      <c r="I18" s="103" t="s">
        <v>2457</v>
      </c>
      <c r="J18" s="103" t="s">
        <v>261</v>
      </c>
      <c r="K18" s="103" t="s">
        <v>2565</v>
      </c>
      <c r="L18" s="105"/>
      <c r="M18" s="106"/>
      <c r="N18" s="107"/>
      <c r="O18" s="105"/>
      <c r="P18" s="105"/>
      <c r="Q18" s="106"/>
      <c r="R18" s="108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</row>
    <row r="19" ht="14.25" customHeight="1">
      <c r="A19" s="91"/>
      <c r="B19" s="109"/>
      <c r="C19" s="110" t="s">
        <v>2560</v>
      </c>
      <c r="D19" s="110" t="s">
        <v>2561</v>
      </c>
      <c r="E19" s="110" t="s">
        <v>2570</v>
      </c>
      <c r="F19" s="111" t="s">
        <v>33</v>
      </c>
      <c r="G19" s="110" t="s">
        <v>2571</v>
      </c>
      <c r="H19" s="110" t="s">
        <v>2564</v>
      </c>
      <c r="I19" s="110" t="s">
        <v>2457</v>
      </c>
      <c r="J19" s="110" t="s">
        <v>261</v>
      </c>
      <c r="K19" s="110" t="s">
        <v>2565</v>
      </c>
      <c r="L19" s="112"/>
      <c r="M19" s="113"/>
      <c r="N19" s="114"/>
      <c r="O19" s="112"/>
      <c r="P19" s="112"/>
      <c r="Q19" s="113"/>
      <c r="R19" s="115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</row>
    <row r="20">
      <c r="A20" s="91"/>
      <c r="B20" s="116"/>
      <c r="C20" s="117" t="s">
        <v>2572</v>
      </c>
      <c r="D20" s="117" t="s">
        <v>2573</v>
      </c>
      <c r="E20" s="118"/>
      <c r="F20" s="117" t="s">
        <v>2574</v>
      </c>
      <c r="G20" s="118"/>
      <c r="H20" s="119"/>
      <c r="I20" s="118"/>
      <c r="J20" s="120"/>
      <c r="K20" s="120"/>
      <c r="L20" s="119"/>
      <c r="M20" s="121"/>
      <c r="N20" s="122"/>
      <c r="O20" s="118"/>
      <c r="P20" s="123"/>
      <c r="Q20" s="123"/>
      <c r="R20" s="123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</row>
    <row r="21">
      <c r="A21" s="91"/>
      <c r="B21" s="91"/>
      <c r="C21" s="91"/>
      <c r="D21" s="91"/>
      <c r="E21" s="91"/>
      <c r="F21" s="91"/>
      <c r="G21" s="91"/>
      <c r="H21" s="98"/>
      <c r="I21" s="91"/>
      <c r="J21" s="97"/>
      <c r="K21" s="97"/>
      <c r="L21" s="99"/>
      <c r="M21" s="100"/>
      <c r="N21" s="101"/>
      <c r="O21" s="91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</row>
    <row r="22">
      <c r="A22" s="91"/>
      <c r="B22" s="91"/>
      <c r="C22" s="91"/>
      <c r="D22" s="91"/>
      <c r="E22" s="91"/>
      <c r="F22" s="91"/>
      <c r="G22" s="91"/>
      <c r="H22" s="98"/>
      <c r="I22" s="91"/>
      <c r="J22" s="97"/>
      <c r="K22" s="97"/>
      <c r="L22" s="99"/>
      <c r="M22" s="100"/>
      <c r="N22" s="101"/>
      <c r="O22" s="91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</row>
    <row r="23">
      <c r="A23" s="91"/>
      <c r="B23" s="92" t="s">
        <v>2575</v>
      </c>
      <c r="C23" s="91"/>
      <c r="D23" s="91"/>
      <c r="E23" s="91"/>
      <c r="F23" s="91"/>
      <c r="G23" s="91"/>
      <c r="H23" s="98"/>
      <c r="I23" s="91"/>
      <c r="J23" s="97"/>
      <c r="K23" s="97"/>
      <c r="L23" s="99"/>
      <c r="M23" s="100"/>
      <c r="N23" s="101"/>
      <c r="O23" s="91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</row>
    <row r="24">
      <c r="A24" s="91"/>
      <c r="B24" s="91"/>
      <c r="C24" s="91"/>
      <c r="D24" s="91"/>
      <c r="E24" s="91"/>
      <c r="F24" s="91"/>
      <c r="G24" s="91"/>
      <c r="H24" s="98"/>
      <c r="I24" s="91"/>
      <c r="J24" s="97"/>
      <c r="K24" s="97"/>
      <c r="L24" s="99"/>
      <c r="M24" s="100"/>
      <c r="N24" s="101"/>
      <c r="O24" s="91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</row>
    <row r="25">
      <c r="A25" s="91"/>
      <c r="B25" s="91"/>
      <c r="C25" s="92" t="s">
        <v>2576</v>
      </c>
      <c r="D25" s="92" t="s">
        <v>2577</v>
      </c>
      <c r="E25" s="91"/>
      <c r="F25" s="91"/>
      <c r="G25" s="91"/>
      <c r="H25" s="98"/>
      <c r="I25" s="91"/>
      <c r="J25" s="97"/>
      <c r="K25" s="97"/>
      <c r="L25" s="99"/>
      <c r="M25" s="100"/>
      <c r="N25" s="101"/>
      <c r="O25" s="91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</row>
    <row r="26">
      <c r="A26" s="91"/>
      <c r="B26" s="91"/>
      <c r="C26" s="91"/>
      <c r="D26" s="91"/>
      <c r="E26" s="91"/>
      <c r="F26" s="91"/>
      <c r="G26" s="91"/>
      <c r="H26" s="98"/>
      <c r="I26" s="91"/>
      <c r="J26" s="97"/>
      <c r="K26" s="97"/>
      <c r="L26" s="99"/>
      <c r="M26" s="100"/>
      <c r="N26" s="101"/>
      <c r="O26" s="91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</row>
    <row r="27" ht="14.25" customHeight="1">
      <c r="A27" s="91"/>
      <c r="B27" s="124" t="s">
        <v>1706</v>
      </c>
      <c r="C27" s="125" t="s">
        <v>1754</v>
      </c>
      <c r="D27" s="125" t="s">
        <v>2578</v>
      </c>
      <c r="E27" s="125" t="s">
        <v>2579</v>
      </c>
      <c r="F27" s="126"/>
      <c r="G27" s="127" t="s">
        <v>2580</v>
      </c>
      <c r="H27" s="127" t="s">
        <v>2581</v>
      </c>
      <c r="I27" s="127" t="s">
        <v>670</v>
      </c>
      <c r="J27" s="127" t="s">
        <v>2582</v>
      </c>
      <c r="K27" s="127" t="s">
        <v>675</v>
      </c>
      <c r="L27" s="127" t="s">
        <v>719</v>
      </c>
      <c r="M27" s="128">
        <v>45512.0</v>
      </c>
      <c r="N27" s="129">
        <v>30.0</v>
      </c>
      <c r="O27" s="130">
        <v>30.0</v>
      </c>
      <c r="P27" s="131"/>
      <c r="Q27" s="131"/>
      <c r="R27" s="131"/>
      <c r="S27" s="128">
        <v>37476.0</v>
      </c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</row>
    <row r="28" ht="14.25" customHeight="1">
      <c r="A28" s="91"/>
      <c r="B28" s="124" t="s">
        <v>1710</v>
      </c>
      <c r="C28" s="125" t="s">
        <v>1754</v>
      </c>
      <c r="D28" s="125" t="s">
        <v>2578</v>
      </c>
      <c r="E28" s="125" t="s">
        <v>2583</v>
      </c>
      <c r="F28" s="126"/>
      <c r="G28" s="127" t="s">
        <v>2584</v>
      </c>
      <c r="H28" s="127" t="s">
        <v>2585</v>
      </c>
      <c r="I28" s="127" t="s">
        <v>670</v>
      </c>
      <c r="J28" s="127" t="s">
        <v>27</v>
      </c>
      <c r="K28" s="127" t="s">
        <v>675</v>
      </c>
      <c r="L28" s="127" t="s">
        <v>719</v>
      </c>
      <c r="M28" s="128">
        <v>45512.0</v>
      </c>
      <c r="N28" s="129">
        <v>25.0</v>
      </c>
      <c r="O28" s="130">
        <v>25.0</v>
      </c>
      <c r="P28" s="131"/>
      <c r="Q28" s="131"/>
      <c r="R28" s="131"/>
      <c r="S28" s="128">
        <v>45513.0</v>
      </c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</row>
    <row r="29" ht="14.25" customHeight="1">
      <c r="A29" s="91"/>
      <c r="B29" s="124" t="s">
        <v>1712</v>
      </c>
      <c r="C29" s="125" t="s">
        <v>1754</v>
      </c>
      <c r="D29" s="125" t="s">
        <v>2578</v>
      </c>
      <c r="E29" s="125" t="s">
        <v>2583</v>
      </c>
      <c r="F29" s="126"/>
      <c r="G29" s="127" t="s">
        <v>2584</v>
      </c>
      <c r="H29" s="127" t="s">
        <v>2586</v>
      </c>
      <c r="I29" s="127" t="s">
        <v>670</v>
      </c>
      <c r="J29" s="127" t="s">
        <v>261</v>
      </c>
      <c r="K29" s="127" t="s">
        <v>675</v>
      </c>
      <c r="L29" s="127" t="s">
        <v>719</v>
      </c>
      <c r="M29" s="128">
        <v>45512.0</v>
      </c>
      <c r="N29" s="129">
        <v>25.0</v>
      </c>
      <c r="O29" s="130">
        <v>25.0</v>
      </c>
      <c r="P29" s="131"/>
      <c r="Q29" s="131"/>
      <c r="R29" s="131"/>
      <c r="S29" s="128">
        <v>45513.0</v>
      </c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</row>
    <row r="30" ht="14.25" customHeight="1">
      <c r="A30" s="91"/>
      <c r="B30" s="124" t="s">
        <v>1714</v>
      </c>
      <c r="C30" s="125" t="s">
        <v>1754</v>
      </c>
      <c r="D30" s="125" t="s">
        <v>2578</v>
      </c>
      <c r="E30" s="125" t="s">
        <v>2583</v>
      </c>
      <c r="F30" s="126"/>
      <c r="G30" s="127" t="s">
        <v>2584</v>
      </c>
      <c r="H30" s="127" t="s">
        <v>2587</v>
      </c>
      <c r="I30" s="127" t="s">
        <v>670</v>
      </c>
      <c r="J30" s="127" t="s">
        <v>294</v>
      </c>
      <c r="K30" s="127" t="s">
        <v>675</v>
      </c>
      <c r="L30" s="127" t="s">
        <v>719</v>
      </c>
      <c r="M30" s="128">
        <v>45512.0</v>
      </c>
      <c r="N30" s="129">
        <v>25.0</v>
      </c>
      <c r="O30" s="130">
        <v>25.0</v>
      </c>
      <c r="P30" s="131"/>
      <c r="Q30" s="131"/>
      <c r="R30" s="131"/>
      <c r="S30" s="128">
        <v>45526.0</v>
      </c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</row>
    <row r="31">
      <c r="A31" s="91"/>
      <c r="B31" s="91"/>
      <c r="C31" s="91"/>
      <c r="D31" s="91"/>
      <c r="E31" s="91"/>
      <c r="F31" s="91"/>
      <c r="G31" s="91"/>
      <c r="H31" s="98"/>
      <c r="I31" s="91"/>
      <c r="J31" s="97"/>
      <c r="K31" s="97"/>
      <c r="L31" s="99"/>
      <c r="M31" s="100"/>
      <c r="N31" s="101"/>
      <c r="O31" s="91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</row>
    <row r="32" ht="13.5" customHeight="1">
      <c r="A32" s="91"/>
      <c r="B32" s="132" t="s">
        <v>33</v>
      </c>
      <c r="C32" s="133" t="s">
        <v>2588</v>
      </c>
      <c r="D32" s="133" t="s">
        <v>2561</v>
      </c>
      <c r="E32" s="133" t="s">
        <v>2589</v>
      </c>
      <c r="F32" s="134" t="s">
        <v>33</v>
      </c>
      <c r="G32" s="133" t="s">
        <v>2590</v>
      </c>
      <c r="H32" s="133" t="s">
        <v>294</v>
      </c>
      <c r="I32" s="133" t="s">
        <v>259</v>
      </c>
      <c r="J32" s="132"/>
      <c r="K32" s="132" t="s">
        <v>261</v>
      </c>
      <c r="L32" s="133" t="s">
        <v>29</v>
      </c>
      <c r="M32" s="135"/>
      <c r="N32" s="135"/>
      <c r="O32" s="136"/>
      <c r="P32" s="137"/>
      <c r="Q32" s="132"/>
      <c r="R32" s="132"/>
      <c r="S32" s="132"/>
      <c r="T32" s="135"/>
      <c r="U32" s="90"/>
      <c r="V32" s="90"/>
      <c r="W32" s="90"/>
      <c r="X32" s="90"/>
      <c r="Y32" s="90"/>
      <c r="Z32" s="90"/>
      <c r="AA32" s="90"/>
      <c r="AB32" s="90"/>
      <c r="AC32" s="90"/>
      <c r="AD32" s="90"/>
    </row>
    <row r="33" ht="13.5" customHeight="1">
      <c r="A33" s="91"/>
      <c r="B33" s="132" t="s">
        <v>33</v>
      </c>
      <c r="C33" s="133" t="s">
        <v>2588</v>
      </c>
      <c r="D33" s="133" t="s">
        <v>2561</v>
      </c>
      <c r="E33" s="133" t="s">
        <v>2591</v>
      </c>
      <c r="F33" s="134" t="s">
        <v>33</v>
      </c>
      <c r="G33" s="133" t="s">
        <v>2590</v>
      </c>
      <c r="H33" s="133" t="s">
        <v>294</v>
      </c>
      <c r="I33" s="133" t="s">
        <v>259</v>
      </c>
      <c r="J33" s="132"/>
      <c r="K33" s="132" t="s">
        <v>261</v>
      </c>
      <c r="L33" s="133" t="s">
        <v>29</v>
      </c>
      <c r="M33" s="135"/>
      <c r="N33" s="135"/>
      <c r="O33" s="136"/>
      <c r="P33" s="137"/>
      <c r="Q33" s="132"/>
      <c r="R33" s="132"/>
      <c r="S33" s="132"/>
      <c r="T33" s="135"/>
      <c r="U33" s="90"/>
      <c r="V33" s="90"/>
      <c r="W33" s="90"/>
      <c r="X33" s="90"/>
      <c r="Y33" s="90"/>
      <c r="Z33" s="90"/>
      <c r="AA33" s="90"/>
      <c r="AB33" s="90"/>
      <c r="AC33" s="90"/>
      <c r="AD33" s="90"/>
    </row>
    <row r="34" ht="13.5" customHeight="1">
      <c r="A34" s="91"/>
      <c r="B34" s="132" t="s">
        <v>33</v>
      </c>
      <c r="C34" s="133" t="s">
        <v>2592</v>
      </c>
      <c r="D34" s="133" t="s">
        <v>2561</v>
      </c>
      <c r="E34" s="133" t="s">
        <v>2593</v>
      </c>
      <c r="F34" s="134" t="s">
        <v>33</v>
      </c>
      <c r="G34" s="133" t="s">
        <v>2594</v>
      </c>
      <c r="H34" s="133" t="s">
        <v>294</v>
      </c>
      <c r="I34" s="133" t="s">
        <v>259</v>
      </c>
      <c r="J34" s="132"/>
      <c r="K34" s="132" t="s">
        <v>261</v>
      </c>
      <c r="L34" s="133" t="s">
        <v>29</v>
      </c>
      <c r="M34" s="135"/>
      <c r="N34" s="135"/>
      <c r="O34" s="136"/>
      <c r="P34" s="137"/>
      <c r="Q34" s="132"/>
      <c r="R34" s="132"/>
      <c r="S34" s="132"/>
      <c r="T34" s="135"/>
      <c r="U34" s="90"/>
      <c r="V34" s="90"/>
      <c r="W34" s="90"/>
      <c r="X34" s="90"/>
      <c r="Y34" s="90"/>
      <c r="Z34" s="90"/>
      <c r="AA34" s="90"/>
      <c r="AB34" s="90"/>
      <c r="AC34" s="90"/>
      <c r="AD34" s="90"/>
    </row>
    <row r="35" ht="13.5" customHeight="1">
      <c r="A35" s="91"/>
      <c r="B35" s="132" t="s">
        <v>33</v>
      </c>
      <c r="C35" s="133" t="s">
        <v>2595</v>
      </c>
      <c r="D35" s="133" t="s">
        <v>2561</v>
      </c>
      <c r="E35" s="133" t="s">
        <v>2593</v>
      </c>
      <c r="F35" s="134" t="s">
        <v>33</v>
      </c>
      <c r="G35" s="133" t="s">
        <v>2594</v>
      </c>
      <c r="H35" s="133" t="s">
        <v>294</v>
      </c>
      <c r="I35" s="133" t="s">
        <v>259</v>
      </c>
      <c r="J35" s="132"/>
      <c r="K35" s="132" t="s">
        <v>261</v>
      </c>
      <c r="L35" s="133" t="s">
        <v>29</v>
      </c>
      <c r="M35" s="135"/>
      <c r="N35" s="135"/>
      <c r="O35" s="136"/>
      <c r="P35" s="137"/>
      <c r="Q35" s="132"/>
      <c r="R35" s="132"/>
      <c r="S35" s="132"/>
      <c r="T35" s="135"/>
      <c r="U35" s="90"/>
      <c r="V35" s="90"/>
      <c r="W35" s="90"/>
      <c r="X35" s="90"/>
      <c r="Y35" s="90"/>
      <c r="Z35" s="90"/>
      <c r="AA35" s="90"/>
      <c r="AB35" s="90"/>
      <c r="AC35" s="90"/>
      <c r="AD35" s="90"/>
    </row>
    <row r="36" ht="13.5" customHeight="1">
      <c r="A36" s="91"/>
      <c r="B36" s="132" t="s">
        <v>33</v>
      </c>
      <c r="C36" s="133" t="s">
        <v>2596</v>
      </c>
      <c r="D36" s="133" t="s">
        <v>2561</v>
      </c>
      <c r="E36" s="133" t="s">
        <v>2593</v>
      </c>
      <c r="F36" s="134" t="s">
        <v>33</v>
      </c>
      <c r="G36" s="133" t="s">
        <v>2597</v>
      </c>
      <c r="H36" s="133" t="s">
        <v>294</v>
      </c>
      <c r="I36" s="133" t="s">
        <v>259</v>
      </c>
      <c r="J36" s="132"/>
      <c r="K36" s="132" t="s">
        <v>261</v>
      </c>
      <c r="L36" s="133" t="s">
        <v>29</v>
      </c>
      <c r="M36" s="135"/>
      <c r="N36" s="135"/>
      <c r="O36" s="136"/>
      <c r="P36" s="137"/>
      <c r="Q36" s="132"/>
      <c r="R36" s="132"/>
      <c r="S36" s="132"/>
      <c r="T36" s="135"/>
      <c r="U36" s="90"/>
      <c r="V36" s="90"/>
      <c r="W36" s="90"/>
      <c r="X36" s="90"/>
      <c r="Y36" s="90"/>
      <c r="Z36" s="90"/>
      <c r="AA36" s="90"/>
      <c r="AB36" s="90"/>
      <c r="AC36" s="90"/>
      <c r="AD36" s="90"/>
    </row>
    <row r="37" ht="13.5" customHeight="1">
      <c r="A37" s="91"/>
      <c r="B37" s="132" t="s">
        <v>33</v>
      </c>
      <c r="C37" s="133" t="s">
        <v>2598</v>
      </c>
      <c r="D37" s="133" t="s">
        <v>2561</v>
      </c>
      <c r="E37" s="133" t="s">
        <v>2593</v>
      </c>
      <c r="F37" s="134" t="s">
        <v>33</v>
      </c>
      <c r="G37" s="133" t="s">
        <v>2594</v>
      </c>
      <c r="H37" s="133" t="s">
        <v>294</v>
      </c>
      <c r="I37" s="133" t="s">
        <v>259</v>
      </c>
      <c r="J37" s="132"/>
      <c r="K37" s="132" t="s">
        <v>261</v>
      </c>
      <c r="L37" s="133" t="s">
        <v>29</v>
      </c>
      <c r="M37" s="135"/>
      <c r="N37" s="135"/>
      <c r="O37" s="136"/>
      <c r="P37" s="137"/>
      <c r="Q37" s="132"/>
      <c r="R37" s="132"/>
      <c r="S37" s="132"/>
      <c r="T37" s="135"/>
      <c r="U37" s="90"/>
      <c r="V37" s="90"/>
      <c r="W37" s="90"/>
      <c r="X37" s="90"/>
      <c r="Y37" s="90"/>
      <c r="Z37" s="90"/>
      <c r="AA37" s="90"/>
      <c r="AB37" s="90"/>
      <c r="AC37" s="90"/>
      <c r="AD37" s="90"/>
    </row>
    <row r="38" ht="13.5" customHeight="1">
      <c r="A38" s="91"/>
      <c r="B38" s="132" t="s">
        <v>33</v>
      </c>
      <c r="C38" s="133" t="s">
        <v>2599</v>
      </c>
      <c r="D38" s="133" t="s">
        <v>2561</v>
      </c>
      <c r="E38" s="133" t="s">
        <v>2593</v>
      </c>
      <c r="F38" s="134" t="s">
        <v>33</v>
      </c>
      <c r="G38" s="133" t="s">
        <v>2600</v>
      </c>
      <c r="H38" s="133" t="s">
        <v>294</v>
      </c>
      <c r="I38" s="133" t="s">
        <v>259</v>
      </c>
      <c r="J38" s="132"/>
      <c r="K38" s="132" t="s">
        <v>261</v>
      </c>
      <c r="L38" s="133" t="s">
        <v>29</v>
      </c>
      <c r="M38" s="135"/>
      <c r="N38" s="135"/>
      <c r="O38" s="136"/>
      <c r="P38" s="137"/>
      <c r="Q38" s="132"/>
      <c r="R38" s="132"/>
      <c r="S38" s="132"/>
      <c r="T38" s="135"/>
      <c r="U38" s="90"/>
      <c r="V38" s="90"/>
      <c r="W38" s="90"/>
      <c r="X38" s="90"/>
      <c r="Y38" s="90"/>
      <c r="Z38" s="90"/>
      <c r="AA38" s="90"/>
      <c r="AB38" s="90"/>
      <c r="AC38" s="90"/>
      <c r="AD38" s="90"/>
    </row>
    <row r="39" ht="13.5" customHeight="1">
      <c r="A39" s="91"/>
      <c r="B39" s="132" t="s">
        <v>33</v>
      </c>
      <c r="C39" s="133" t="s">
        <v>2601</v>
      </c>
      <c r="D39" s="133" t="s">
        <v>2561</v>
      </c>
      <c r="E39" s="133" t="s">
        <v>2593</v>
      </c>
      <c r="F39" s="134" t="s">
        <v>33</v>
      </c>
      <c r="G39" s="133" t="s">
        <v>2590</v>
      </c>
      <c r="H39" s="133" t="s">
        <v>294</v>
      </c>
      <c r="I39" s="133" t="s">
        <v>259</v>
      </c>
      <c r="J39" s="132"/>
      <c r="K39" s="132" t="s">
        <v>261</v>
      </c>
      <c r="L39" s="133" t="s">
        <v>29</v>
      </c>
      <c r="M39" s="135"/>
      <c r="N39" s="135"/>
      <c r="O39" s="136"/>
      <c r="P39" s="137"/>
      <c r="Q39" s="132"/>
      <c r="R39" s="132"/>
      <c r="S39" s="132"/>
      <c r="T39" s="135"/>
      <c r="U39" s="90"/>
      <c r="V39" s="90"/>
      <c r="W39" s="90"/>
      <c r="X39" s="90"/>
      <c r="Y39" s="90"/>
      <c r="Z39" s="90"/>
      <c r="AA39" s="90"/>
      <c r="AB39" s="90"/>
      <c r="AC39" s="90"/>
      <c r="AD39" s="90"/>
    </row>
    <row r="40" ht="13.5" customHeight="1">
      <c r="A40" s="91"/>
      <c r="B40" s="132" t="s">
        <v>33</v>
      </c>
      <c r="C40" s="133" t="s">
        <v>2592</v>
      </c>
      <c r="D40" s="133" t="s">
        <v>2561</v>
      </c>
      <c r="E40" s="133" t="s">
        <v>2602</v>
      </c>
      <c r="F40" s="134" t="s">
        <v>33</v>
      </c>
      <c r="G40" s="133" t="s">
        <v>2603</v>
      </c>
      <c r="H40" s="133" t="s">
        <v>294</v>
      </c>
      <c r="I40" s="133" t="s">
        <v>259</v>
      </c>
      <c r="J40" s="132"/>
      <c r="K40" s="132" t="s">
        <v>261</v>
      </c>
      <c r="L40" s="133" t="s">
        <v>29</v>
      </c>
      <c r="M40" s="135"/>
      <c r="N40" s="135"/>
      <c r="O40" s="136"/>
      <c r="P40" s="137"/>
      <c r="Q40" s="132"/>
      <c r="R40" s="132"/>
      <c r="S40" s="132"/>
      <c r="T40" s="135"/>
      <c r="U40" s="90"/>
      <c r="V40" s="90"/>
      <c r="W40" s="90"/>
      <c r="X40" s="90"/>
      <c r="Y40" s="90"/>
      <c r="Z40" s="90"/>
      <c r="AA40" s="90"/>
      <c r="AB40" s="90"/>
      <c r="AC40" s="90"/>
      <c r="AD40" s="90"/>
    </row>
    <row r="41" ht="13.5" customHeight="1">
      <c r="A41" s="91"/>
      <c r="B41" s="132" t="s">
        <v>33</v>
      </c>
      <c r="C41" s="133" t="s">
        <v>2595</v>
      </c>
      <c r="D41" s="133" t="s">
        <v>2561</v>
      </c>
      <c r="E41" s="133" t="s">
        <v>2602</v>
      </c>
      <c r="F41" s="134" t="s">
        <v>33</v>
      </c>
      <c r="G41" s="133" t="s">
        <v>2604</v>
      </c>
      <c r="H41" s="133" t="s">
        <v>294</v>
      </c>
      <c r="I41" s="133" t="s">
        <v>259</v>
      </c>
      <c r="J41" s="132"/>
      <c r="K41" s="132" t="s">
        <v>261</v>
      </c>
      <c r="L41" s="133" t="s">
        <v>29</v>
      </c>
      <c r="M41" s="135"/>
      <c r="N41" s="135"/>
      <c r="O41" s="136"/>
      <c r="P41" s="137"/>
      <c r="Q41" s="132"/>
      <c r="R41" s="132"/>
      <c r="S41" s="132"/>
      <c r="T41" s="135"/>
      <c r="U41" s="90"/>
      <c r="V41" s="90"/>
      <c r="W41" s="90"/>
      <c r="X41" s="90"/>
      <c r="Y41" s="90"/>
      <c r="Z41" s="90"/>
      <c r="AA41" s="90"/>
      <c r="AB41" s="90"/>
      <c r="AC41" s="90"/>
      <c r="AD41" s="90"/>
    </row>
    <row r="42" ht="13.5" customHeight="1">
      <c r="A42" s="91"/>
      <c r="B42" s="132" t="s">
        <v>33</v>
      </c>
      <c r="C42" s="133" t="s">
        <v>2596</v>
      </c>
      <c r="D42" s="133" t="s">
        <v>2561</v>
      </c>
      <c r="E42" s="133" t="s">
        <v>2602</v>
      </c>
      <c r="F42" s="134" t="s">
        <v>33</v>
      </c>
      <c r="G42" s="133" t="s">
        <v>2605</v>
      </c>
      <c r="H42" s="133" t="s">
        <v>294</v>
      </c>
      <c r="I42" s="133" t="s">
        <v>259</v>
      </c>
      <c r="J42" s="132"/>
      <c r="K42" s="132" t="s">
        <v>261</v>
      </c>
      <c r="L42" s="133" t="s">
        <v>29</v>
      </c>
      <c r="M42" s="135"/>
      <c r="N42" s="135"/>
      <c r="O42" s="136"/>
      <c r="P42" s="137"/>
      <c r="Q42" s="132"/>
      <c r="R42" s="132"/>
      <c r="S42" s="132"/>
      <c r="T42" s="135"/>
      <c r="U42" s="90"/>
      <c r="V42" s="90"/>
      <c r="W42" s="90"/>
      <c r="X42" s="90"/>
      <c r="Y42" s="90"/>
      <c r="Z42" s="90"/>
      <c r="AA42" s="90"/>
      <c r="AB42" s="90"/>
      <c r="AC42" s="90"/>
      <c r="AD42" s="90"/>
    </row>
    <row r="43" ht="13.5" customHeight="1">
      <c r="A43" s="91"/>
      <c r="B43" s="132" t="s">
        <v>33</v>
      </c>
      <c r="C43" s="133" t="s">
        <v>2598</v>
      </c>
      <c r="D43" s="133" t="s">
        <v>2561</v>
      </c>
      <c r="E43" s="133" t="s">
        <v>2602</v>
      </c>
      <c r="F43" s="134" t="s">
        <v>33</v>
      </c>
      <c r="G43" s="133" t="s">
        <v>2606</v>
      </c>
      <c r="H43" s="133" t="s">
        <v>294</v>
      </c>
      <c r="I43" s="133" t="s">
        <v>259</v>
      </c>
      <c r="J43" s="132"/>
      <c r="K43" s="132" t="s">
        <v>261</v>
      </c>
      <c r="L43" s="133" t="s">
        <v>29</v>
      </c>
      <c r="M43" s="135"/>
      <c r="N43" s="135"/>
      <c r="O43" s="136"/>
      <c r="P43" s="137"/>
      <c r="Q43" s="132"/>
      <c r="R43" s="132"/>
      <c r="S43" s="132"/>
      <c r="T43" s="135"/>
      <c r="U43" s="90"/>
      <c r="V43" s="90"/>
      <c r="W43" s="90"/>
      <c r="X43" s="90"/>
      <c r="Y43" s="90"/>
      <c r="Z43" s="90"/>
      <c r="AA43" s="90"/>
      <c r="AB43" s="90"/>
      <c r="AC43" s="90"/>
      <c r="AD43" s="90"/>
    </row>
    <row r="44" ht="13.5" customHeight="1">
      <c r="A44" s="91"/>
      <c r="B44" s="132" t="s">
        <v>33</v>
      </c>
      <c r="C44" s="133" t="s">
        <v>2599</v>
      </c>
      <c r="D44" s="133" t="s">
        <v>2561</v>
      </c>
      <c r="E44" s="133" t="s">
        <v>2602</v>
      </c>
      <c r="F44" s="134" t="s">
        <v>33</v>
      </c>
      <c r="G44" s="133" t="s">
        <v>2607</v>
      </c>
      <c r="H44" s="133" t="s">
        <v>294</v>
      </c>
      <c r="I44" s="133" t="s">
        <v>259</v>
      </c>
      <c r="J44" s="132"/>
      <c r="K44" s="132" t="s">
        <v>261</v>
      </c>
      <c r="L44" s="133" t="s">
        <v>29</v>
      </c>
      <c r="M44" s="135"/>
      <c r="N44" s="135"/>
      <c r="O44" s="136"/>
      <c r="P44" s="137"/>
      <c r="Q44" s="132"/>
      <c r="R44" s="132"/>
      <c r="S44" s="132"/>
      <c r="T44" s="135"/>
      <c r="U44" s="90"/>
      <c r="V44" s="90"/>
      <c r="W44" s="90"/>
      <c r="X44" s="90"/>
      <c r="Y44" s="90"/>
      <c r="Z44" s="90"/>
      <c r="AA44" s="90"/>
      <c r="AB44" s="90"/>
      <c r="AC44" s="90"/>
      <c r="AD44" s="90"/>
    </row>
    <row r="45" ht="13.5" customHeight="1">
      <c r="A45" s="91"/>
      <c r="B45" s="132" t="s">
        <v>33</v>
      </c>
      <c r="C45" s="133" t="s">
        <v>2601</v>
      </c>
      <c r="D45" s="133" t="s">
        <v>2561</v>
      </c>
      <c r="E45" s="133" t="s">
        <v>2602</v>
      </c>
      <c r="F45" s="134" t="s">
        <v>33</v>
      </c>
      <c r="G45" s="133" t="s">
        <v>2608</v>
      </c>
      <c r="H45" s="133" t="s">
        <v>294</v>
      </c>
      <c r="I45" s="133" t="s">
        <v>259</v>
      </c>
      <c r="J45" s="132"/>
      <c r="K45" s="132" t="s">
        <v>261</v>
      </c>
      <c r="L45" s="133" t="s">
        <v>29</v>
      </c>
      <c r="M45" s="135"/>
      <c r="N45" s="135"/>
      <c r="O45" s="136"/>
      <c r="P45" s="137"/>
      <c r="Q45" s="132"/>
      <c r="R45" s="132"/>
      <c r="S45" s="132"/>
      <c r="T45" s="135"/>
      <c r="U45" s="90"/>
      <c r="V45" s="90"/>
      <c r="W45" s="90"/>
      <c r="X45" s="90"/>
      <c r="Y45" s="90"/>
      <c r="Z45" s="90"/>
      <c r="AA45" s="90"/>
      <c r="AB45" s="90"/>
      <c r="AC45" s="90"/>
      <c r="AD45" s="90"/>
    </row>
    <row r="46" ht="13.5" customHeight="1">
      <c r="A46" s="91"/>
      <c r="B46" s="132" t="s">
        <v>33</v>
      </c>
      <c r="C46" s="133" t="s">
        <v>2592</v>
      </c>
      <c r="D46" s="133" t="s">
        <v>2561</v>
      </c>
      <c r="E46" s="133" t="s">
        <v>2609</v>
      </c>
      <c r="F46" s="134" t="s">
        <v>33</v>
      </c>
      <c r="G46" s="133" t="s">
        <v>2605</v>
      </c>
      <c r="H46" s="133" t="s">
        <v>294</v>
      </c>
      <c r="I46" s="133" t="s">
        <v>259</v>
      </c>
      <c r="J46" s="132"/>
      <c r="K46" s="132" t="s">
        <v>261</v>
      </c>
      <c r="L46" s="133" t="s">
        <v>29</v>
      </c>
      <c r="M46" s="135"/>
      <c r="N46" s="135"/>
      <c r="O46" s="136"/>
      <c r="P46" s="137"/>
      <c r="Q46" s="132"/>
      <c r="R46" s="132"/>
      <c r="S46" s="132"/>
      <c r="T46" s="135"/>
      <c r="U46" s="90"/>
      <c r="V46" s="90"/>
      <c r="W46" s="90"/>
      <c r="X46" s="90"/>
      <c r="Y46" s="90"/>
      <c r="Z46" s="90"/>
      <c r="AA46" s="90"/>
      <c r="AB46" s="90"/>
      <c r="AC46" s="90"/>
      <c r="AD46" s="90"/>
    </row>
    <row r="47" ht="13.5" customHeight="1">
      <c r="A47" s="91"/>
      <c r="B47" s="132" t="s">
        <v>33</v>
      </c>
      <c r="C47" s="133" t="s">
        <v>2595</v>
      </c>
      <c r="D47" s="133" t="s">
        <v>2561</v>
      </c>
      <c r="E47" s="133" t="s">
        <v>2609</v>
      </c>
      <c r="F47" s="134" t="s">
        <v>33</v>
      </c>
      <c r="G47" s="133" t="s">
        <v>2610</v>
      </c>
      <c r="H47" s="133" t="s">
        <v>294</v>
      </c>
      <c r="I47" s="133" t="s">
        <v>259</v>
      </c>
      <c r="J47" s="132"/>
      <c r="K47" s="132" t="s">
        <v>261</v>
      </c>
      <c r="L47" s="133" t="s">
        <v>29</v>
      </c>
      <c r="M47" s="135"/>
      <c r="N47" s="135"/>
      <c r="O47" s="136"/>
      <c r="P47" s="137"/>
      <c r="Q47" s="132"/>
      <c r="R47" s="132"/>
      <c r="S47" s="132"/>
      <c r="T47" s="135"/>
      <c r="U47" s="90"/>
      <c r="V47" s="90"/>
      <c r="W47" s="90"/>
      <c r="X47" s="90"/>
      <c r="Y47" s="90"/>
      <c r="Z47" s="90"/>
      <c r="AA47" s="90"/>
      <c r="AB47" s="90"/>
      <c r="AC47" s="90"/>
      <c r="AD47" s="90"/>
    </row>
    <row r="48" ht="13.5" customHeight="1">
      <c r="A48" s="91"/>
      <c r="B48" s="132" t="s">
        <v>33</v>
      </c>
      <c r="C48" s="133" t="s">
        <v>2596</v>
      </c>
      <c r="D48" s="133" t="s">
        <v>2561</v>
      </c>
      <c r="E48" s="133" t="s">
        <v>2609</v>
      </c>
      <c r="F48" s="134" t="s">
        <v>33</v>
      </c>
      <c r="G48" s="133" t="s">
        <v>2611</v>
      </c>
      <c r="H48" s="133" t="s">
        <v>294</v>
      </c>
      <c r="I48" s="133" t="s">
        <v>259</v>
      </c>
      <c r="J48" s="132"/>
      <c r="K48" s="132" t="s">
        <v>261</v>
      </c>
      <c r="L48" s="133" t="s">
        <v>29</v>
      </c>
      <c r="M48" s="135"/>
      <c r="N48" s="135"/>
      <c r="O48" s="136"/>
      <c r="P48" s="137"/>
      <c r="Q48" s="132"/>
      <c r="R48" s="132"/>
      <c r="S48" s="132"/>
      <c r="T48" s="135"/>
      <c r="U48" s="90"/>
      <c r="V48" s="90"/>
      <c r="W48" s="90"/>
      <c r="X48" s="90"/>
      <c r="Y48" s="90"/>
      <c r="Z48" s="90"/>
      <c r="AA48" s="90"/>
      <c r="AB48" s="90"/>
      <c r="AC48" s="90"/>
      <c r="AD48" s="90"/>
    </row>
    <row r="49" ht="13.5" customHeight="1">
      <c r="A49" s="91"/>
      <c r="B49" s="132" t="s">
        <v>33</v>
      </c>
      <c r="C49" s="133" t="s">
        <v>2598</v>
      </c>
      <c r="D49" s="133" t="s">
        <v>2561</v>
      </c>
      <c r="E49" s="133" t="s">
        <v>2609</v>
      </c>
      <c r="F49" s="134" t="s">
        <v>33</v>
      </c>
      <c r="G49" s="133" t="s">
        <v>2606</v>
      </c>
      <c r="H49" s="133" t="s">
        <v>294</v>
      </c>
      <c r="I49" s="133" t="s">
        <v>259</v>
      </c>
      <c r="J49" s="132"/>
      <c r="K49" s="132" t="s">
        <v>261</v>
      </c>
      <c r="L49" s="133" t="s">
        <v>29</v>
      </c>
      <c r="M49" s="135"/>
      <c r="N49" s="135"/>
      <c r="O49" s="136"/>
      <c r="P49" s="137"/>
      <c r="Q49" s="132"/>
      <c r="R49" s="132"/>
      <c r="S49" s="132"/>
      <c r="T49" s="135"/>
      <c r="U49" s="90"/>
      <c r="V49" s="90"/>
      <c r="W49" s="90"/>
      <c r="X49" s="90"/>
      <c r="Y49" s="90"/>
      <c r="Z49" s="90"/>
      <c r="AA49" s="90"/>
      <c r="AB49" s="90"/>
      <c r="AC49" s="90"/>
      <c r="AD49" s="90"/>
    </row>
    <row r="50" ht="13.5" customHeight="1">
      <c r="A50" s="91"/>
      <c r="B50" s="132" t="s">
        <v>33</v>
      </c>
      <c r="C50" s="133" t="s">
        <v>2599</v>
      </c>
      <c r="D50" s="133" t="s">
        <v>2561</v>
      </c>
      <c r="E50" s="133" t="s">
        <v>2609</v>
      </c>
      <c r="F50" s="134" t="s">
        <v>33</v>
      </c>
      <c r="G50" s="133" t="s">
        <v>2604</v>
      </c>
      <c r="H50" s="133" t="s">
        <v>294</v>
      </c>
      <c r="I50" s="133" t="s">
        <v>259</v>
      </c>
      <c r="J50" s="132"/>
      <c r="K50" s="132" t="s">
        <v>261</v>
      </c>
      <c r="L50" s="133" t="s">
        <v>29</v>
      </c>
      <c r="M50" s="135"/>
      <c r="N50" s="135"/>
      <c r="O50" s="136"/>
      <c r="P50" s="137"/>
      <c r="Q50" s="132"/>
      <c r="R50" s="132"/>
      <c r="S50" s="132"/>
      <c r="T50" s="135"/>
      <c r="U50" s="90"/>
      <c r="V50" s="90"/>
      <c r="W50" s="90"/>
      <c r="X50" s="90"/>
      <c r="Y50" s="90"/>
      <c r="Z50" s="90"/>
      <c r="AA50" s="90"/>
      <c r="AB50" s="90"/>
      <c r="AC50" s="90"/>
      <c r="AD50" s="90"/>
    </row>
    <row r="51" ht="13.5" customHeight="1">
      <c r="A51" s="91"/>
      <c r="B51" s="132" t="s">
        <v>33</v>
      </c>
      <c r="C51" s="133" t="s">
        <v>2601</v>
      </c>
      <c r="D51" s="133" t="s">
        <v>2561</v>
      </c>
      <c r="E51" s="133" t="s">
        <v>2609</v>
      </c>
      <c r="F51" s="134" t="s">
        <v>33</v>
      </c>
      <c r="G51" s="133" t="s">
        <v>2612</v>
      </c>
      <c r="H51" s="133" t="s">
        <v>294</v>
      </c>
      <c r="I51" s="133" t="s">
        <v>259</v>
      </c>
      <c r="J51" s="132"/>
      <c r="K51" s="132" t="s">
        <v>261</v>
      </c>
      <c r="L51" s="133" t="s">
        <v>29</v>
      </c>
      <c r="M51" s="135"/>
      <c r="N51" s="135"/>
      <c r="O51" s="136"/>
      <c r="P51" s="137"/>
      <c r="Q51" s="132"/>
      <c r="R51" s="132"/>
      <c r="S51" s="132"/>
      <c r="T51" s="135"/>
      <c r="U51" s="90"/>
      <c r="V51" s="90"/>
      <c r="W51" s="90"/>
      <c r="X51" s="90"/>
      <c r="Y51" s="90"/>
      <c r="Z51" s="90"/>
      <c r="AA51" s="90"/>
      <c r="AB51" s="90"/>
      <c r="AC51" s="90"/>
      <c r="AD51" s="90"/>
    </row>
    <row r="52" ht="13.5" customHeight="1">
      <c r="A52" s="91"/>
      <c r="B52" s="132" t="s">
        <v>33</v>
      </c>
      <c r="C52" s="133" t="s">
        <v>2560</v>
      </c>
      <c r="D52" s="133" t="s">
        <v>2561</v>
      </c>
      <c r="E52" s="133" t="s">
        <v>2593</v>
      </c>
      <c r="F52" s="134" t="s">
        <v>33</v>
      </c>
      <c r="G52" s="133" t="s">
        <v>2613</v>
      </c>
      <c r="H52" s="133" t="s">
        <v>294</v>
      </c>
      <c r="I52" s="133" t="s">
        <v>259</v>
      </c>
      <c r="J52" s="132"/>
      <c r="K52" s="132" t="s">
        <v>261</v>
      </c>
      <c r="L52" s="133" t="s">
        <v>29</v>
      </c>
      <c r="M52" s="135"/>
      <c r="N52" s="135"/>
      <c r="O52" s="136"/>
      <c r="P52" s="137"/>
      <c r="Q52" s="132"/>
      <c r="R52" s="132"/>
      <c r="S52" s="132"/>
      <c r="T52" s="135"/>
      <c r="U52" s="90"/>
      <c r="V52" s="90"/>
      <c r="W52" s="90"/>
      <c r="X52" s="90"/>
      <c r="Y52" s="90"/>
      <c r="Z52" s="90"/>
      <c r="AA52" s="90"/>
      <c r="AB52" s="90"/>
      <c r="AC52" s="90"/>
      <c r="AD52" s="90"/>
    </row>
    <row r="53" ht="13.5" customHeight="1">
      <c r="A53" s="91"/>
      <c r="B53" s="132" t="s">
        <v>33</v>
      </c>
      <c r="C53" s="133" t="s">
        <v>2560</v>
      </c>
      <c r="D53" s="133" t="s">
        <v>2561</v>
      </c>
      <c r="E53" s="133" t="s">
        <v>2614</v>
      </c>
      <c r="F53" s="134" t="s">
        <v>33</v>
      </c>
      <c r="G53" s="133" t="s">
        <v>2615</v>
      </c>
      <c r="H53" s="133" t="s">
        <v>294</v>
      </c>
      <c r="I53" s="133" t="s">
        <v>259</v>
      </c>
      <c r="J53" s="132"/>
      <c r="K53" s="132" t="s">
        <v>261</v>
      </c>
      <c r="L53" s="133" t="s">
        <v>29</v>
      </c>
      <c r="M53" s="135"/>
      <c r="N53" s="135"/>
      <c r="O53" s="136"/>
      <c r="P53" s="137"/>
      <c r="Q53" s="132"/>
      <c r="R53" s="132"/>
      <c r="S53" s="132"/>
      <c r="T53" s="135"/>
      <c r="U53" s="90"/>
      <c r="V53" s="90"/>
      <c r="W53" s="90"/>
      <c r="X53" s="90"/>
      <c r="Y53" s="90"/>
      <c r="Z53" s="90"/>
      <c r="AA53" s="90"/>
      <c r="AB53" s="90"/>
      <c r="AC53" s="90"/>
      <c r="AD53" s="90"/>
    </row>
    <row r="54" ht="13.5" customHeight="1">
      <c r="A54" s="91"/>
      <c r="B54" s="132" t="s">
        <v>33</v>
      </c>
      <c r="C54" s="133" t="s">
        <v>2560</v>
      </c>
      <c r="D54" s="133" t="s">
        <v>2561</v>
      </c>
      <c r="E54" s="133" t="s">
        <v>2616</v>
      </c>
      <c r="F54" s="134" t="s">
        <v>33</v>
      </c>
      <c r="G54" s="133" t="s">
        <v>2617</v>
      </c>
      <c r="H54" s="133" t="s">
        <v>294</v>
      </c>
      <c r="I54" s="133" t="s">
        <v>259</v>
      </c>
      <c r="J54" s="132"/>
      <c r="K54" s="132" t="s">
        <v>261</v>
      </c>
      <c r="L54" s="133" t="s">
        <v>29</v>
      </c>
      <c r="M54" s="135"/>
      <c r="N54" s="135"/>
      <c r="O54" s="136"/>
      <c r="P54" s="137"/>
      <c r="Q54" s="132"/>
      <c r="R54" s="132"/>
      <c r="S54" s="132"/>
      <c r="T54" s="135"/>
      <c r="U54" s="90"/>
      <c r="V54" s="90"/>
      <c r="W54" s="90"/>
      <c r="X54" s="90"/>
      <c r="Y54" s="90"/>
      <c r="Z54" s="90"/>
      <c r="AA54" s="90"/>
      <c r="AB54" s="90"/>
      <c r="AC54" s="90"/>
      <c r="AD54" s="90"/>
    </row>
    <row r="55" ht="13.5" customHeight="1">
      <c r="A55" s="91"/>
      <c r="B55" s="132" t="s">
        <v>33</v>
      </c>
      <c r="C55" s="133" t="s">
        <v>2560</v>
      </c>
      <c r="D55" s="133" t="s">
        <v>2561</v>
      </c>
      <c r="E55" s="133" t="s">
        <v>2609</v>
      </c>
      <c r="F55" s="134" t="s">
        <v>33</v>
      </c>
      <c r="G55" s="133" t="s">
        <v>2567</v>
      </c>
      <c r="H55" s="133" t="s">
        <v>294</v>
      </c>
      <c r="I55" s="133" t="s">
        <v>259</v>
      </c>
      <c r="J55" s="132"/>
      <c r="K55" s="132" t="s">
        <v>261</v>
      </c>
      <c r="L55" s="133" t="s">
        <v>29</v>
      </c>
      <c r="M55" s="135"/>
      <c r="N55" s="135"/>
      <c r="O55" s="136"/>
      <c r="P55" s="137"/>
      <c r="Q55" s="132"/>
      <c r="R55" s="132"/>
      <c r="S55" s="132"/>
      <c r="T55" s="135"/>
      <c r="U55" s="90"/>
      <c r="V55" s="90"/>
      <c r="W55" s="90"/>
      <c r="X55" s="90"/>
      <c r="Y55" s="90"/>
      <c r="Z55" s="90"/>
      <c r="AA55" s="90"/>
      <c r="AB55" s="90"/>
      <c r="AC55" s="90"/>
      <c r="AD55" s="90"/>
    </row>
    <row r="56" ht="13.5" customHeight="1">
      <c r="A56" s="91"/>
      <c r="B56" s="132" t="s">
        <v>33</v>
      </c>
      <c r="C56" s="133" t="s">
        <v>2618</v>
      </c>
      <c r="D56" s="133" t="s">
        <v>2561</v>
      </c>
      <c r="E56" s="133" t="s">
        <v>2619</v>
      </c>
      <c r="F56" s="134" t="s">
        <v>33</v>
      </c>
      <c r="G56" s="133" t="s">
        <v>2620</v>
      </c>
      <c r="H56" s="133" t="s">
        <v>294</v>
      </c>
      <c r="I56" s="133" t="s">
        <v>259</v>
      </c>
      <c r="J56" s="132"/>
      <c r="K56" s="132" t="s">
        <v>261</v>
      </c>
      <c r="L56" s="133" t="s">
        <v>29</v>
      </c>
      <c r="M56" s="135"/>
      <c r="N56" s="135"/>
      <c r="O56" s="136"/>
      <c r="P56" s="137"/>
      <c r="Q56" s="132"/>
      <c r="R56" s="132"/>
      <c r="S56" s="132"/>
      <c r="T56" s="135"/>
      <c r="U56" s="90"/>
      <c r="V56" s="90"/>
      <c r="W56" s="90"/>
      <c r="X56" s="90"/>
      <c r="Y56" s="90"/>
      <c r="Z56" s="90"/>
      <c r="AA56" s="90"/>
      <c r="AB56" s="90"/>
      <c r="AC56" s="90"/>
      <c r="AD56" s="90"/>
    </row>
    <row r="57" ht="13.5" customHeight="1">
      <c r="A57" s="91"/>
      <c r="B57" s="132" t="s">
        <v>33</v>
      </c>
      <c r="C57" s="133" t="s">
        <v>2618</v>
      </c>
      <c r="D57" s="133" t="s">
        <v>2561</v>
      </c>
      <c r="E57" s="133" t="s">
        <v>2621</v>
      </c>
      <c r="F57" s="134" t="s">
        <v>33</v>
      </c>
      <c r="G57" s="133" t="s">
        <v>2622</v>
      </c>
      <c r="H57" s="133" t="s">
        <v>294</v>
      </c>
      <c r="I57" s="133" t="s">
        <v>259</v>
      </c>
      <c r="J57" s="132"/>
      <c r="K57" s="132" t="s">
        <v>261</v>
      </c>
      <c r="L57" s="133" t="s">
        <v>29</v>
      </c>
      <c r="M57" s="135"/>
      <c r="N57" s="135"/>
      <c r="O57" s="136"/>
      <c r="P57" s="137"/>
      <c r="Q57" s="132"/>
      <c r="R57" s="132"/>
      <c r="S57" s="132"/>
      <c r="T57" s="135"/>
      <c r="U57" s="90"/>
      <c r="V57" s="90"/>
      <c r="W57" s="90"/>
      <c r="X57" s="90"/>
      <c r="Y57" s="90"/>
      <c r="Z57" s="90"/>
      <c r="AA57" s="90"/>
      <c r="AB57" s="90"/>
      <c r="AC57" s="90"/>
      <c r="AD57" s="90"/>
    </row>
    <row r="58" ht="13.5" customHeight="1">
      <c r="A58" s="91"/>
      <c r="B58" s="132" t="s">
        <v>33</v>
      </c>
      <c r="C58" s="133" t="s">
        <v>2618</v>
      </c>
      <c r="D58" s="133" t="s">
        <v>2561</v>
      </c>
      <c r="E58" s="133" t="s">
        <v>2623</v>
      </c>
      <c r="F58" s="134" t="s">
        <v>33</v>
      </c>
      <c r="G58" s="133" t="s">
        <v>2571</v>
      </c>
      <c r="H58" s="133" t="s">
        <v>294</v>
      </c>
      <c r="I58" s="133" t="s">
        <v>259</v>
      </c>
      <c r="J58" s="132"/>
      <c r="K58" s="132" t="s">
        <v>261</v>
      </c>
      <c r="L58" s="133" t="s">
        <v>29</v>
      </c>
      <c r="M58" s="135"/>
      <c r="N58" s="135"/>
      <c r="O58" s="136"/>
      <c r="P58" s="137"/>
      <c r="Q58" s="132"/>
      <c r="R58" s="132"/>
      <c r="S58" s="132"/>
      <c r="T58" s="135"/>
      <c r="U58" s="90"/>
      <c r="V58" s="90"/>
      <c r="W58" s="90"/>
      <c r="X58" s="90"/>
      <c r="Y58" s="90"/>
      <c r="Z58" s="90"/>
      <c r="AA58" s="90"/>
      <c r="AB58" s="90"/>
      <c r="AC58" s="90"/>
      <c r="AD58" s="90"/>
    </row>
    <row r="59" ht="13.5" customHeight="1">
      <c r="A59" s="91"/>
      <c r="B59" s="132" t="s">
        <v>33</v>
      </c>
      <c r="C59" s="133" t="s">
        <v>2624</v>
      </c>
      <c r="D59" s="133" t="s">
        <v>2561</v>
      </c>
      <c r="E59" s="133" t="s">
        <v>2625</v>
      </c>
      <c r="F59" s="134" t="s">
        <v>33</v>
      </c>
      <c r="G59" s="133" t="s">
        <v>2610</v>
      </c>
      <c r="H59" s="133" t="s">
        <v>294</v>
      </c>
      <c r="I59" s="133" t="s">
        <v>259</v>
      </c>
      <c r="J59" s="132"/>
      <c r="K59" s="132" t="s">
        <v>261</v>
      </c>
      <c r="L59" s="133" t="s">
        <v>29</v>
      </c>
      <c r="M59" s="135"/>
      <c r="N59" s="135"/>
      <c r="O59" s="136"/>
      <c r="P59" s="137"/>
      <c r="Q59" s="132"/>
      <c r="R59" s="132"/>
      <c r="S59" s="132"/>
      <c r="T59" s="135"/>
      <c r="U59" s="90"/>
      <c r="V59" s="90"/>
      <c r="W59" s="90"/>
      <c r="X59" s="90"/>
      <c r="Y59" s="90"/>
      <c r="Z59" s="90"/>
      <c r="AA59" s="90"/>
      <c r="AB59" s="90"/>
      <c r="AC59" s="90"/>
      <c r="AD59" s="90"/>
    </row>
    <row r="60" ht="13.5" customHeight="1">
      <c r="A60" s="91"/>
      <c r="B60" s="132" t="s">
        <v>33</v>
      </c>
      <c r="C60" s="133" t="s">
        <v>2626</v>
      </c>
      <c r="D60" s="133" t="s">
        <v>2627</v>
      </c>
      <c r="E60" s="133" t="s">
        <v>2628</v>
      </c>
      <c r="F60" s="134" t="s">
        <v>33</v>
      </c>
      <c r="G60" s="133" t="s">
        <v>2629</v>
      </c>
      <c r="H60" s="133" t="s">
        <v>294</v>
      </c>
      <c r="I60" s="133" t="s">
        <v>259</v>
      </c>
      <c r="J60" s="132"/>
      <c r="K60" s="132" t="s">
        <v>261</v>
      </c>
      <c r="L60" s="133" t="s">
        <v>29</v>
      </c>
      <c r="M60" s="135"/>
      <c r="N60" s="135"/>
      <c r="O60" s="136"/>
      <c r="P60" s="137"/>
      <c r="Q60" s="132"/>
      <c r="R60" s="132"/>
      <c r="S60" s="132"/>
      <c r="T60" s="135"/>
      <c r="U60" s="90"/>
      <c r="V60" s="90"/>
      <c r="W60" s="90"/>
      <c r="X60" s="90"/>
      <c r="Y60" s="90"/>
      <c r="Z60" s="90"/>
      <c r="AA60" s="90"/>
      <c r="AB60" s="90"/>
      <c r="AC60" s="90"/>
      <c r="AD60" s="90"/>
    </row>
    <row r="61" ht="13.5" customHeight="1">
      <c r="A61" s="91"/>
      <c r="B61" s="132" t="s">
        <v>33</v>
      </c>
      <c r="C61" s="133" t="s">
        <v>2630</v>
      </c>
      <c r="D61" s="133" t="s">
        <v>2631</v>
      </c>
      <c r="E61" s="133" t="s">
        <v>2632</v>
      </c>
      <c r="F61" s="134" t="s">
        <v>33</v>
      </c>
      <c r="G61" s="133" t="s">
        <v>2633</v>
      </c>
      <c r="H61" s="133" t="s">
        <v>294</v>
      </c>
      <c r="I61" s="133" t="s">
        <v>259</v>
      </c>
      <c r="J61" s="132"/>
      <c r="K61" s="132" t="s">
        <v>261</v>
      </c>
      <c r="L61" s="133" t="s">
        <v>29</v>
      </c>
      <c r="M61" s="135"/>
      <c r="N61" s="135"/>
      <c r="O61" s="136"/>
      <c r="P61" s="137"/>
      <c r="Q61" s="132"/>
      <c r="R61" s="132"/>
      <c r="S61" s="132"/>
      <c r="T61" s="135"/>
      <c r="U61" s="90"/>
      <c r="V61" s="90"/>
      <c r="W61" s="90"/>
      <c r="X61" s="90"/>
      <c r="Y61" s="90"/>
      <c r="Z61" s="90"/>
      <c r="AA61" s="90"/>
      <c r="AB61" s="90"/>
      <c r="AC61" s="90"/>
      <c r="AD61" s="90"/>
    </row>
    <row r="62" ht="13.5" customHeight="1">
      <c r="A62" s="91"/>
      <c r="B62" s="132" t="s">
        <v>33</v>
      </c>
      <c r="C62" s="133" t="s">
        <v>2630</v>
      </c>
      <c r="D62" s="133" t="s">
        <v>2561</v>
      </c>
      <c r="E62" s="133" t="s">
        <v>2634</v>
      </c>
      <c r="F62" s="134" t="s">
        <v>33</v>
      </c>
      <c r="G62" s="133" t="s">
        <v>2635</v>
      </c>
      <c r="H62" s="133" t="s">
        <v>294</v>
      </c>
      <c r="I62" s="133" t="s">
        <v>259</v>
      </c>
      <c r="J62" s="132"/>
      <c r="K62" s="132" t="s">
        <v>261</v>
      </c>
      <c r="L62" s="133" t="s">
        <v>29</v>
      </c>
      <c r="M62" s="135"/>
      <c r="N62" s="135"/>
      <c r="O62" s="136"/>
      <c r="P62" s="137"/>
      <c r="Q62" s="132"/>
      <c r="R62" s="132"/>
      <c r="S62" s="132"/>
      <c r="T62" s="135"/>
      <c r="U62" s="90"/>
      <c r="V62" s="90"/>
      <c r="W62" s="90"/>
      <c r="X62" s="90"/>
      <c r="Y62" s="90"/>
      <c r="Z62" s="90"/>
      <c r="AA62" s="90"/>
      <c r="AB62" s="90"/>
      <c r="AC62" s="90"/>
      <c r="AD62" s="90"/>
    </row>
    <row r="63" ht="13.5" customHeight="1">
      <c r="A63" s="91"/>
      <c r="B63" s="132" t="s">
        <v>33</v>
      </c>
      <c r="C63" s="133" t="s">
        <v>2636</v>
      </c>
      <c r="D63" s="133" t="s">
        <v>2631</v>
      </c>
      <c r="E63" s="133" t="s">
        <v>2637</v>
      </c>
      <c r="F63" s="134" t="s">
        <v>33</v>
      </c>
      <c r="G63" s="133" t="s">
        <v>2638</v>
      </c>
      <c r="H63" s="133" t="s">
        <v>294</v>
      </c>
      <c r="I63" s="133" t="s">
        <v>259</v>
      </c>
      <c r="J63" s="132"/>
      <c r="K63" s="132" t="s">
        <v>261</v>
      </c>
      <c r="L63" s="133" t="s">
        <v>29</v>
      </c>
      <c r="M63" s="135"/>
      <c r="N63" s="135"/>
      <c r="O63" s="136"/>
      <c r="P63" s="137"/>
      <c r="Q63" s="132"/>
      <c r="R63" s="132"/>
      <c r="S63" s="132"/>
      <c r="T63" s="135"/>
      <c r="U63" s="90"/>
      <c r="V63" s="90"/>
      <c r="W63" s="90"/>
      <c r="X63" s="90"/>
      <c r="Y63" s="90"/>
      <c r="Z63" s="90"/>
      <c r="AA63" s="90"/>
      <c r="AB63" s="90"/>
      <c r="AC63" s="90"/>
      <c r="AD63" s="90"/>
    </row>
    <row r="64" ht="13.5" customHeight="1">
      <c r="A64" s="91"/>
      <c r="B64" s="132" t="s">
        <v>33</v>
      </c>
      <c r="C64" s="133" t="s">
        <v>2639</v>
      </c>
      <c r="D64" s="133" t="s">
        <v>2640</v>
      </c>
      <c r="E64" s="133" t="s">
        <v>2641</v>
      </c>
      <c r="F64" s="134" t="s">
        <v>33</v>
      </c>
      <c r="G64" s="133" t="s">
        <v>2642</v>
      </c>
      <c r="H64" s="133" t="s">
        <v>294</v>
      </c>
      <c r="I64" s="133" t="s">
        <v>259</v>
      </c>
      <c r="J64" s="132"/>
      <c r="K64" s="132" t="s">
        <v>261</v>
      </c>
      <c r="L64" s="133" t="s">
        <v>29</v>
      </c>
      <c r="M64" s="135"/>
      <c r="N64" s="135"/>
      <c r="O64" s="136"/>
      <c r="P64" s="137"/>
      <c r="Q64" s="132"/>
      <c r="R64" s="132"/>
      <c r="S64" s="132"/>
      <c r="T64" s="135"/>
      <c r="U64" s="90"/>
      <c r="V64" s="90"/>
      <c r="W64" s="90"/>
      <c r="X64" s="90"/>
      <c r="Y64" s="90"/>
      <c r="Z64" s="90"/>
      <c r="AA64" s="90"/>
      <c r="AB64" s="90"/>
      <c r="AC64" s="90"/>
      <c r="AD64" s="90"/>
    </row>
    <row r="65" ht="13.5" customHeight="1">
      <c r="A65" s="91"/>
      <c r="B65" s="132" t="s">
        <v>33</v>
      </c>
      <c r="C65" s="133" t="s">
        <v>2643</v>
      </c>
      <c r="D65" s="133" t="s">
        <v>2640</v>
      </c>
      <c r="E65" s="133" t="s">
        <v>2644</v>
      </c>
      <c r="F65" s="134" t="s">
        <v>33</v>
      </c>
      <c r="G65" s="133" t="s">
        <v>2645</v>
      </c>
      <c r="H65" s="133" t="s">
        <v>294</v>
      </c>
      <c r="I65" s="133" t="s">
        <v>259</v>
      </c>
      <c r="J65" s="132"/>
      <c r="K65" s="132" t="s">
        <v>261</v>
      </c>
      <c r="L65" s="133" t="s">
        <v>29</v>
      </c>
      <c r="M65" s="135"/>
      <c r="N65" s="135"/>
      <c r="O65" s="136"/>
      <c r="P65" s="137"/>
      <c r="Q65" s="132"/>
      <c r="R65" s="132"/>
      <c r="S65" s="132"/>
      <c r="T65" s="135"/>
      <c r="U65" s="90"/>
      <c r="V65" s="90"/>
      <c r="W65" s="90"/>
      <c r="X65" s="90"/>
      <c r="Y65" s="90"/>
      <c r="Z65" s="90"/>
      <c r="AA65" s="90"/>
      <c r="AB65" s="90"/>
      <c r="AC65" s="90"/>
      <c r="AD65" s="90"/>
    </row>
    <row r="66" ht="13.5" customHeight="1">
      <c r="A66" s="91"/>
      <c r="B66" s="132" t="s">
        <v>33</v>
      </c>
      <c r="C66" s="133" t="s">
        <v>2639</v>
      </c>
      <c r="D66" s="133" t="s">
        <v>2640</v>
      </c>
      <c r="E66" s="133" t="s">
        <v>2646</v>
      </c>
      <c r="F66" s="134" t="s">
        <v>33</v>
      </c>
      <c r="G66" s="133" t="s">
        <v>2647</v>
      </c>
      <c r="H66" s="133" t="s">
        <v>294</v>
      </c>
      <c r="I66" s="133" t="s">
        <v>259</v>
      </c>
      <c r="J66" s="132"/>
      <c r="K66" s="132" t="s">
        <v>261</v>
      </c>
      <c r="L66" s="133" t="s">
        <v>29</v>
      </c>
      <c r="M66" s="135"/>
      <c r="N66" s="135"/>
      <c r="O66" s="136"/>
      <c r="P66" s="137"/>
      <c r="Q66" s="132"/>
      <c r="R66" s="132"/>
      <c r="S66" s="132"/>
      <c r="T66" s="135"/>
      <c r="U66" s="90"/>
      <c r="V66" s="90"/>
      <c r="W66" s="90"/>
      <c r="X66" s="90"/>
      <c r="Y66" s="90"/>
      <c r="Z66" s="90"/>
      <c r="AA66" s="90"/>
      <c r="AB66" s="90"/>
      <c r="AC66" s="90"/>
      <c r="AD66" s="90"/>
    </row>
    <row r="67" ht="13.5" customHeight="1">
      <c r="A67" s="91"/>
      <c r="B67" s="132" t="s">
        <v>33</v>
      </c>
      <c r="C67" s="133" t="s">
        <v>2630</v>
      </c>
      <c r="D67" s="133" t="s">
        <v>33</v>
      </c>
      <c r="E67" s="133" t="s">
        <v>33</v>
      </c>
      <c r="F67" s="134" t="s">
        <v>33</v>
      </c>
      <c r="G67" s="133" t="s">
        <v>2648</v>
      </c>
      <c r="H67" s="133" t="s">
        <v>294</v>
      </c>
      <c r="I67" s="133" t="s">
        <v>259</v>
      </c>
      <c r="J67" s="132"/>
      <c r="K67" s="132" t="s">
        <v>261</v>
      </c>
      <c r="L67" s="133" t="s">
        <v>29</v>
      </c>
      <c r="M67" s="135"/>
      <c r="N67" s="135"/>
      <c r="O67" s="136"/>
      <c r="P67" s="137"/>
      <c r="Q67" s="132"/>
      <c r="R67" s="132"/>
      <c r="S67" s="132"/>
      <c r="T67" s="135"/>
      <c r="U67" s="90"/>
      <c r="V67" s="90"/>
      <c r="W67" s="90"/>
      <c r="X67" s="90"/>
      <c r="Y67" s="90"/>
      <c r="Z67" s="90"/>
      <c r="AA67" s="90"/>
      <c r="AB67" s="90"/>
      <c r="AC67" s="90"/>
      <c r="AD67" s="90"/>
    </row>
    <row r="68" ht="13.5" customHeight="1">
      <c r="A68" s="91"/>
      <c r="B68" s="132" t="s">
        <v>33</v>
      </c>
      <c r="C68" s="133" t="s">
        <v>2649</v>
      </c>
      <c r="D68" s="133" t="s">
        <v>2561</v>
      </c>
      <c r="E68" s="133" t="s">
        <v>2650</v>
      </c>
      <c r="F68" s="134" t="s">
        <v>33</v>
      </c>
      <c r="G68" s="133" t="s">
        <v>2651</v>
      </c>
      <c r="H68" s="133" t="s">
        <v>294</v>
      </c>
      <c r="I68" s="133" t="s">
        <v>259</v>
      </c>
      <c r="J68" s="132"/>
      <c r="K68" s="132" t="s">
        <v>261</v>
      </c>
      <c r="L68" s="133" t="s">
        <v>29</v>
      </c>
      <c r="M68" s="135"/>
      <c r="N68" s="135"/>
      <c r="O68" s="136"/>
      <c r="P68" s="137"/>
      <c r="Q68" s="132"/>
      <c r="R68" s="132"/>
      <c r="S68" s="132"/>
      <c r="T68" s="135"/>
      <c r="U68" s="90"/>
      <c r="V68" s="90"/>
      <c r="W68" s="90"/>
      <c r="X68" s="90"/>
      <c r="Y68" s="90"/>
      <c r="Z68" s="90"/>
      <c r="AA68" s="90"/>
      <c r="AB68" s="90"/>
      <c r="AC68" s="90"/>
      <c r="AD68" s="90"/>
    </row>
    <row r="69" ht="13.5" customHeight="1">
      <c r="A69" s="91"/>
      <c r="B69" s="132" t="s">
        <v>33</v>
      </c>
      <c r="C69" s="133" t="s">
        <v>2652</v>
      </c>
      <c r="D69" s="133" t="s">
        <v>2561</v>
      </c>
      <c r="E69" s="133" t="s">
        <v>2650</v>
      </c>
      <c r="F69" s="134" t="s">
        <v>33</v>
      </c>
      <c r="G69" s="133" t="s">
        <v>2594</v>
      </c>
      <c r="H69" s="133" t="s">
        <v>294</v>
      </c>
      <c r="I69" s="133" t="s">
        <v>259</v>
      </c>
      <c r="J69" s="132"/>
      <c r="K69" s="132" t="s">
        <v>261</v>
      </c>
      <c r="L69" s="133" t="s">
        <v>29</v>
      </c>
      <c r="M69" s="135"/>
      <c r="N69" s="135"/>
      <c r="O69" s="136"/>
      <c r="P69" s="137"/>
      <c r="Q69" s="132"/>
      <c r="R69" s="132"/>
      <c r="S69" s="132"/>
      <c r="T69" s="135"/>
      <c r="U69" s="90"/>
      <c r="V69" s="90"/>
      <c r="W69" s="90"/>
      <c r="X69" s="90"/>
      <c r="Y69" s="90"/>
      <c r="Z69" s="90"/>
      <c r="AA69" s="90"/>
      <c r="AB69" s="90"/>
      <c r="AC69" s="90"/>
      <c r="AD69" s="90"/>
    </row>
    <row r="70" ht="13.5" customHeight="1">
      <c r="A70" s="91"/>
      <c r="B70" s="132" t="s">
        <v>33</v>
      </c>
      <c r="C70" s="133" t="s">
        <v>2653</v>
      </c>
      <c r="D70" s="133" t="s">
        <v>2561</v>
      </c>
      <c r="E70" s="133" t="s">
        <v>2650</v>
      </c>
      <c r="F70" s="134" t="s">
        <v>33</v>
      </c>
      <c r="G70" s="133" t="s">
        <v>2654</v>
      </c>
      <c r="H70" s="133" t="s">
        <v>294</v>
      </c>
      <c r="I70" s="133" t="s">
        <v>259</v>
      </c>
      <c r="J70" s="132"/>
      <c r="K70" s="132" t="s">
        <v>261</v>
      </c>
      <c r="L70" s="133" t="s">
        <v>29</v>
      </c>
      <c r="M70" s="135"/>
      <c r="N70" s="135"/>
      <c r="O70" s="136"/>
      <c r="P70" s="137"/>
      <c r="Q70" s="132"/>
      <c r="R70" s="132"/>
      <c r="S70" s="132"/>
      <c r="T70" s="135"/>
      <c r="U70" s="90"/>
      <c r="V70" s="90"/>
      <c r="W70" s="90"/>
      <c r="X70" s="90"/>
      <c r="Y70" s="90"/>
      <c r="Z70" s="90"/>
      <c r="AA70" s="90"/>
      <c r="AB70" s="90"/>
      <c r="AC70" s="90"/>
      <c r="AD70" s="90"/>
    </row>
    <row r="71" ht="13.5" customHeight="1">
      <c r="A71" s="91"/>
      <c r="B71" s="132" t="s">
        <v>33</v>
      </c>
      <c r="C71" s="133" t="s">
        <v>2655</v>
      </c>
      <c r="D71" s="133" t="s">
        <v>2561</v>
      </c>
      <c r="E71" s="133" t="s">
        <v>2650</v>
      </c>
      <c r="F71" s="134" t="s">
        <v>33</v>
      </c>
      <c r="G71" s="133" t="s">
        <v>2656</v>
      </c>
      <c r="H71" s="133" t="s">
        <v>294</v>
      </c>
      <c r="I71" s="133" t="s">
        <v>259</v>
      </c>
      <c r="J71" s="132"/>
      <c r="K71" s="132" t="s">
        <v>261</v>
      </c>
      <c r="L71" s="133" t="s">
        <v>29</v>
      </c>
      <c r="M71" s="135"/>
      <c r="N71" s="135"/>
      <c r="O71" s="136"/>
      <c r="P71" s="137"/>
      <c r="Q71" s="132"/>
      <c r="R71" s="132"/>
      <c r="S71" s="132"/>
      <c r="T71" s="135"/>
      <c r="U71" s="90"/>
      <c r="V71" s="90"/>
      <c r="W71" s="90"/>
      <c r="X71" s="90"/>
      <c r="Y71" s="90"/>
      <c r="Z71" s="90"/>
      <c r="AA71" s="90"/>
      <c r="AB71" s="90"/>
      <c r="AC71" s="90"/>
      <c r="AD71" s="90"/>
    </row>
    <row r="72" ht="13.5" customHeight="1">
      <c r="A72" s="91"/>
      <c r="B72" s="132" t="s">
        <v>33</v>
      </c>
      <c r="C72" s="133" t="s">
        <v>2657</v>
      </c>
      <c r="D72" s="133" t="s">
        <v>2561</v>
      </c>
      <c r="E72" s="133" t="s">
        <v>2650</v>
      </c>
      <c r="F72" s="134" t="s">
        <v>33</v>
      </c>
      <c r="G72" s="133" t="s">
        <v>2658</v>
      </c>
      <c r="H72" s="133" t="s">
        <v>294</v>
      </c>
      <c r="I72" s="133" t="s">
        <v>259</v>
      </c>
      <c r="J72" s="132"/>
      <c r="K72" s="132" t="s">
        <v>261</v>
      </c>
      <c r="L72" s="133" t="s">
        <v>29</v>
      </c>
      <c r="M72" s="135"/>
      <c r="N72" s="135"/>
      <c r="O72" s="136"/>
      <c r="P72" s="137"/>
      <c r="Q72" s="132"/>
      <c r="R72" s="132"/>
      <c r="S72" s="132"/>
      <c r="T72" s="135"/>
      <c r="U72" s="90"/>
      <c r="V72" s="90"/>
      <c r="W72" s="90"/>
      <c r="X72" s="90"/>
      <c r="Y72" s="90"/>
      <c r="Z72" s="90"/>
      <c r="AA72" s="90"/>
      <c r="AB72" s="90"/>
      <c r="AC72" s="90"/>
      <c r="AD72" s="90"/>
    </row>
    <row r="73" ht="13.5" customHeight="1">
      <c r="A73" s="91"/>
      <c r="B73" s="132" t="s">
        <v>33</v>
      </c>
      <c r="C73" s="133" t="s">
        <v>2659</v>
      </c>
      <c r="D73" s="133" t="s">
        <v>2561</v>
      </c>
      <c r="E73" s="133" t="s">
        <v>2650</v>
      </c>
      <c r="F73" s="134" t="s">
        <v>33</v>
      </c>
      <c r="G73" s="133" t="s">
        <v>2590</v>
      </c>
      <c r="H73" s="133" t="s">
        <v>294</v>
      </c>
      <c r="I73" s="133" t="s">
        <v>259</v>
      </c>
      <c r="J73" s="132"/>
      <c r="K73" s="132" t="s">
        <v>261</v>
      </c>
      <c r="L73" s="133" t="s">
        <v>29</v>
      </c>
      <c r="M73" s="135"/>
      <c r="N73" s="135"/>
      <c r="O73" s="136"/>
      <c r="P73" s="137"/>
      <c r="Q73" s="132"/>
      <c r="R73" s="132"/>
      <c r="S73" s="132"/>
      <c r="T73" s="135"/>
      <c r="U73" s="90"/>
      <c r="V73" s="90"/>
      <c r="W73" s="90"/>
      <c r="X73" s="90"/>
      <c r="Y73" s="90"/>
      <c r="Z73" s="90"/>
      <c r="AA73" s="90"/>
      <c r="AB73" s="90"/>
      <c r="AC73" s="90"/>
      <c r="AD73" s="90"/>
    </row>
    <row r="74">
      <c r="A74" s="91"/>
      <c r="B74" s="91"/>
      <c r="C74" s="91"/>
      <c r="D74" s="91"/>
      <c r="E74" s="91"/>
      <c r="F74" s="91"/>
      <c r="G74" s="91"/>
      <c r="H74" s="98"/>
      <c r="I74" s="91"/>
      <c r="J74" s="97"/>
      <c r="K74" s="97"/>
      <c r="L74" s="99"/>
      <c r="M74" s="100"/>
      <c r="N74" s="101"/>
      <c r="O74" s="91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</row>
    <row r="75">
      <c r="A75" s="91"/>
      <c r="B75" s="91"/>
      <c r="C75" s="91"/>
      <c r="D75" s="91"/>
      <c r="E75" s="91"/>
      <c r="F75" s="91"/>
      <c r="G75" s="91"/>
      <c r="H75" s="98"/>
      <c r="I75" s="91"/>
      <c r="J75" s="97"/>
      <c r="K75" s="97"/>
      <c r="L75" s="99"/>
      <c r="M75" s="100"/>
      <c r="N75" s="101"/>
      <c r="O75" s="91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</row>
    <row r="76">
      <c r="A76" s="91"/>
      <c r="B76" s="91"/>
      <c r="C76" s="91"/>
      <c r="D76" s="91"/>
      <c r="E76" s="91"/>
      <c r="F76" s="91"/>
      <c r="G76" s="91"/>
      <c r="H76" s="98"/>
      <c r="I76" s="91"/>
      <c r="J76" s="97"/>
      <c r="K76" s="97"/>
      <c r="L76" s="99"/>
      <c r="M76" s="100"/>
      <c r="N76" s="101"/>
      <c r="O76" s="91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</row>
    <row r="77">
      <c r="A77" s="91"/>
      <c r="B77" s="91"/>
      <c r="C77" s="91"/>
      <c r="D77" s="91"/>
      <c r="E77" s="91"/>
      <c r="F77" s="91"/>
      <c r="G77" s="91"/>
      <c r="H77" s="98"/>
      <c r="I77" s="91"/>
      <c r="J77" s="97"/>
      <c r="K77" s="97"/>
      <c r="L77" s="99"/>
      <c r="M77" s="100"/>
      <c r="N77" s="101"/>
      <c r="O77" s="91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</row>
    <row r="78">
      <c r="A78" s="91"/>
      <c r="B78" s="91"/>
      <c r="C78" s="91"/>
      <c r="D78" s="91"/>
      <c r="E78" s="91"/>
      <c r="F78" s="91"/>
      <c r="G78" s="91"/>
      <c r="H78" s="98"/>
      <c r="I78" s="91"/>
      <c r="J78" s="97"/>
      <c r="K78" s="97"/>
      <c r="L78" s="99"/>
      <c r="M78" s="100"/>
      <c r="N78" s="101"/>
      <c r="O78" s="91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</row>
    <row r="79">
      <c r="A79" s="91"/>
      <c r="B79" s="91"/>
      <c r="C79" s="91"/>
      <c r="D79" s="91"/>
      <c r="E79" s="91"/>
      <c r="F79" s="91"/>
      <c r="G79" s="91"/>
      <c r="H79" s="98"/>
      <c r="I79" s="91"/>
      <c r="J79" s="97"/>
      <c r="K79" s="97"/>
      <c r="L79" s="99"/>
      <c r="M79" s="100"/>
      <c r="N79" s="101"/>
      <c r="O79" s="91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</row>
    <row r="80">
      <c r="A80" s="91"/>
      <c r="B80" s="91"/>
      <c r="C80" s="91"/>
      <c r="D80" s="91"/>
      <c r="E80" s="91"/>
      <c r="F80" s="91"/>
      <c r="G80" s="91"/>
      <c r="H80" s="98"/>
      <c r="I80" s="91"/>
      <c r="J80" s="97"/>
      <c r="K80" s="97"/>
      <c r="L80" s="99"/>
      <c r="M80" s="100"/>
      <c r="N80" s="101"/>
      <c r="O80" s="91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</row>
    <row r="81">
      <c r="A81" s="91"/>
      <c r="B81" s="91"/>
      <c r="C81" s="91"/>
      <c r="D81" s="91"/>
      <c r="E81" s="91"/>
      <c r="F81" s="91"/>
      <c r="G81" s="91"/>
      <c r="H81" s="98"/>
      <c r="I81" s="91"/>
      <c r="J81" s="97"/>
      <c r="K81" s="97"/>
      <c r="L81" s="99"/>
      <c r="M81" s="100"/>
      <c r="N81" s="101"/>
      <c r="O81" s="91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</row>
    <row r="82">
      <c r="A82" s="91"/>
      <c r="B82" s="91"/>
      <c r="C82" s="91"/>
      <c r="D82" s="91"/>
      <c r="E82" s="91"/>
      <c r="F82" s="91"/>
      <c r="G82" s="91"/>
      <c r="H82" s="98"/>
      <c r="I82" s="91"/>
      <c r="J82" s="97"/>
      <c r="K82" s="97"/>
      <c r="L82" s="99"/>
      <c r="M82" s="100"/>
      <c r="N82" s="101"/>
      <c r="O82" s="91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</row>
    <row r="83">
      <c r="A83" s="91"/>
      <c r="B83" s="91"/>
      <c r="C83" s="91"/>
      <c r="D83" s="91"/>
      <c r="E83" s="91"/>
      <c r="F83" s="91"/>
      <c r="G83" s="91"/>
      <c r="H83" s="98"/>
      <c r="I83" s="91"/>
      <c r="J83" s="97"/>
      <c r="K83" s="97"/>
      <c r="L83" s="99"/>
      <c r="M83" s="100"/>
      <c r="N83" s="101"/>
      <c r="O83" s="91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</row>
    <row r="84">
      <c r="A84" s="91"/>
      <c r="B84" s="91"/>
      <c r="C84" s="91"/>
      <c r="D84" s="91"/>
      <c r="E84" s="91"/>
      <c r="F84" s="91"/>
      <c r="G84" s="91"/>
      <c r="H84" s="98"/>
      <c r="I84" s="91"/>
      <c r="J84" s="97"/>
      <c r="K84" s="97"/>
      <c r="L84" s="99"/>
      <c r="M84" s="100"/>
      <c r="N84" s="101"/>
      <c r="O84" s="91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</row>
    <row r="85">
      <c r="A85" s="91"/>
      <c r="B85" s="91"/>
      <c r="C85" s="91"/>
      <c r="D85" s="91"/>
      <c r="E85" s="91"/>
      <c r="F85" s="91"/>
      <c r="G85" s="91"/>
      <c r="H85" s="98"/>
      <c r="I85" s="91"/>
      <c r="J85" s="97"/>
      <c r="K85" s="97"/>
      <c r="L85" s="99"/>
      <c r="M85" s="100"/>
      <c r="N85" s="101"/>
      <c r="O85" s="91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</row>
    <row r="86">
      <c r="A86" s="91"/>
      <c r="B86" s="91"/>
      <c r="C86" s="91"/>
      <c r="D86" s="91"/>
      <c r="E86" s="91"/>
      <c r="F86" s="91"/>
      <c r="G86" s="91"/>
      <c r="H86" s="98"/>
      <c r="I86" s="91"/>
      <c r="J86" s="97"/>
      <c r="K86" s="97"/>
      <c r="L86" s="99"/>
      <c r="M86" s="100"/>
      <c r="N86" s="101"/>
      <c r="O86" s="91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</row>
    <row r="87">
      <c r="A87" s="91"/>
      <c r="B87" s="91"/>
      <c r="C87" s="91"/>
      <c r="D87" s="91"/>
      <c r="E87" s="91"/>
      <c r="F87" s="91"/>
      <c r="G87" s="91"/>
      <c r="H87" s="98"/>
      <c r="I87" s="91"/>
      <c r="J87" s="97"/>
      <c r="K87" s="97"/>
      <c r="L87" s="99"/>
      <c r="M87" s="100"/>
      <c r="N87" s="101"/>
      <c r="O87" s="91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</row>
    <row r="88">
      <c r="A88" s="91"/>
      <c r="B88" s="91"/>
      <c r="C88" s="91"/>
      <c r="D88" s="91"/>
      <c r="E88" s="91"/>
      <c r="F88" s="91"/>
      <c r="G88" s="91"/>
      <c r="H88" s="98"/>
      <c r="I88" s="91"/>
      <c r="J88" s="97"/>
      <c r="K88" s="97"/>
      <c r="L88" s="99"/>
      <c r="M88" s="100"/>
      <c r="N88" s="101"/>
      <c r="O88" s="91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</row>
    <row r="89">
      <c r="A89" s="91"/>
      <c r="B89" s="91"/>
      <c r="C89" s="91"/>
      <c r="D89" s="91"/>
      <c r="E89" s="91"/>
      <c r="F89" s="91"/>
      <c r="G89" s="91"/>
      <c r="H89" s="98"/>
      <c r="I89" s="91"/>
      <c r="J89" s="97"/>
      <c r="K89" s="97"/>
      <c r="L89" s="99"/>
      <c r="M89" s="100"/>
      <c r="N89" s="101"/>
      <c r="O89" s="91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</row>
    <row r="90">
      <c r="A90" s="91"/>
      <c r="B90" s="91"/>
      <c r="C90" s="91"/>
      <c r="D90" s="91"/>
      <c r="E90" s="91"/>
      <c r="F90" s="91"/>
      <c r="G90" s="91"/>
      <c r="H90" s="98"/>
      <c r="I90" s="91"/>
      <c r="J90" s="97"/>
      <c r="K90" s="97"/>
      <c r="L90" s="99"/>
      <c r="M90" s="100"/>
      <c r="N90" s="101"/>
      <c r="O90" s="91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</row>
    <row r="91">
      <c r="A91" s="91"/>
      <c r="B91" s="91"/>
      <c r="C91" s="91"/>
      <c r="D91" s="91"/>
      <c r="E91" s="91"/>
      <c r="F91" s="91"/>
      <c r="G91" s="91"/>
      <c r="H91" s="98"/>
      <c r="I91" s="91"/>
      <c r="J91" s="97"/>
      <c r="K91" s="97"/>
      <c r="L91" s="99"/>
      <c r="M91" s="100"/>
      <c r="N91" s="101"/>
      <c r="O91" s="91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</row>
    <row r="92">
      <c r="A92" s="91"/>
      <c r="B92" s="91"/>
      <c r="C92" s="91"/>
      <c r="D92" s="91"/>
      <c r="E92" s="91"/>
      <c r="F92" s="91"/>
      <c r="G92" s="91"/>
      <c r="H92" s="98"/>
      <c r="I92" s="91"/>
      <c r="J92" s="97"/>
      <c r="K92" s="97"/>
      <c r="L92" s="99"/>
      <c r="M92" s="100"/>
      <c r="N92" s="101"/>
      <c r="O92" s="91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</row>
    <row r="93">
      <c r="A93" s="91"/>
      <c r="B93" s="91"/>
      <c r="C93" s="91"/>
      <c r="D93" s="91"/>
      <c r="E93" s="91"/>
      <c r="F93" s="91"/>
      <c r="G93" s="91"/>
      <c r="H93" s="98"/>
      <c r="I93" s="91"/>
      <c r="J93" s="97"/>
      <c r="K93" s="97"/>
      <c r="L93" s="99"/>
      <c r="M93" s="100"/>
      <c r="N93" s="101"/>
      <c r="O93" s="91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</row>
    <row r="94">
      <c r="A94" s="91"/>
      <c r="B94" s="91"/>
      <c r="C94" s="91"/>
      <c r="D94" s="91"/>
      <c r="E94" s="91"/>
      <c r="F94" s="91"/>
      <c r="G94" s="91"/>
      <c r="H94" s="98"/>
      <c r="I94" s="91"/>
      <c r="J94" s="97"/>
      <c r="K94" s="97"/>
      <c r="L94" s="99"/>
      <c r="M94" s="100"/>
      <c r="N94" s="101"/>
      <c r="O94" s="91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</row>
    <row r="95">
      <c r="A95" s="91"/>
      <c r="B95" s="91"/>
      <c r="C95" s="91"/>
      <c r="D95" s="91"/>
      <c r="E95" s="91"/>
      <c r="F95" s="91"/>
      <c r="G95" s="91"/>
      <c r="H95" s="98"/>
      <c r="I95" s="91"/>
      <c r="J95" s="97"/>
      <c r="K95" s="97"/>
      <c r="L95" s="99"/>
      <c r="M95" s="100"/>
      <c r="N95" s="101"/>
      <c r="O95" s="91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</row>
    <row r="96">
      <c r="A96" s="91"/>
      <c r="B96" s="91"/>
      <c r="C96" s="91"/>
      <c r="D96" s="91"/>
      <c r="E96" s="91"/>
      <c r="F96" s="91"/>
      <c r="G96" s="91"/>
      <c r="H96" s="98"/>
      <c r="I96" s="91"/>
      <c r="J96" s="97"/>
      <c r="K96" s="97"/>
      <c r="L96" s="99"/>
      <c r="M96" s="100"/>
      <c r="N96" s="101"/>
      <c r="O96" s="91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</row>
    <row r="97">
      <c r="A97" s="91"/>
      <c r="B97" s="91"/>
      <c r="C97" s="91"/>
      <c r="D97" s="91"/>
      <c r="E97" s="91"/>
      <c r="F97" s="91"/>
      <c r="G97" s="91"/>
      <c r="H97" s="98"/>
      <c r="I97" s="91"/>
      <c r="J97" s="97"/>
      <c r="K97" s="97"/>
      <c r="L97" s="99"/>
      <c r="M97" s="100"/>
      <c r="N97" s="101"/>
      <c r="O97" s="91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</row>
    <row r="98">
      <c r="A98" s="91"/>
      <c r="B98" s="91"/>
      <c r="C98" s="91"/>
      <c r="D98" s="91"/>
      <c r="E98" s="91"/>
      <c r="F98" s="91"/>
      <c r="G98" s="91"/>
      <c r="H98" s="98"/>
      <c r="I98" s="91"/>
      <c r="J98" s="97"/>
      <c r="K98" s="97"/>
      <c r="L98" s="99"/>
      <c r="M98" s="100"/>
      <c r="N98" s="101"/>
      <c r="O98" s="91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</row>
    <row r="99">
      <c r="A99" s="91"/>
      <c r="B99" s="91"/>
      <c r="C99" s="91"/>
      <c r="D99" s="91"/>
      <c r="E99" s="91"/>
      <c r="F99" s="91"/>
      <c r="G99" s="91"/>
      <c r="H99" s="98"/>
      <c r="I99" s="91"/>
      <c r="J99" s="97"/>
      <c r="K99" s="97"/>
      <c r="L99" s="99"/>
      <c r="M99" s="100"/>
      <c r="N99" s="101"/>
      <c r="O99" s="91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</row>
    <row r="100">
      <c r="A100" s="91"/>
      <c r="B100" s="91"/>
      <c r="C100" s="91"/>
      <c r="D100" s="91"/>
      <c r="E100" s="91"/>
      <c r="F100" s="91"/>
      <c r="G100" s="91"/>
      <c r="H100" s="98"/>
      <c r="I100" s="91"/>
      <c r="J100" s="97"/>
      <c r="K100" s="97"/>
      <c r="L100" s="99"/>
      <c r="M100" s="100"/>
      <c r="N100" s="101"/>
      <c r="O100" s="91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</row>
    <row r="101">
      <c r="A101" s="91"/>
      <c r="B101" s="91"/>
      <c r="C101" s="91"/>
      <c r="D101" s="91"/>
      <c r="E101" s="91"/>
      <c r="F101" s="91"/>
      <c r="G101" s="91"/>
      <c r="H101" s="98"/>
      <c r="I101" s="91"/>
      <c r="J101" s="97"/>
      <c r="K101" s="97"/>
      <c r="L101" s="99"/>
      <c r="M101" s="100"/>
      <c r="N101" s="101"/>
      <c r="O101" s="91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</row>
    <row r="102">
      <c r="A102" s="91"/>
      <c r="B102" s="91"/>
      <c r="C102" s="91"/>
      <c r="D102" s="91"/>
      <c r="E102" s="91"/>
      <c r="F102" s="91"/>
      <c r="G102" s="91"/>
      <c r="H102" s="98"/>
      <c r="I102" s="91"/>
      <c r="J102" s="97"/>
      <c r="K102" s="97"/>
      <c r="L102" s="99"/>
      <c r="M102" s="100"/>
      <c r="N102" s="101"/>
      <c r="O102" s="91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</row>
    <row r="103">
      <c r="A103" s="91"/>
      <c r="B103" s="91"/>
      <c r="C103" s="91"/>
      <c r="D103" s="91"/>
      <c r="E103" s="91"/>
      <c r="F103" s="91"/>
      <c r="G103" s="91"/>
      <c r="H103" s="98"/>
      <c r="I103" s="91"/>
      <c r="J103" s="97"/>
      <c r="K103" s="97"/>
      <c r="L103" s="99"/>
      <c r="M103" s="100"/>
      <c r="N103" s="101"/>
      <c r="O103" s="91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</row>
    <row r="104">
      <c r="A104" s="91"/>
      <c r="B104" s="91"/>
      <c r="C104" s="91"/>
      <c r="D104" s="91"/>
      <c r="E104" s="91"/>
      <c r="F104" s="91"/>
      <c r="G104" s="91"/>
      <c r="H104" s="98"/>
      <c r="I104" s="91"/>
      <c r="J104" s="97"/>
      <c r="K104" s="97"/>
      <c r="L104" s="99"/>
      <c r="M104" s="100"/>
      <c r="N104" s="101"/>
      <c r="O104" s="91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</row>
    <row r="105">
      <c r="A105" s="91"/>
      <c r="B105" s="91"/>
      <c r="C105" s="91"/>
      <c r="D105" s="91"/>
      <c r="E105" s="91"/>
      <c r="F105" s="91"/>
      <c r="G105" s="91"/>
      <c r="H105" s="98"/>
      <c r="I105" s="91"/>
      <c r="J105" s="97"/>
      <c r="K105" s="97"/>
      <c r="L105" s="99"/>
      <c r="M105" s="100"/>
      <c r="N105" s="101"/>
      <c r="O105" s="91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</row>
    <row r="106">
      <c r="A106" s="91"/>
      <c r="B106" s="91"/>
      <c r="C106" s="91"/>
      <c r="D106" s="91"/>
      <c r="E106" s="91"/>
      <c r="F106" s="91"/>
      <c r="G106" s="91"/>
      <c r="H106" s="98"/>
      <c r="I106" s="91"/>
      <c r="J106" s="97"/>
      <c r="K106" s="97"/>
      <c r="L106" s="99"/>
      <c r="M106" s="100"/>
      <c r="N106" s="101"/>
      <c r="O106" s="91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</row>
    <row r="107">
      <c r="A107" s="91"/>
      <c r="B107" s="91"/>
      <c r="C107" s="91"/>
      <c r="D107" s="91"/>
      <c r="E107" s="91"/>
      <c r="F107" s="91"/>
      <c r="G107" s="91"/>
      <c r="H107" s="98"/>
      <c r="I107" s="91"/>
      <c r="J107" s="97"/>
      <c r="K107" s="97"/>
      <c r="L107" s="99"/>
      <c r="M107" s="100"/>
      <c r="N107" s="101"/>
      <c r="O107" s="91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</row>
    <row r="108">
      <c r="A108" s="91"/>
      <c r="B108" s="91"/>
      <c r="C108" s="91"/>
      <c r="D108" s="91"/>
      <c r="E108" s="91"/>
      <c r="F108" s="91"/>
      <c r="G108" s="91"/>
      <c r="H108" s="98"/>
      <c r="I108" s="91"/>
      <c r="J108" s="97"/>
      <c r="K108" s="97"/>
      <c r="L108" s="99"/>
      <c r="M108" s="100"/>
      <c r="N108" s="101"/>
      <c r="O108" s="91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</row>
    <row r="109">
      <c r="A109" s="91"/>
      <c r="B109" s="91"/>
      <c r="C109" s="91"/>
      <c r="D109" s="91"/>
      <c r="E109" s="91"/>
      <c r="F109" s="91"/>
      <c r="G109" s="91"/>
      <c r="H109" s="98"/>
      <c r="I109" s="91"/>
      <c r="J109" s="97"/>
      <c r="K109" s="97"/>
      <c r="L109" s="99"/>
      <c r="M109" s="100"/>
      <c r="N109" s="101"/>
      <c r="O109" s="91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</row>
    <row r="110">
      <c r="A110" s="91"/>
      <c r="B110" s="91"/>
      <c r="C110" s="91"/>
      <c r="D110" s="91"/>
      <c r="E110" s="91"/>
      <c r="F110" s="91"/>
      <c r="G110" s="91"/>
      <c r="H110" s="98"/>
      <c r="I110" s="91"/>
      <c r="J110" s="97"/>
      <c r="K110" s="97"/>
      <c r="L110" s="99"/>
      <c r="M110" s="100"/>
      <c r="N110" s="101"/>
      <c r="O110" s="91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</row>
    <row r="111">
      <c r="A111" s="91"/>
      <c r="B111" s="91"/>
      <c r="C111" s="91"/>
      <c r="D111" s="91"/>
      <c r="E111" s="91"/>
      <c r="F111" s="91"/>
      <c r="G111" s="91"/>
      <c r="H111" s="98"/>
      <c r="I111" s="91"/>
      <c r="J111" s="97"/>
      <c r="K111" s="97"/>
      <c r="L111" s="99"/>
      <c r="M111" s="100"/>
      <c r="N111" s="101"/>
      <c r="O111" s="91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</row>
    <row r="112">
      <c r="A112" s="91"/>
      <c r="B112" s="91"/>
      <c r="C112" s="91"/>
      <c r="D112" s="91"/>
      <c r="E112" s="91"/>
      <c r="F112" s="91"/>
      <c r="G112" s="91"/>
      <c r="H112" s="98"/>
      <c r="I112" s="91"/>
      <c r="J112" s="97"/>
      <c r="K112" s="97"/>
      <c r="L112" s="99"/>
      <c r="M112" s="100"/>
      <c r="N112" s="101"/>
      <c r="O112" s="91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</row>
    <row r="113">
      <c r="A113" s="91"/>
      <c r="B113" s="91"/>
      <c r="C113" s="91"/>
      <c r="D113" s="91"/>
      <c r="E113" s="91"/>
      <c r="F113" s="91"/>
      <c r="G113" s="91"/>
      <c r="H113" s="98"/>
      <c r="I113" s="91"/>
      <c r="J113" s="97"/>
      <c r="K113" s="97"/>
      <c r="L113" s="99"/>
      <c r="M113" s="100"/>
      <c r="N113" s="101"/>
      <c r="O113" s="91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</row>
    <row r="114">
      <c r="A114" s="91"/>
      <c r="B114" s="91"/>
      <c r="C114" s="91"/>
      <c r="D114" s="91"/>
      <c r="E114" s="91"/>
      <c r="F114" s="91"/>
      <c r="G114" s="91"/>
      <c r="H114" s="98"/>
      <c r="I114" s="91"/>
      <c r="J114" s="97"/>
      <c r="K114" s="97"/>
      <c r="L114" s="99"/>
      <c r="M114" s="100"/>
      <c r="N114" s="101"/>
      <c r="O114" s="91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</row>
    <row r="115">
      <c r="A115" s="91"/>
      <c r="B115" s="91"/>
      <c r="C115" s="91"/>
      <c r="D115" s="91"/>
      <c r="E115" s="91"/>
      <c r="F115" s="91"/>
      <c r="G115" s="91"/>
      <c r="H115" s="98"/>
      <c r="I115" s="91"/>
      <c r="J115" s="97"/>
      <c r="K115" s="97"/>
      <c r="L115" s="99"/>
      <c r="M115" s="100"/>
      <c r="N115" s="101"/>
      <c r="O115" s="91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</row>
    <row r="116">
      <c r="A116" s="91"/>
      <c r="B116" s="91"/>
      <c r="C116" s="91"/>
      <c r="D116" s="91"/>
      <c r="E116" s="91"/>
      <c r="F116" s="91"/>
      <c r="G116" s="91"/>
      <c r="H116" s="98"/>
      <c r="I116" s="91"/>
      <c r="J116" s="97"/>
      <c r="K116" s="97"/>
      <c r="L116" s="99"/>
      <c r="M116" s="100"/>
      <c r="N116" s="101"/>
      <c r="O116" s="91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</row>
    <row r="117">
      <c r="A117" s="91"/>
      <c r="B117" s="91"/>
      <c r="C117" s="91"/>
      <c r="D117" s="91"/>
      <c r="E117" s="91"/>
      <c r="F117" s="91"/>
      <c r="G117" s="91"/>
      <c r="H117" s="98"/>
      <c r="I117" s="91"/>
      <c r="J117" s="97"/>
      <c r="K117" s="97"/>
      <c r="L117" s="99"/>
      <c r="M117" s="100"/>
      <c r="N117" s="101"/>
      <c r="O117" s="91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</row>
    <row r="118">
      <c r="A118" s="91"/>
      <c r="B118" s="91"/>
      <c r="C118" s="91"/>
      <c r="D118" s="91"/>
      <c r="E118" s="91"/>
      <c r="F118" s="91"/>
      <c r="G118" s="91"/>
      <c r="H118" s="98"/>
      <c r="I118" s="91"/>
      <c r="J118" s="97"/>
      <c r="K118" s="97"/>
      <c r="L118" s="99"/>
      <c r="M118" s="100"/>
      <c r="N118" s="101"/>
      <c r="O118" s="91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</row>
    <row r="119">
      <c r="A119" s="91"/>
      <c r="B119" s="91"/>
      <c r="C119" s="91"/>
      <c r="D119" s="91"/>
      <c r="E119" s="91"/>
      <c r="F119" s="91"/>
      <c r="G119" s="91"/>
      <c r="H119" s="98"/>
      <c r="I119" s="91"/>
      <c r="J119" s="97"/>
      <c r="K119" s="97"/>
      <c r="L119" s="99"/>
      <c r="M119" s="100"/>
      <c r="N119" s="101"/>
      <c r="O119" s="91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</row>
    <row r="120">
      <c r="A120" s="91"/>
      <c r="B120" s="91"/>
      <c r="C120" s="91"/>
      <c r="D120" s="91"/>
      <c r="E120" s="91"/>
      <c r="F120" s="91"/>
      <c r="G120" s="91"/>
      <c r="H120" s="98"/>
      <c r="I120" s="91"/>
      <c r="J120" s="97"/>
      <c r="K120" s="97"/>
      <c r="L120" s="99"/>
      <c r="M120" s="100"/>
      <c r="N120" s="101"/>
      <c r="O120" s="91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</row>
    <row r="121">
      <c r="A121" s="91"/>
      <c r="B121" s="91"/>
      <c r="C121" s="91"/>
      <c r="D121" s="91"/>
      <c r="E121" s="91"/>
      <c r="F121" s="91"/>
      <c r="G121" s="91"/>
      <c r="H121" s="98"/>
      <c r="I121" s="91"/>
      <c r="J121" s="97"/>
      <c r="K121" s="97"/>
      <c r="L121" s="99"/>
      <c r="M121" s="100"/>
      <c r="N121" s="101"/>
      <c r="O121" s="91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</row>
    <row r="122">
      <c r="A122" s="91"/>
      <c r="B122" s="91"/>
      <c r="C122" s="91"/>
      <c r="D122" s="91"/>
      <c r="E122" s="91"/>
      <c r="F122" s="91"/>
      <c r="G122" s="91"/>
      <c r="H122" s="98"/>
      <c r="I122" s="91"/>
      <c r="J122" s="97"/>
      <c r="K122" s="97"/>
      <c r="L122" s="99"/>
      <c r="M122" s="100"/>
      <c r="N122" s="101"/>
      <c r="O122" s="91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</row>
    <row r="123">
      <c r="A123" s="91"/>
      <c r="B123" s="91"/>
      <c r="C123" s="91"/>
      <c r="D123" s="91"/>
      <c r="E123" s="91"/>
      <c r="F123" s="91"/>
      <c r="G123" s="91"/>
      <c r="H123" s="98"/>
      <c r="I123" s="91"/>
      <c r="J123" s="97"/>
      <c r="K123" s="97"/>
      <c r="L123" s="99"/>
      <c r="M123" s="100"/>
      <c r="N123" s="101"/>
      <c r="O123" s="91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</row>
    <row r="124">
      <c r="A124" s="91"/>
      <c r="B124" s="91"/>
      <c r="C124" s="91"/>
      <c r="D124" s="91"/>
      <c r="E124" s="91"/>
      <c r="F124" s="91"/>
      <c r="G124" s="91"/>
      <c r="H124" s="98"/>
      <c r="I124" s="91"/>
      <c r="J124" s="97"/>
      <c r="K124" s="97"/>
      <c r="L124" s="99"/>
      <c r="M124" s="100"/>
      <c r="N124" s="101"/>
      <c r="O124" s="91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</row>
    <row r="125">
      <c r="A125" s="91"/>
      <c r="B125" s="91"/>
      <c r="C125" s="91"/>
      <c r="D125" s="91"/>
      <c r="E125" s="91"/>
      <c r="F125" s="91"/>
      <c r="G125" s="91"/>
      <c r="H125" s="98"/>
      <c r="I125" s="91"/>
      <c r="J125" s="97"/>
      <c r="K125" s="97"/>
      <c r="L125" s="99"/>
      <c r="M125" s="100"/>
      <c r="N125" s="101"/>
      <c r="O125" s="91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</row>
    <row r="126">
      <c r="A126" s="91"/>
      <c r="B126" s="91"/>
      <c r="C126" s="91"/>
      <c r="D126" s="91"/>
      <c r="E126" s="91"/>
      <c r="F126" s="91"/>
      <c r="G126" s="91"/>
      <c r="H126" s="98"/>
      <c r="I126" s="91"/>
      <c r="J126" s="97"/>
      <c r="K126" s="97"/>
      <c r="L126" s="99"/>
      <c r="M126" s="100"/>
      <c r="N126" s="101"/>
      <c r="O126" s="91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</row>
    <row r="127">
      <c r="A127" s="91"/>
      <c r="B127" s="91"/>
      <c r="C127" s="91"/>
      <c r="D127" s="91"/>
      <c r="E127" s="91"/>
      <c r="F127" s="91"/>
      <c r="G127" s="91"/>
      <c r="H127" s="98"/>
      <c r="I127" s="91"/>
      <c r="J127" s="97"/>
      <c r="K127" s="97"/>
      <c r="L127" s="99"/>
      <c r="M127" s="100"/>
      <c r="N127" s="101"/>
      <c r="O127" s="91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</row>
    <row r="128">
      <c r="A128" s="91"/>
      <c r="B128" s="91"/>
      <c r="C128" s="91"/>
      <c r="D128" s="91"/>
      <c r="E128" s="91"/>
      <c r="F128" s="91"/>
      <c r="G128" s="91"/>
      <c r="H128" s="98"/>
      <c r="I128" s="91"/>
      <c r="J128" s="97"/>
      <c r="K128" s="97"/>
      <c r="L128" s="99"/>
      <c r="M128" s="100"/>
      <c r="N128" s="101"/>
      <c r="O128" s="91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</row>
    <row r="129">
      <c r="A129" s="91"/>
      <c r="B129" s="91"/>
      <c r="C129" s="91"/>
      <c r="D129" s="91"/>
      <c r="E129" s="91"/>
      <c r="F129" s="91"/>
      <c r="G129" s="91"/>
      <c r="H129" s="98"/>
      <c r="I129" s="91"/>
      <c r="J129" s="97"/>
      <c r="K129" s="97"/>
      <c r="L129" s="99"/>
      <c r="M129" s="100"/>
      <c r="N129" s="101"/>
      <c r="O129" s="91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</row>
    <row r="130">
      <c r="A130" s="91"/>
      <c r="B130" s="91"/>
      <c r="C130" s="91"/>
      <c r="D130" s="91"/>
      <c r="E130" s="91"/>
      <c r="F130" s="91"/>
      <c r="G130" s="91"/>
      <c r="H130" s="98"/>
      <c r="I130" s="91"/>
      <c r="J130" s="97"/>
      <c r="K130" s="97"/>
      <c r="L130" s="99"/>
      <c r="M130" s="100"/>
      <c r="N130" s="101"/>
      <c r="O130" s="91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</row>
    <row r="131">
      <c r="A131" s="91"/>
      <c r="B131" s="91"/>
      <c r="C131" s="91"/>
      <c r="D131" s="91"/>
      <c r="E131" s="91"/>
      <c r="F131" s="91"/>
      <c r="G131" s="91"/>
      <c r="H131" s="98"/>
      <c r="I131" s="91"/>
      <c r="J131" s="97"/>
      <c r="K131" s="97"/>
      <c r="L131" s="99"/>
      <c r="M131" s="100"/>
      <c r="N131" s="101"/>
      <c r="O131" s="91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</row>
    <row r="132">
      <c r="A132" s="91"/>
      <c r="B132" s="91"/>
      <c r="C132" s="91"/>
      <c r="D132" s="91"/>
      <c r="E132" s="91"/>
      <c r="F132" s="91"/>
      <c r="G132" s="91"/>
      <c r="H132" s="98"/>
      <c r="I132" s="91"/>
      <c r="J132" s="97"/>
      <c r="K132" s="97"/>
      <c r="L132" s="99"/>
      <c r="M132" s="100"/>
      <c r="N132" s="101"/>
      <c r="O132" s="91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</row>
    <row r="133">
      <c r="A133" s="91"/>
      <c r="B133" s="91"/>
      <c r="C133" s="91"/>
      <c r="D133" s="91"/>
      <c r="E133" s="91"/>
      <c r="F133" s="91"/>
      <c r="G133" s="91"/>
      <c r="H133" s="98"/>
      <c r="I133" s="91"/>
      <c r="J133" s="97"/>
      <c r="K133" s="97"/>
      <c r="L133" s="99"/>
      <c r="M133" s="100"/>
      <c r="N133" s="101"/>
      <c r="O133" s="91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</row>
    <row r="134">
      <c r="A134" s="91"/>
      <c r="B134" s="91"/>
      <c r="C134" s="91"/>
      <c r="D134" s="91"/>
      <c r="E134" s="91"/>
      <c r="F134" s="91"/>
      <c r="G134" s="91"/>
      <c r="H134" s="98"/>
      <c r="I134" s="91"/>
      <c r="J134" s="97"/>
      <c r="K134" s="97"/>
      <c r="L134" s="99"/>
      <c r="M134" s="100"/>
      <c r="N134" s="101"/>
      <c r="O134" s="91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</row>
    <row r="135">
      <c r="A135" s="91"/>
      <c r="B135" s="91"/>
      <c r="C135" s="91"/>
      <c r="D135" s="91"/>
      <c r="E135" s="91"/>
      <c r="F135" s="91"/>
      <c r="G135" s="91"/>
      <c r="H135" s="98"/>
      <c r="I135" s="91"/>
      <c r="J135" s="97"/>
      <c r="K135" s="97"/>
      <c r="L135" s="99"/>
      <c r="M135" s="100"/>
      <c r="N135" s="101"/>
      <c r="O135" s="91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</row>
    <row r="136">
      <c r="A136" s="91"/>
      <c r="B136" s="91"/>
      <c r="C136" s="91"/>
      <c r="D136" s="91"/>
      <c r="E136" s="91"/>
      <c r="F136" s="91"/>
      <c r="G136" s="91"/>
      <c r="H136" s="98"/>
      <c r="I136" s="91"/>
      <c r="J136" s="97"/>
      <c r="K136" s="97"/>
      <c r="L136" s="99"/>
      <c r="M136" s="100"/>
      <c r="N136" s="101"/>
      <c r="O136" s="91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</row>
    <row r="137">
      <c r="A137" s="91"/>
      <c r="B137" s="91"/>
      <c r="C137" s="91"/>
      <c r="D137" s="91"/>
      <c r="E137" s="91"/>
      <c r="F137" s="91"/>
      <c r="G137" s="91"/>
      <c r="H137" s="98"/>
      <c r="I137" s="91"/>
      <c r="J137" s="97"/>
      <c r="K137" s="97"/>
      <c r="L137" s="99"/>
      <c r="M137" s="100"/>
      <c r="N137" s="101"/>
      <c r="O137" s="91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</row>
    <row r="138">
      <c r="A138" s="91"/>
      <c r="B138" s="91"/>
      <c r="C138" s="91"/>
      <c r="D138" s="91"/>
      <c r="E138" s="91"/>
      <c r="F138" s="91"/>
      <c r="G138" s="91"/>
      <c r="H138" s="98"/>
      <c r="I138" s="91"/>
      <c r="J138" s="97"/>
      <c r="K138" s="97"/>
      <c r="L138" s="99"/>
      <c r="M138" s="100"/>
      <c r="N138" s="101"/>
      <c r="O138" s="91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</row>
    <row r="139">
      <c r="A139" s="91"/>
      <c r="B139" s="91"/>
      <c r="C139" s="91"/>
      <c r="D139" s="91"/>
      <c r="E139" s="91"/>
      <c r="F139" s="91"/>
      <c r="G139" s="91"/>
      <c r="H139" s="98"/>
      <c r="I139" s="91"/>
      <c r="J139" s="97"/>
      <c r="K139" s="97"/>
      <c r="L139" s="99"/>
      <c r="M139" s="100"/>
      <c r="N139" s="101"/>
      <c r="O139" s="91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</row>
    <row r="140">
      <c r="A140" s="91"/>
      <c r="B140" s="91"/>
      <c r="C140" s="91"/>
      <c r="D140" s="91"/>
      <c r="E140" s="91"/>
      <c r="F140" s="91"/>
      <c r="G140" s="91"/>
      <c r="H140" s="98"/>
      <c r="I140" s="91"/>
      <c r="J140" s="97"/>
      <c r="K140" s="97"/>
      <c r="L140" s="99"/>
      <c r="M140" s="100"/>
      <c r="N140" s="101"/>
      <c r="O140" s="91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</row>
    <row r="141">
      <c r="A141" s="91"/>
      <c r="B141" s="91"/>
      <c r="C141" s="91"/>
      <c r="D141" s="91"/>
      <c r="E141" s="91"/>
      <c r="F141" s="91"/>
      <c r="G141" s="91"/>
      <c r="H141" s="98"/>
      <c r="I141" s="91"/>
      <c r="J141" s="97"/>
      <c r="K141" s="97"/>
      <c r="L141" s="99"/>
      <c r="M141" s="100"/>
      <c r="N141" s="101"/>
      <c r="O141" s="91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</row>
    <row r="142">
      <c r="A142" s="91"/>
      <c r="B142" s="91"/>
      <c r="C142" s="91"/>
      <c r="D142" s="91"/>
      <c r="E142" s="91"/>
      <c r="F142" s="91"/>
      <c r="G142" s="91"/>
      <c r="H142" s="98"/>
      <c r="I142" s="91"/>
      <c r="J142" s="97"/>
      <c r="K142" s="97"/>
      <c r="L142" s="99"/>
      <c r="M142" s="100"/>
      <c r="N142" s="101"/>
      <c r="O142" s="91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</row>
    <row r="143">
      <c r="A143" s="91"/>
      <c r="B143" s="91"/>
      <c r="C143" s="91"/>
      <c r="D143" s="91"/>
      <c r="E143" s="91"/>
      <c r="F143" s="91"/>
      <c r="G143" s="91"/>
      <c r="H143" s="98"/>
      <c r="I143" s="91"/>
      <c r="J143" s="97"/>
      <c r="K143" s="97"/>
      <c r="L143" s="99"/>
      <c r="M143" s="100"/>
      <c r="N143" s="101"/>
      <c r="O143" s="91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</row>
    <row r="144">
      <c r="A144" s="91"/>
      <c r="B144" s="91"/>
      <c r="C144" s="91"/>
      <c r="D144" s="91"/>
      <c r="E144" s="91"/>
      <c r="F144" s="91"/>
      <c r="G144" s="91"/>
      <c r="H144" s="98"/>
      <c r="I144" s="91"/>
      <c r="J144" s="97"/>
      <c r="K144" s="97"/>
      <c r="L144" s="99"/>
      <c r="M144" s="100"/>
      <c r="N144" s="101"/>
      <c r="O144" s="91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</row>
    <row r="145">
      <c r="A145" s="91"/>
      <c r="B145" s="91"/>
      <c r="C145" s="91"/>
      <c r="D145" s="91"/>
      <c r="E145" s="91"/>
      <c r="F145" s="91"/>
      <c r="G145" s="91"/>
      <c r="H145" s="98"/>
      <c r="I145" s="91"/>
      <c r="J145" s="97"/>
      <c r="K145" s="97"/>
      <c r="L145" s="99"/>
      <c r="M145" s="100"/>
      <c r="N145" s="101"/>
      <c r="O145" s="91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</row>
    <row r="146">
      <c r="A146" s="91"/>
      <c r="B146" s="91"/>
      <c r="C146" s="91"/>
      <c r="D146" s="91"/>
      <c r="E146" s="91"/>
      <c r="F146" s="91"/>
      <c r="G146" s="91"/>
      <c r="H146" s="98"/>
      <c r="I146" s="91"/>
      <c r="J146" s="97"/>
      <c r="K146" s="97"/>
      <c r="L146" s="99"/>
      <c r="M146" s="100"/>
      <c r="N146" s="101"/>
      <c r="O146" s="91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</row>
    <row r="147">
      <c r="A147" s="91"/>
      <c r="B147" s="91"/>
      <c r="C147" s="91"/>
      <c r="D147" s="91"/>
      <c r="E147" s="91"/>
      <c r="F147" s="91"/>
      <c r="G147" s="91"/>
      <c r="H147" s="98"/>
      <c r="I147" s="91"/>
      <c r="J147" s="97"/>
      <c r="K147" s="97"/>
      <c r="L147" s="99"/>
      <c r="M147" s="100"/>
      <c r="N147" s="101"/>
      <c r="O147" s="91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</row>
    <row r="148">
      <c r="A148" s="91"/>
      <c r="B148" s="91"/>
      <c r="C148" s="91"/>
      <c r="D148" s="91"/>
      <c r="E148" s="91"/>
      <c r="F148" s="91"/>
      <c r="G148" s="91"/>
      <c r="H148" s="98"/>
      <c r="I148" s="91"/>
      <c r="J148" s="97"/>
      <c r="K148" s="97"/>
      <c r="L148" s="99"/>
      <c r="M148" s="100"/>
      <c r="N148" s="101"/>
      <c r="O148" s="91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</row>
    <row r="149">
      <c r="A149" s="91"/>
      <c r="B149" s="91"/>
      <c r="C149" s="91"/>
      <c r="D149" s="91"/>
      <c r="E149" s="91"/>
      <c r="F149" s="91"/>
      <c r="G149" s="91"/>
      <c r="H149" s="98"/>
      <c r="I149" s="91"/>
      <c r="J149" s="97"/>
      <c r="K149" s="97"/>
      <c r="L149" s="99"/>
      <c r="M149" s="100"/>
      <c r="N149" s="101"/>
      <c r="O149" s="91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</row>
    <row r="150">
      <c r="A150" s="91"/>
      <c r="B150" s="91"/>
      <c r="C150" s="91"/>
      <c r="D150" s="91"/>
      <c r="E150" s="91"/>
      <c r="F150" s="91"/>
      <c r="G150" s="91"/>
      <c r="H150" s="98"/>
      <c r="I150" s="91"/>
      <c r="J150" s="97"/>
      <c r="K150" s="97"/>
      <c r="L150" s="99"/>
      <c r="M150" s="100"/>
      <c r="N150" s="101"/>
      <c r="O150" s="91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</row>
    <row r="151">
      <c r="A151" s="91"/>
      <c r="B151" s="91"/>
      <c r="C151" s="91"/>
      <c r="D151" s="91"/>
      <c r="E151" s="91"/>
      <c r="F151" s="91"/>
      <c r="G151" s="91"/>
      <c r="H151" s="98"/>
      <c r="I151" s="91"/>
      <c r="J151" s="97"/>
      <c r="K151" s="97"/>
      <c r="L151" s="99"/>
      <c r="M151" s="100"/>
      <c r="N151" s="101"/>
      <c r="O151" s="91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</row>
    <row r="152">
      <c r="A152" s="91"/>
      <c r="B152" s="91"/>
      <c r="C152" s="91"/>
      <c r="D152" s="91"/>
      <c r="E152" s="91"/>
      <c r="F152" s="91"/>
      <c r="G152" s="91"/>
      <c r="H152" s="98"/>
      <c r="I152" s="91"/>
      <c r="J152" s="97"/>
      <c r="K152" s="97"/>
      <c r="L152" s="99"/>
      <c r="M152" s="100"/>
      <c r="N152" s="101"/>
      <c r="O152" s="91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</row>
    <row r="153">
      <c r="A153" s="91"/>
      <c r="B153" s="91"/>
      <c r="C153" s="91"/>
      <c r="D153" s="91"/>
      <c r="E153" s="91"/>
      <c r="F153" s="91"/>
      <c r="G153" s="91"/>
      <c r="H153" s="98"/>
      <c r="I153" s="91"/>
      <c r="J153" s="97"/>
      <c r="K153" s="97"/>
      <c r="L153" s="99"/>
      <c r="M153" s="100"/>
      <c r="N153" s="101"/>
      <c r="O153" s="91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</row>
    <row r="154">
      <c r="A154" s="91"/>
      <c r="B154" s="91"/>
      <c r="C154" s="91"/>
      <c r="D154" s="91"/>
      <c r="E154" s="91"/>
      <c r="F154" s="91"/>
      <c r="G154" s="91"/>
      <c r="H154" s="98"/>
      <c r="I154" s="91"/>
      <c r="J154" s="97"/>
      <c r="K154" s="97"/>
      <c r="L154" s="99"/>
      <c r="M154" s="100"/>
      <c r="N154" s="101"/>
      <c r="O154" s="91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</row>
    <row r="155">
      <c r="A155" s="91"/>
      <c r="B155" s="91"/>
      <c r="C155" s="91"/>
      <c r="D155" s="91"/>
      <c r="E155" s="91"/>
      <c r="F155" s="91"/>
      <c r="G155" s="91"/>
      <c r="H155" s="98"/>
      <c r="I155" s="91"/>
      <c r="J155" s="97"/>
      <c r="K155" s="97"/>
      <c r="L155" s="99"/>
      <c r="M155" s="100"/>
      <c r="N155" s="101"/>
      <c r="O155" s="91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</row>
    <row r="156">
      <c r="A156" s="91"/>
      <c r="B156" s="91"/>
      <c r="C156" s="91"/>
      <c r="D156" s="91"/>
      <c r="E156" s="91"/>
      <c r="F156" s="91"/>
      <c r="G156" s="91"/>
      <c r="H156" s="98"/>
      <c r="I156" s="91"/>
      <c r="J156" s="97"/>
      <c r="K156" s="97"/>
      <c r="L156" s="99"/>
      <c r="M156" s="100"/>
      <c r="N156" s="101"/>
      <c r="O156" s="91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</row>
    <row r="157">
      <c r="A157" s="91"/>
      <c r="B157" s="91"/>
      <c r="C157" s="91"/>
      <c r="D157" s="91"/>
      <c r="E157" s="91"/>
      <c r="F157" s="91"/>
      <c r="G157" s="91"/>
      <c r="H157" s="98"/>
      <c r="I157" s="91"/>
      <c r="J157" s="97"/>
      <c r="K157" s="97"/>
      <c r="L157" s="99"/>
      <c r="M157" s="100"/>
      <c r="N157" s="101"/>
      <c r="O157" s="91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</row>
    <row r="158">
      <c r="A158" s="91"/>
      <c r="B158" s="91"/>
      <c r="C158" s="91"/>
      <c r="D158" s="91"/>
      <c r="E158" s="91"/>
      <c r="F158" s="91"/>
      <c r="G158" s="91"/>
      <c r="H158" s="98"/>
      <c r="I158" s="91"/>
      <c r="J158" s="97"/>
      <c r="K158" s="97"/>
      <c r="L158" s="99"/>
      <c r="M158" s="100"/>
      <c r="N158" s="101"/>
      <c r="O158" s="91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</row>
    <row r="159">
      <c r="A159" s="91"/>
      <c r="B159" s="91"/>
      <c r="C159" s="91"/>
      <c r="D159" s="91"/>
      <c r="E159" s="91"/>
      <c r="F159" s="91"/>
      <c r="G159" s="91"/>
      <c r="H159" s="98"/>
      <c r="I159" s="91"/>
      <c r="J159" s="97"/>
      <c r="K159" s="97"/>
      <c r="L159" s="99"/>
      <c r="M159" s="100"/>
      <c r="N159" s="101"/>
      <c r="O159" s="91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</row>
    <row r="160">
      <c r="A160" s="91"/>
      <c r="B160" s="91"/>
      <c r="C160" s="91"/>
      <c r="D160" s="91"/>
      <c r="E160" s="91"/>
      <c r="F160" s="91"/>
      <c r="G160" s="91"/>
      <c r="H160" s="98"/>
      <c r="I160" s="91"/>
      <c r="J160" s="97"/>
      <c r="K160" s="97"/>
      <c r="L160" s="99"/>
      <c r="M160" s="100"/>
      <c r="N160" s="101"/>
      <c r="O160" s="91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</row>
    <row r="161">
      <c r="A161" s="91"/>
      <c r="B161" s="91"/>
      <c r="C161" s="91"/>
      <c r="D161" s="91"/>
      <c r="E161" s="91"/>
      <c r="F161" s="91"/>
      <c r="G161" s="91"/>
      <c r="H161" s="98"/>
      <c r="I161" s="91"/>
      <c r="J161" s="97"/>
      <c r="K161" s="97"/>
      <c r="L161" s="99"/>
      <c r="M161" s="100"/>
      <c r="N161" s="101"/>
      <c r="O161" s="91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</row>
    <row r="162">
      <c r="A162" s="91"/>
      <c r="B162" s="91"/>
      <c r="C162" s="91"/>
      <c r="D162" s="91"/>
      <c r="E162" s="91"/>
      <c r="F162" s="91"/>
      <c r="G162" s="91"/>
      <c r="H162" s="98"/>
      <c r="I162" s="91"/>
      <c r="J162" s="97"/>
      <c r="K162" s="97"/>
      <c r="L162" s="99"/>
      <c r="M162" s="100"/>
      <c r="N162" s="101"/>
      <c r="O162" s="91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</row>
    <row r="163">
      <c r="A163" s="91"/>
      <c r="B163" s="91"/>
      <c r="C163" s="91"/>
      <c r="D163" s="91"/>
      <c r="E163" s="91"/>
      <c r="F163" s="91"/>
      <c r="G163" s="91"/>
      <c r="H163" s="98"/>
      <c r="I163" s="91"/>
      <c r="J163" s="97"/>
      <c r="K163" s="97"/>
      <c r="L163" s="99"/>
      <c r="M163" s="100"/>
      <c r="N163" s="101"/>
      <c r="O163" s="91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</row>
    <row r="164">
      <c r="A164" s="91"/>
      <c r="B164" s="91"/>
      <c r="C164" s="91"/>
      <c r="D164" s="91"/>
      <c r="E164" s="91"/>
      <c r="F164" s="91"/>
      <c r="G164" s="91"/>
      <c r="H164" s="98"/>
      <c r="I164" s="91"/>
      <c r="J164" s="97"/>
      <c r="K164" s="97"/>
      <c r="L164" s="99"/>
      <c r="M164" s="100"/>
      <c r="N164" s="101"/>
      <c r="O164" s="91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</row>
    <row r="165">
      <c r="A165" s="91"/>
      <c r="B165" s="91"/>
      <c r="C165" s="91"/>
      <c r="D165" s="91"/>
      <c r="E165" s="91"/>
      <c r="F165" s="91"/>
      <c r="G165" s="91"/>
      <c r="H165" s="98"/>
      <c r="I165" s="91"/>
      <c r="J165" s="97"/>
      <c r="K165" s="97"/>
      <c r="L165" s="99"/>
      <c r="M165" s="100"/>
      <c r="N165" s="101"/>
      <c r="O165" s="91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</row>
    <row r="166">
      <c r="A166" s="91"/>
      <c r="B166" s="91"/>
      <c r="C166" s="91"/>
      <c r="D166" s="91"/>
      <c r="E166" s="91"/>
      <c r="F166" s="91"/>
      <c r="G166" s="91"/>
      <c r="H166" s="98"/>
      <c r="I166" s="91"/>
      <c r="J166" s="97"/>
      <c r="K166" s="97"/>
      <c r="L166" s="99"/>
      <c r="M166" s="100"/>
      <c r="N166" s="101"/>
      <c r="O166" s="91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</row>
    <row r="167">
      <c r="A167" s="91"/>
      <c r="B167" s="91"/>
      <c r="C167" s="91"/>
      <c r="D167" s="91"/>
      <c r="E167" s="91"/>
      <c r="F167" s="91"/>
      <c r="G167" s="91"/>
      <c r="H167" s="98"/>
      <c r="I167" s="91"/>
      <c r="J167" s="97"/>
      <c r="K167" s="97"/>
      <c r="L167" s="99"/>
      <c r="M167" s="100"/>
      <c r="N167" s="101"/>
      <c r="O167" s="91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</row>
    <row r="168">
      <c r="A168" s="91"/>
      <c r="B168" s="91"/>
      <c r="C168" s="91"/>
      <c r="D168" s="91"/>
      <c r="E168" s="91"/>
      <c r="F168" s="91"/>
      <c r="G168" s="91"/>
      <c r="H168" s="98"/>
      <c r="I168" s="91"/>
      <c r="J168" s="97"/>
      <c r="K168" s="97"/>
      <c r="L168" s="99"/>
      <c r="M168" s="100"/>
      <c r="N168" s="101"/>
      <c r="O168" s="91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</row>
    <row r="169">
      <c r="A169" s="91"/>
      <c r="B169" s="91"/>
      <c r="C169" s="91"/>
      <c r="D169" s="91"/>
      <c r="E169" s="91"/>
      <c r="F169" s="91"/>
      <c r="G169" s="91"/>
      <c r="H169" s="98"/>
      <c r="I169" s="91"/>
      <c r="J169" s="97"/>
      <c r="K169" s="97"/>
      <c r="L169" s="99"/>
      <c r="M169" s="100"/>
      <c r="N169" s="101"/>
      <c r="O169" s="91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</row>
    <row r="170">
      <c r="A170" s="91"/>
      <c r="B170" s="91"/>
      <c r="C170" s="91"/>
      <c r="D170" s="91"/>
      <c r="E170" s="91"/>
      <c r="F170" s="91"/>
      <c r="G170" s="91"/>
      <c r="H170" s="98"/>
      <c r="I170" s="91"/>
      <c r="J170" s="97"/>
      <c r="K170" s="97"/>
      <c r="L170" s="99"/>
      <c r="M170" s="100"/>
      <c r="N170" s="101"/>
      <c r="O170" s="91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</row>
    <row r="171">
      <c r="A171" s="91"/>
      <c r="B171" s="91"/>
      <c r="C171" s="91"/>
      <c r="D171" s="91"/>
      <c r="E171" s="91"/>
      <c r="F171" s="91"/>
      <c r="G171" s="91"/>
      <c r="H171" s="98"/>
      <c r="I171" s="91"/>
      <c r="J171" s="97"/>
      <c r="K171" s="97"/>
      <c r="L171" s="99"/>
      <c r="M171" s="100"/>
      <c r="N171" s="101"/>
      <c r="O171" s="91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</row>
    <row r="172">
      <c r="A172" s="91"/>
      <c r="B172" s="91"/>
      <c r="C172" s="91"/>
      <c r="D172" s="91"/>
      <c r="E172" s="91"/>
      <c r="F172" s="91"/>
      <c r="G172" s="91"/>
      <c r="H172" s="98"/>
      <c r="I172" s="91"/>
      <c r="J172" s="97"/>
      <c r="K172" s="97"/>
      <c r="L172" s="99"/>
      <c r="M172" s="100"/>
      <c r="N172" s="101"/>
      <c r="O172" s="91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</row>
    <row r="173">
      <c r="A173" s="91"/>
      <c r="B173" s="91"/>
      <c r="C173" s="91"/>
      <c r="D173" s="91"/>
      <c r="E173" s="91"/>
      <c r="F173" s="91"/>
      <c r="G173" s="91"/>
      <c r="H173" s="98"/>
      <c r="I173" s="91"/>
      <c r="J173" s="97"/>
      <c r="K173" s="97"/>
      <c r="L173" s="99"/>
      <c r="M173" s="100"/>
      <c r="N173" s="101"/>
      <c r="O173" s="91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</row>
    <row r="174">
      <c r="A174" s="91"/>
      <c r="B174" s="91"/>
      <c r="C174" s="91"/>
      <c r="D174" s="91"/>
      <c r="E174" s="91"/>
      <c r="F174" s="91"/>
      <c r="G174" s="91"/>
      <c r="H174" s="98"/>
      <c r="I174" s="91"/>
      <c r="J174" s="97"/>
      <c r="K174" s="97"/>
      <c r="L174" s="99"/>
      <c r="M174" s="100"/>
      <c r="N174" s="101"/>
      <c r="O174" s="91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</row>
    <row r="175">
      <c r="A175" s="91"/>
      <c r="B175" s="91"/>
      <c r="C175" s="91"/>
      <c r="D175" s="91"/>
      <c r="E175" s="91"/>
      <c r="F175" s="91"/>
      <c r="G175" s="91"/>
      <c r="H175" s="98"/>
      <c r="I175" s="91"/>
      <c r="J175" s="97"/>
      <c r="K175" s="97"/>
      <c r="L175" s="99"/>
      <c r="M175" s="100"/>
      <c r="N175" s="101"/>
      <c r="O175" s="91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</row>
    <row r="176">
      <c r="A176" s="91"/>
      <c r="B176" s="91"/>
      <c r="C176" s="91"/>
      <c r="D176" s="91"/>
      <c r="E176" s="91"/>
      <c r="F176" s="91"/>
      <c r="G176" s="91"/>
      <c r="H176" s="98"/>
      <c r="I176" s="91"/>
      <c r="J176" s="97"/>
      <c r="K176" s="97"/>
      <c r="L176" s="99"/>
      <c r="M176" s="100"/>
      <c r="N176" s="101"/>
      <c r="O176" s="91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</row>
    <row r="177">
      <c r="A177" s="91"/>
      <c r="B177" s="91"/>
      <c r="C177" s="91"/>
      <c r="D177" s="91"/>
      <c r="E177" s="91"/>
      <c r="F177" s="91"/>
      <c r="G177" s="91"/>
      <c r="H177" s="98"/>
      <c r="I177" s="91"/>
      <c r="J177" s="97"/>
      <c r="K177" s="97"/>
      <c r="L177" s="99"/>
      <c r="M177" s="100"/>
      <c r="N177" s="101"/>
      <c r="O177" s="91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</row>
    <row r="178">
      <c r="A178" s="91"/>
      <c r="B178" s="91"/>
      <c r="C178" s="91"/>
      <c r="D178" s="91"/>
      <c r="E178" s="91"/>
      <c r="F178" s="91"/>
      <c r="G178" s="91"/>
      <c r="H178" s="98"/>
      <c r="I178" s="91"/>
      <c r="J178" s="97"/>
      <c r="K178" s="97"/>
      <c r="L178" s="99"/>
      <c r="M178" s="100"/>
      <c r="N178" s="101"/>
      <c r="O178" s="91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</row>
    <row r="179">
      <c r="A179" s="91"/>
      <c r="B179" s="91"/>
      <c r="C179" s="91"/>
      <c r="D179" s="91"/>
      <c r="E179" s="91"/>
      <c r="F179" s="91"/>
      <c r="G179" s="91"/>
      <c r="H179" s="98"/>
      <c r="I179" s="91"/>
      <c r="J179" s="97"/>
      <c r="K179" s="97"/>
      <c r="L179" s="99"/>
      <c r="M179" s="100"/>
      <c r="N179" s="101"/>
      <c r="O179" s="91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</row>
    <row r="180">
      <c r="A180" s="91"/>
      <c r="B180" s="91"/>
      <c r="C180" s="91"/>
      <c r="D180" s="91"/>
      <c r="E180" s="91"/>
      <c r="F180" s="91"/>
      <c r="G180" s="91"/>
      <c r="H180" s="98"/>
      <c r="I180" s="91"/>
      <c r="J180" s="97"/>
      <c r="K180" s="97"/>
      <c r="L180" s="99"/>
      <c r="M180" s="100"/>
      <c r="N180" s="101"/>
      <c r="O180" s="91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</row>
    <row r="181">
      <c r="A181" s="91"/>
      <c r="B181" s="91"/>
      <c r="C181" s="91"/>
      <c r="D181" s="91"/>
      <c r="E181" s="91"/>
      <c r="F181" s="91"/>
      <c r="G181" s="91"/>
      <c r="H181" s="98"/>
      <c r="I181" s="91"/>
      <c r="J181" s="97"/>
      <c r="K181" s="97"/>
      <c r="L181" s="99"/>
      <c r="M181" s="100"/>
      <c r="N181" s="101"/>
      <c r="O181" s="91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</row>
    <row r="182">
      <c r="A182" s="91"/>
      <c r="B182" s="91"/>
      <c r="C182" s="91"/>
      <c r="D182" s="91"/>
      <c r="E182" s="91"/>
      <c r="F182" s="91"/>
      <c r="G182" s="91"/>
      <c r="H182" s="98"/>
      <c r="I182" s="91"/>
      <c r="J182" s="97"/>
      <c r="K182" s="97"/>
      <c r="L182" s="99"/>
      <c r="M182" s="100"/>
      <c r="N182" s="101"/>
      <c r="O182" s="91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</row>
    <row r="183">
      <c r="A183" s="91"/>
      <c r="B183" s="91"/>
      <c r="C183" s="91"/>
      <c r="D183" s="91"/>
      <c r="E183" s="91"/>
      <c r="F183" s="91"/>
      <c r="G183" s="91"/>
      <c r="H183" s="98"/>
      <c r="I183" s="91"/>
      <c r="J183" s="97"/>
      <c r="K183" s="97"/>
      <c r="L183" s="99"/>
      <c r="M183" s="100"/>
      <c r="N183" s="101"/>
      <c r="O183" s="91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</row>
    <row r="184">
      <c r="A184" s="91"/>
      <c r="B184" s="91"/>
      <c r="C184" s="91"/>
      <c r="D184" s="91"/>
      <c r="E184" s="91"/>
      <c r="F184" s="91"/>
      <c r="G184" s="91"/>
      <c r="H184" s="98"/>
      <c r="I184" s="91"/>
      <c r="J184" s="97"/>
      <c r="K184" s="97"/>
      <c r="L184" s="99"/>
      <c r="M184" s="100"/>
      <c r="N184" s="101"/>
      <c r="O184" s="91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</row>
    <row r="185">
      <c r="A185" s="91"/>
      <c r="B185" s="91"/>
      <c r="C185" s="91"/>
      <c r="D185" s="91"/>
      <c r="E185" s="91"/>
      <c r="F185" s="91"/>
      <c r="G185" s="91"/>
      <c r="H185" s="98"/>
      <c r="I185" s="91"/>
      <c r="J185" s="97"/>
      <c r="K185" s="97"/>
      <c r="L185" s="99"/>
      <c r="M185" s="100"/>
      <c r="N185" s="101"/>
      <c r="O185" s="91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</row>
    <row r="186">
      <c r="A186" s="91"/>
      <c r="B186" s="91"/>
      <c r="C186" s="91"/>
      <c r="D186" s="91"/>
      <c r="E186" s="91"/>
      <c r="F186" s="91"/>
      <c r="G186" s="91"/>
      <c r="H186" s="98"/>
      <c r="I186" s="91"/>
      <c r="J186" s="97"/>
      <c r="K186" s="97"/>
      <c r="L186" s="99"/>
      <c r="M186" s="100"/>
      <c r="N186" s="101"/>
      <c r="O186" s="91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</row>
    <row r="187">
      <c r="A187" s="91"/>
      <c r="B187" s="91"/>
      <c r="C187" s="91"/>
      <c r="D187" s="91"/>
      <c r="E187" s="91"/>
      <c r="F187" s="91"/>
      <c r="G187" s="91"/>
      <c r="H187" s="98"/>
      <c r="I187" s="91"/>
      <c r="J187" s="97"/>
      <c r="K187" s="97"/>
      <c r="L187" s="99"/>
      <c r="M187" s="100"/>
      <c r="N187" s="101"/>
      <c r="O187" s="91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</row>
    <row r="188">
      <c r="A188" s="91"/>
      <c r="B188" s="91"/>
      <c r="C188" s="91"/>
      <c r="D188" s="91"/>
      <c r="E188" s="91"/>
      <c r="F188" s="91"/>
      <c r="G188" s="91"/>
      <c r="H188" s="98"/>
      <c r="I188" s="91"/>
      <c r="J188" s="97"/>
      <c r="K188" s="97"/>
      <c r="L188" s="99"/>
      <c r="M188" s="100"/>
      <c r="N188" s="101"/>
      <c r="O188" s="91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</row>
    <row r="189">
      <c r="A189" s="91"/>
      <c r="B189" s="91"/>
      <c r="C189" s="91"/>
      <c r="D189" s="91"/>
      <c r="E189" s="91"/>
      <c r="F189" s="91"/>
      <c r="G189" s="91"/>
      <c r="H189" s="98"/>
      <c r="I189" s="91"/>
      <c r="J189" s="97"/>
      <c r="K189" s="97"/>
      <c r="L189" s="99"/>
      <c r="M189" s="100"/>
      <c r="N189" s="101"/>
      <c r="O189" s="91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</row>
    <row r="190">
      <c r="A190" s="91"/>
      <c r="B190" s="91"/>
      <c r="C190" s="91"/>
      <c r="D190" s="91"/>
      <c r="E190" s="91"/>
      <c r="F190" s="91"/>
      <c r="G190" s="91"/>
      <c r="H190" s="98"/>
      <c r="I190" s="91"/>
      <c r="J190" s="97"/>
      <c r="K190" s="97"/>
      <c r="L190" s="99"/>
      <c r="M190" s="100"/>
      <c r="N190" s="101"/>
      <c r="O190" s="91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</row>
    <row r="191">
      <c r="A191" s="91"/>
      <c r="B191" s="91"/>
      <c r="C191" s="91"/>
      <c r="D191" s="91"/>
      <c r="E191" s="91"/>
      <c r="F191" s="91"/>
      <c r="G191" s="91"/>
      <c r="H191" s="98"/>
      <c r="I191" s="91"/>
      <c r="J191" s="97"/>
      <c r="K191" s="97"/>
      <c r="L191" s="99"/>
      <c r="M191" s="100"/>
      <c r="N191" s="101"/>
      <c r="O191" s="91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</row>
    <row r="192">
      <c r="A192" s="91"/>
      <c r="B192" s="91"/>
      <c r="C192" s="91"/>
      <c r="D192" s="91"/>
      <c r="E192" s="91"/>
      <c r="F192" s="91"/>
      <c r="G192" s="91"/>
      <c r="H192" s="98"/>
      <c r="I192" s="91"/>
      <c r="J192" s="97"/>
      <c r="K192" s="97"/>
      <c r="L192" s="99"/>
      <c r="M192" s="100"/>
      <c r="N192" s="101"/>
      <c r="O192" s="91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</row>
    <row r="193">
      <c r="A193" s="91"/>
      <c r="B193" s="91"/>
      <c r="C193" s="91"/>
      <c r="D193" s="91"/>
      <c r="E193" s="91"/>
      <c r="F193" s="91"/>
      <c r="G193" s="91"/>
      <c r="H193" s="98"/>
      <c r="I193" s="91"/>
      <c r="J193" s="97"/>
      <c r="K193" s="97"/>
      <c r="L193" s="99"/>
      <c r="M193" s="100"/>
      <c r="N193" s="101"/>
      <c r="O193" s="91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</row>
    <row r="194">
      <c r="A194" s="91"/>
      <c r="B194" s="91"/>
      <c r="C194" s="91"/>
      <c r="D194" s="91"/>
      <c r="E194" s="91"/>
      <c r="F194" s="91"/>
      <c r="G194" s="91"/>
      <c r="H194" s="98"/>
      <c r="I194" s="91"/>
      <c r="J194" s="97"/>
      <c r="K194" s="97"/>
      <c r="L194" s="99"/>
      <c r="M194" s="100"/>
      <c r="N194" s="101"/>
      <c r="O194" s="91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</row>
    <row r="195">
      <c r="A195" s="91"/>
      <c r="B195" s="91"/>
      <c r="C195" s="91"/>
      <c r="D195" s="91"/>
      <c r="E195" s="91"/>
      <c r="F195" s="91"/>
      <c r="G195" s="91"/>
      <c r="H195" s="98"/>
      <c r="I195" s="91"/>
      <c r="J195" s="97"/>
      <c r="K195" s="97"/>
      <c r="L195" s="99"/>
      <c r="M195" s="100"/>
      <c r="N195" s="101"/>
      <c r="O195" s="91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</row>
    <row r="196">
      <c r="A196" s="91"/>
      <c r="B196" s="91"/>
      <c r="C196" s="91"/>
      <c r="D196" s="91"/>
      <c r="E196" s="91"/>
      <c r="F196" s="91"/>
      <c r="G196" s="91"/>
      <c r="H196" s="98"/>
      <c r="I196" s="91"/>
      <c r="J196" s="97"/>
      <c r="K196" s="97"/>
      <c r="L196" s="99"/>
      <c r="M196" s="100"/>
      <c r="N196" s="101"/>
      <c r="O196" s="91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</row>
    <row r="197">
      <c r="A197" s="91"/>
      <c r="B197" s="91"/>
      <c r="C197" s="91"/>
      <c r="D197" s="91"/>
      <c r="E197" s="91"/>
      <c r="F197" s="91"/>
      <c r="G197" s="91"/>
      <c r="H197" s="98"/>
      <c r="I197" s="91"/>
      <c r="J197" s="97"/>
      <c r="K197" s="97"/>
      <c r="L197" s="99"/>
      <c r="M197" s="100"/>
      <c r="N197" s="101"/>
      <c r="O197" s="91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</row>
    <row r="198">
      <c r="A198" s="91"/>
      <c r="B198" s="91"/>
      <c r="C198" s="91"/>
      <c r="D198" s="91"/>
      <c r="E198" s="91"/>
      <c r="F198" s="91"/>
      <c r="G198" s="91"/>
      <c r="H198" s="98"/>
      <c r="I198" s="91"/>
      <c r="J198" s="97"/>
      <c r="K198" s="97"/>
      <c r="L198" s="99"/>
      <c r="M198" s="100"/>
      <c r="N198" s="101"/>
      <c r="O198" s="91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</row>
    <row r="199">
      <c r="A199" s="91"/>
      <c r="B199" s="91"/>
      <c r="C199" s="91"/>
      <c r="D199" s="91"/>
      <c r="E199" s="91"/>
      <c r="F199" s="91"/>
      <c r="G199" s="91"/>
      <c r="H199" s="98"/>
      <c r="I199" s="91"/>
      <c r="J199" s="97"/>
      <c r="K199" s="97"/>
      <c r="L199" s="99"/>
      <c r="M199" s="100"/>
      <c r="N199" s="101"/>
      <c r="O199" s="91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</row>
    <row r="200">
      <c r="A200" s="91"/>
      <c r="B200" s="91"/>
      <c r="C200" s="91"/>
      <c r="D200" s="91"/>
      <c r="E200" s="91"/>
      <c r="F200" s="91"/>
      <c r="G200" s="91"/>
      <c r="H200" s="98"/>
      <c r="I200" s="91"/>
      <c r="J200" s="97"/>
      <c r="K200" s="97"/>
      <c r="L200" s="99"/>
      <c r="M200" s="100"/>
      <c r="N200" s="101"/>
      <c r="O200" s="91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</row>
    <row r="201">
      <c r="A201" s="91"/>
      <c r="B201" s="91"/>
      <c r="C201" s="91"/>
      <c r="D201" s="91"/>
      <c r="E201" s="91"/>
      <c r="F201" s="91"/>
      <c r="G201" s="91"/>
      <c r="H201" s="98"/>
      <c r="I201" s="91"/>
      <c r="J201" s="97"/>
      <c r="K201" s="97"/>
      <c r="L201" s="99"/>
      <c r="M201" s="100"/>
      <c r="N201" s="101"/>
      <c r="O201" s="91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</row>
    <row r="202">
      <c r="A202" s="91"/>
      <c r="B202" s="91"/>
      <c r="C202" s="91"/>
      <c r="D202" s="91"/>
      <c r="E202" s="91"/>
      <c r="F202" s="91"/>
      <c r="G202" s="91"/>
      <c r="H202" s="98"/>
      <c r="I202" s="91"/>
      <c r="J202" s="97"/>
      <c r="K202" s="97"/>
      <c r="L202" s="99"/>
      <c r="M202" s="100"/>
      <c r="N202" s="101"/>
      <c r="O202" s="91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</row>
    <row r="203">
      <c r="A203" s="91"/>
      <c r="B203" s="91"/>
      <c r="C203" s="91"/>
      <c r="D203" s="91"/>
      <c r="E203" s="91"/>
      <c r="F203" s="91"/>
      <c r="G203" s="91"/>
      <c r="H203" s="98"/>
      <c r="I203" s="91"/>
      <c r="J203" s="97"/>
      <c r="K203" s="97"/>
      <c r="L203" s="99"/>
      <c r="M203" s="100"/>
      <c r="N203" s="101"/>
      <c r="O203" s="91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</row>
    <row r="204">
      <c r="A204" s="91"/>
      <c r="B204" s="91"/>
      <c r="C204" s="91"/>
      <c r="D204" s="91"/>
      <c r="E204" s="91"/>
      <c r="F204" s="91"/>
      <c r="G204" s="91"/>
      <c r="H204" s="98"/>
      <c r="I204" s="91"/>
      <c r="J204" s="97"/>
      <c r="K204" s="97"/>
      <c r="L204" s="99"/>
      <c r="M204" s="100"/>
      <c r="N204" s="101"/>
      <c r="O204" s="91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</row>
    <row r="205">
      <c r="A205" s="91"/>
      <c r="B205" s="91"/>
      <c r="C205" s="91"/>
      <c r="D205" s="91"/>
      <c r="E205" s="91"/>
      <c r="F205" s="91"/>
      <c r="G205" s="91"/>
      <c r="H205" s="98"/>
      <c r="I205" s="91"/>
      <c r="J205" s="97"/>
      <c r="K205" s="97"/>
      <c r="L205" s="99"/>
      <c r="M205" s="100"/>
      <c r="N205" s="101"/>
      <c r="O205" s="91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</row>
    <row r="206">
      <c r="A206" s="91"/>
      <c r="B206" s="91"/>
      <c r="C206" s="91"/>
      <c r="D206" s="91"/>
      <c r="E206" s="91"/>
      <c r="F206" s="91"/>
      <c r="G206" s="91"/>
      <c r="H206" s="98"/>
      <c r="I206" s="91"/>
      <c r="J206" s="97"/>
      <c r="K206" s="97"/>
      <c r="L206" s="99"/>
      <c r="M206" s="100"/>
      <c r="N206" s="101"/>
      <c r="O206" s="91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</row>
    <row r="207">
      <c r="A207" s="91"/>
      <c r="B207" s="91"/>
      <c r="C207" s="91"/>
      <c r="D207" s="91"/>
      <c r="E207" s="91"/>
      <c r="F207" s="91"/>
      <c r="G207" s="91"/>
      <c r="H207" s="98"/>
      <c r="I207" s="91"/>
      <c r="J207" s="97"/>
      <c r="K207" s="97"/>
      <c r="L207" s="99"/>
      <c r="M207" s="100"/>
      <c r="N207" s="101"/>
      <c r="O207" s="91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</row>
    <row r="208">
      <c r="A208" s="91"/>
      <c r="B208" s="91"/>
      <c r="C208" s="91"/>
      <c r="D208" s="91"/>
      <c r="E208" s="91"/>
      <c r="F208" s="91"/>
      <c r="G208" s="91"/>
      <c r="H208" s="98"/>
      <c r="I208" s="91"/>
      <c r="J208" s="97"/>
      <c r="K208" s="97"/>
      <c r="L208" s="99"/>
      <c r="M208" s="100"/>
      <c r="N208" s="101"/>
      <c r="O208" s="91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</row>
    <row r="209">
      <c r="A209" s="91"/>
      <c r="B209" s="91"/>
      <c r="C209" s="91"/>
      <c r="D209" s="91"/>
      <c r="E209" s="91"/>
      <c r="F209" s="91"/>
      <c r="G209" s="91"/>
      <c r="H209" s="98"/>
      <c r="I209" s="91"/>
      <c r="J209" s="97"/>
      <c r="K209" s="97"/>
      <c r="L209" s="99"/>
      <c r="M209" s="100"/>
      <c r="N209" s="101"/>
      <c r="O209" s="91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</row>
    <row r="210">
      <c r="A210" s="91"/>
      <c r="B210" s="91"/>
      <c r="C210" s="91"/>
      <c r="D210" s="91"/>
      <c r="E210" s="91"/>
      <c r="F210" s="91"/>
      <c r="G210" s="91"/>
      <c r="H210" s="98"/>
      <c r="I210" s="91"/>
      <c r="J210" s="97"/>
      <c r="K210" s="97"/>
      <c r="L210" s="99"/>
      <c r="M210" s="100"/>
      <c r="N210" s="101"/>
      <c r="O210" s="91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</row>
    <row r="211">
      <c r="A211" s="91"/>
      <c r="B211" s="91"/>
      <c r="C211" s="91"/>
      <c r="D211" s="91"/>
      <c r="E211" s="91"/>
      <c r="F211" s="91"/>
      <c r="G211" s="91"/>
      <c r="H211" s="98"/>
      <c r="I211" s="91"/>
      <c r="J211" s="97"/>
      <c r="K211" s="97"/>
      <c r="L211" s="99"/>
      <c r="M211" s="100"/>
      <c r="N211" s="101"/>
      <c r="O211" s="91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</row>
    <row r="212">
      <c r="A212" s="91"/>
      <c r="B212" s="91"/>
      <c r="C212" s="91"/>
      <c r="D212" s="91"/>
      <c r="E212" s="91"/>
      <c r="F212" s="91"/>
      <c r="G212" s="91"/>
      <c r="H212" s="98"/>
      <c r="I212" s="91"/>
      <c r="J212" s="97"/>
      <c r="K212" s="97"/>
      <c r="L212" s="99"/>
      <c r="M212" s="100"/>
      <c r="N212" s="101"/>
      <c r="O212" s="91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</row>
    <row r="213">
      <c r="A213" s="91"/>
      <c r="B213" s="91"/>
      <c r="C213" s="91"/>
      <c r="D213" s="91"/>
      <c r="E213" s="91"/>
      <c r="F213" s="91"/>
      <c r="G213" s="91"/>
      <c r="H213" s="98"/>
      <c r="I213" s="91"/>
      <c r="J213" s="97"/>
      <c r="K213" s="97"/>
      <c r="L213" s="99"/>
      <c r="M213" s="100"/>
      <c r="N213" s="101"/>
      <c r="O213" s="91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</row>
    <row r="214">
      <c r="A214" s="91"/>
      <c r="B214" s="91"/>
      <c r="C214" s="91"/>
      <c r="D214" s="91"/>
      <c r="E214" s="91"/>
      <c r="F214" s="91"/>
      <c r="G214" s="91"/>
      <c r="H214" s="98"/>
      <c r="I214" s="91"/>
      <c r="J214" s="97"/>
      <c r="K214" s="97"/>
      <c r="L214" s="99"/>
      <c r="M214" s="100"/>
      <c r="N214" s="101"/>
      <c r="O214" s="91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</row>
    <row r="215">
      <c r="A215" s="91"/>
      <c r="B215" s="91"/>
      <c r="C215" s="91"/>
      <c r="D215" s="91"/>
      <c r="E215" s="91"/>
      <c r="F215" s="91"/>
      <c r="G215" s="91"/>
      <c r="H215" s="98"/>
      <c r="I215" s="91"/>
      <c r="J215" s="97"/>
      <c r="K215" s="97"/>
      <c r="L215" s="99"/>
      <c r="M215" s="100"/>
      <c r="N215" s="101"/>
      <c r="O215" s="91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</row>
    <row r="216">
      <c r="A216" s="91"/>
      <c r="B216" s="91"/>
      <c r="C216" s="91"/>
      <c r="D216" s="91"/>
      <c r="E216" s="91"/>
      <c r="F216" s="91"/>
      <c r="G216" s="91"/>
      <c r="H216" s="98"/>
      <c r="I216" s="91"/>
      <c r="J216" s="97"/>
      <c r="K216" s="97"/>
      <c r="L216" s="99"/>
      <c r="M216" s="100"/>
      <c r="N216" s="101"/>
      <c r="O216" s="91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</row>
    <row r="217">
      <c r="A217" s="91"/>
      <c r="B217" s="91"/>
      <c r="C217" s="91"/>
      <c r="D217" s="91"/>
      <c r="E217" s="91"/>
      <c r="F217" s="91"/>
      <c r="G217" s="91"/>
      <c r="H217" s="98"/>
      <c r="I217" s="91"/>
      <c r="J217" s="97"/>
      <c r="K217" s="97"/>
      <c r="L217" s="99"/>
      <c r="M217" s="100"/>
      <c r="N217" s="101"/>
      <c r="O217" s="91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</row>
    <row r="218">
      <c r="A218" s="91"/>
      <c r="B218" s="91"/>
      <c r="C218" s="91"/>
      <c r="D218" s="91"/>
      <c r="E218" s="91"/>
      <c r="F218" s="91"/>
      <c r="G218" s="91"/>
      <c r="H218" s="98"/>
      <c r="I218" s="91"/>
      <c r="J218" s="97"/>
      <c r="K218" s="97"/>
      <c r="L218" s="99"/>
      <c r="M218" s="100"/>
      <c r="N218" s="101"/>
      <c r="O218" s="91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</row>
    <row r="219">
      <c r="A219" s="91"/>
      <c r="B219" s="91"/>
      <c r="C219" s="91"/>
      <c r="D219" s="91"/>
      <c r="E219" s="91"/>
      <c r="F219" s="91"/>
      <c r="G219" s="91"/>
      <c r="H219" s="98"/>
      <c r="I219" s="91"/>
      <c r="J219" s="97"/>
      <c r="K219" s="97"/>
      <c r="L219" s="99"/>
      <c r="M219" s="100"/>
      <c r="N219" s="101"/>
      <c r="O219" s="91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</row>
    <row r="220">
      <c r="A220" s="91"/>
      <c r="B220" s="91"/>
      <c r="C220" s="91"/>
      <c r="D220" s="91"/>
      <c r="E220" s="91"/>
      <c r="F220" s="91"/>
      <c r="G220" s="91"/>
      <c r="H220" s="98"/>
      <c r="I220" s="91"/>
      <c r="J220" s="97"/>
      <c r="K220" s="97"/>
      <c r="L220" s="99"/>
      <c r="M220" s="100"/>
      <c r="N220" s="101"/>
      <c r="O220" s="91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</row>
    <row r="221">
      <c r="A221" s="91"/>
      <c r="B221" s="91"/>
      <c r="C221" s="91"/>
      <c r="D221" s="91"/>
      <c r="E221" s="91"/>
      <c r="F221" s="91"/>
      <c r="G221" s="91"/>
      <c r="H221" s="98"/>
      <c r="I221" s="91"/>
      <c r="J221" s="97"/>
      <c r="K221" s="97"/>
      <c r="L221" s="99"/>
      <c r="M221" s="100"/>
      <c r="N221" s="101"/>
      <c r="O221" s="91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</row>
    <row r="222">
      <c r="A222" s="91"/>
      <c r="B222" s="91"/>
      <c r="C222" s="91"/>
      <c r="D222" s="91"/>
      <c r="E222" s="91"/>
      <c r="F222" s="91"/>
      <c r="G222" s="91"/>
      <c r="H222" s="98"/>
      <c r="I222" s="91"/>
      <c r="J222" s="97"/>
      <c r="K222" s="97"/>
      <c r="L222" s="99"/>
      <c r="M222" s="100"/>
      <c r="N222" s="101"/>
      <c r="O222" s="91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</row>
    <row r="223">
      <c r="A223" s="91"/>
      <c r="B223" s="91"/>
      <c r="C223" s="91"/>
      <c r="D223" s="91"/>
      <c r="E223" s="91"/>
      <c r="F223" s="91"/>
      <c r="G223" s="91"/>
      <c r="H223" s="98"/>
      <c r="I223" s="91"/>
      <c r="J223" s="97"/>
      <c r="K223" s="97"/>
      <c r="L223" s="99"/>
      <c r="M223" s="100"/>
      <c r="N223" s="101"/>
      <c r="O223" s="91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</row>
    <row r="224">
      <c r="A224" s="91"/>
      <c r="B224" s="91"/>
      <c r="C224" s="91"/>
      <c r="D224" s="91"/>
      <c r="E224" s="91"/>
      <c r="F224" s="91"/>
      <c r="G224" s="91"/>
      <c r="H224" s="98"/>
      <c r="I224" s="91"/>
      <c r="J224" s="97"/>
      <c r="K224" s="97"/>
      <c r="L224" s="99"/>
      <c r="M224" s="100"/>
      <c r="N224" s="101"/>
      <c r="O224" s="91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</row>
    <row r="225">
      <c r="A225" s="91"/>
      <c r="B225" s="91"/>
      <c r="C225" s="91"/>
      <c r="D225" s="91"/>
      <c r="E225" s="91"/>
      <c r="F225" s="91"/>
      <c r="G225" s="91"/>
      <c r="H225" s="98"/>
      <c r="I225" s="91"/>
      <c r="J225" s="97"/>
      <c r="K225" s="97"/>
      <c r="L225" s="99"/>
      <c r="M225" s="100"/>
      <c r="N225" s="101"/>
      <c r="O225" s="91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</row>
    <row r="226">
      <c r="A226" s="91"/>
      <c r="B226" s="91"/>
      <c r="C226" s="91"/>
      <c r="D226" s="91"/>
      <c r="E226" s="91"/>
      <c r="F226" s="91"/>
      <c r="G226" s="91"/>
      <c r="H226" s="98"/>
      <c r="I226" s="91"/>
      <c r="J226" s="97"/>
      <c r="K226" s="97"/>
      <c r="L226" s="99"/>
      <c r="M226" s="100"/>
      <c r="N226" s="101"/>
      <c r="O226" s="91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</row>
    <row r="227">
      <c r="A227" s="91"/>
      <c r="B227" s="91"/>
      <c r="C227" s="91"/>
      <c r="D227" s="91"/>
      <c r="E227" s="91"/>
      <c r="F227" s="91"/>
      <c r="G227" s="91"/>
      <c r="H227" s="98"/>
      <c r="I227" s="91"/>
      <c r="J227" s="97"/>
      <c r="K227" s="97"/>
      <c r="L227" s="99"/>
      <c r="M227" s="100"/>
      <c r="N227" s="101"/>
      <c r="O227" s="91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</row>
    <row r="228">
      <c r="A228" s="91"/>
      <c r="B228" s="91"/>
      <c r="C228" s="91"/>
      <c r="D228" s="91"/>
      <c r="E228" s="91"/>
      <c r="F228" s="91"/>
      <c r="G228" s="91"/>
      <c r="H228" s="98"/>
      <c r="I228" s="91"/>
      <c r="J228" s="97"/>
      <c r="K228" s="97"/>
      <c r="L228" s="99"/>
      <c r="M228" s="100"/>
      <c r="N228" s="101"/>
      <c r="O228" s="91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</row>
    <row r="229">
      <c r="A229" s="91"/>
      <c r="B229" s="91"/>
      <c r="C229" s="91"/>
      <c r="D229" s="91"/>
      <c r="E229" s="91"/>
      <c r="F229" s="91"/>
      <c r="G229" s="91"/>
      <c r="H229" s="98"/>
      <c r="I229" s="91"/>
      <c r="J229" s="97"/>
      <c r="K229" s="97"/>
      <c r="L229" s="99"/>
      <c r="M229" s="100"/>
      <c r="N229" s="101"/>
      <c r="O229" s="91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</row>
    <row r="230">
      <c r="A230" s="91"/>
      <c r="B230" s="91"/>
      <c r="C230" s="91"/>
      <c r="D230" s="91"/>
      <c r="E230" s="91"/>
      <c r="F230" s="91"/>
      <c r="G230" s="91"/>
      <c r="H230" s="98"/>
      <c r="I230" s="91"/>
      <c r="J230" s="97"/>
      <c r="K230" s="97"/>
      <c r="L230" s="99"/>
      <c r="M230" s="100"/>
      <c r="N230" s="101"/>
      <c r="O230" s="91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</row>
    <row r="231">
      <c r="A231" s="91"/>
      <c r="B231" s="91"/>
      <c r="C231" s="91"/>
      <c r="D231" s="91"/>
      <c r="E231" s="91"/>
      <c r="F231" s="91"/>
      <c r="G231" s="91"/>
      <c r="H231" s="98"/>
      <c r="I231" s="91"/>
      <c r="J231" s="97"/>
      <c r="K231" s="97"/>
      <c r="L231" s="99"/>
      <c r="M231" s="100"/>
      <c r="N231" s="101"/>
      <c r="O231" s="91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</row>
    <row r="232">
      <c r="A232" s="91"/>
      <c r="B232" s="91"/>
      <c r="C232" s="91"/>
      <c r="D232" s="91"/>
      <c r="E232" s="91"/>
      <c r="F232" s="91"/>
      <c r="G232" s="91"/>
      <c r="H232" s="98"/>
      <c r="I232" s="91"/>
      <c r="J232" s="97"/>
      <c r="K232" s="97"/>
      <c r="L232" s="99"/>
      <c r="M232" s="100"/>
      <c r="N232" s="101"/>
      <c r="O232" s="91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</row>
    <row r="233">
      <c r="A233" s="91"/>
      <c r="B233" s="91"/>
      <c r="C233" s="91"/>
      <c r="D233" s="91"/>
      <c r="E233" s="91"/>
      <c r="F233" s="91"/>
      <c r="G233" s="91"/>
      <c r="H233" s="98"/>
      <c r="I233" s="91"/>
      <c r="J233" s="97"/>
      <c r="K233" s="97"/>
      <c r="L233" s="99"/>
      <c r="M233" s="100"/>
      <c r="N233" s="101"/>
      <c r="O233" s="91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</row>
    <row r="234">
      <c r="A234" s="91"/>
      <c r="B234" s="91"/>
      <c r="C234" s="91"/>
      <c r="D234" s="91"/>
      <c r="E234" s="91"/>
      <c r="F234" s="91"/>
      <c r="G234" s="91"/>
      <c r="H234" s="98"/>
      <c r="I234" s="91"/>
      <c r="J234" s="97"/>
      <c r="K234" s="97"/>
      <c r="L234" s="99"/>
      <c r="M234" s="100"/>
      <c r="N234" s="101"/>
      <c r="O234" s="91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</row>
    <row r="235">
      <c r="A235" s="91"/>
      <c r="B235" s="91"/>
      <c r="C235" s="91"/>
      <c r="D235" s="91"/>
      <c r="E235" s="91"/>
      <c r="F235" s="91"/>
      <c r="G235" s="91"/>
      <c r="H235" s="98"/>
      <c r="I235" s="91"/>
      <c r="J235" s="97"/>
      <c r="K235" s="97"/>
      <c r="L235" s="99"/>
      <c r="M235" s="100"/>
      <c r="N235" s="101"/>
      <c r="O235" s="91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</row>
    <row r="236">
      <c r="A236" s="91"/>
      <c r="B236" s="91"/>
      <c r="C236" s="91"/>
      <c r="D236" s="91"/>
      <c r="E236" s="91"/>
      <c r="F236" s="91"/>
      <c r="G236" s="91"/>
      <c r="H236" s="98"/>
      <c r="I236" s="91"/>
      <c r="J236" s="97"/>
      <c r="K236" s="97"/>
      <c r="L236" s="99"/>
      <c r="M236" s="100"/>
      <c r="N236" s="101"/>
      <c r="O236" s="91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</row>
    <row r="237">
      <c r="A237" s="91"/>
      <c r="B237" s="91"/>
      <c r="C237" s="91"/>
      <c r="D237" s="91"/>
      <c r="E237" s="91"/>
      <c r="F237" s="91"/>
      <c r="G237" s="91"/>
      <c r="H237" s="98"/>
      <c r="I237" s="91"/>
      <c r="J237" s="97"/>
      <c r="K237" s="97"/>
      <c r="L237" s="99"/>
      <c r="M237" s="100"/>
      <c r="N237" s="101"/>
      <c r="O237" s="91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</row>
    <row r="238">
      <c r="A238" s="91"/>
      <c r="B238" s="91"/>
      <c r="C238" s="91"/>
      <c r="D238" s="91"/>
      <c r="E238" s="91"/>
      <c r="F238" s="91"/>
      <c r="G238" s="91"/>
      <c r="H238" s="98"/>
      <c r="I238" s="91"/>
      <c r="J238" s="97"/>
      <c r="K238" s="97"/>
      <c r="L238" s="99"/>
      <c r="M238" s="100"/>
      <c r="N238" s="101"/>
      <c r="O238" s="91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</row>
    <row r="239">
      <c r="A239" s="91"/>
      <c r="B239" s="91"/>
      <c r="C239" s="91"/>
      <c r="D239" s="91"/>
      <c r="E239" s="91"/>
      <c r="F239" s="91"/>
      <c r="G239" s="91"/>
      <c r="H239" s="98"/>
      <c r="I239" s="91"/>
      <c r="J239" s="97"/>
      <c r="K239" s="97"/>
      <c r="L239" s="99"/>
      <c r="M239" s="100"/>
      <c r="N239" s="101"/>
      <c r="O239" s="91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</row>
    <row r="240">
      <c r="A240" s="91"/>
      <c r="B240" s="91"/>
      <c r="C240" s="91"/>
      <c r="D240" s="91"/>
      <c r="E240" s="91"/>
      <c r="F240" s="91"/>
      <c r="G240" s="91"/>
      <c r="H240" s="98"/>
      <c r="I240" s="91"/>
      <c r="J240" s="97"/>
      <c r="K240" s="97"/>
      <c r="L240" s="99"/>
      <c r="M240" s="100"/>
      <c r="N240" s="101"/>
      <c r="O240" s="91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</row>
    <row r="241">
      <c r="A241" s="91"/>
      <c r="B241" s="91"/>
      <c r="C241" s="91"/>
      <c r="D241" s="91"/>
      <c r="E241" s="91"/>
      <c r="F241" s="91"/>
      <c r="G241" s="91"/>
      <c r="H241" s="98"/>
      <c r="I241" s="91"/>
      <c r="J241" s="97"/>
      <c r="K241" s="97"/>
      <c r="L241" s="99"/>
      <c r="M241" s="100"/>
      <c r="N241" s="101"/>
      <c r="O241" s="91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</row>
    <row r="242">
      <c r="A242" s="91"/>
      <c r="B242" s="91"/>
      <c r="C242" s="91"/>
      <c r="D242" s="91"/>
      <c r="E242" s="91"/>
      <c r="F242" s="91"/>
      <c r="G242" s="91"/>
      <c r="H242" s="98"/>
      <c r="I242" s="91"/>
      <c r="J242" s="97"/>
      <c r="K242" s="97"/>
      <c r="L242" s="99"/>
      <c r="M242" s="100"/>
      <c r="N242" s="101"/>
      <c r="O242" s="91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</row>
    <row r="243">
      <c r="A243" s="91"/>
      <c r="B243" s="91"/>
      <c r="C243" s="91"/>
      <c r="D243" s="91"/>
      <c r="E243" s="91"/>
      <c r="F243" s="91"/>
      <c r="G243" s="91"/>
      <c r="H243" s="98"/>
      <c r="I243" s="91"/>
      <c r="J243" s="97"/>
      <c r="K243" s="97"/>
      <c r="L243" s="99"/>
      <c r="M243" s="100"/>
      <c r="N243" s="101"/>
      <c r="O243" s="91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</row>
    <row r="244">
      <c r="A244" s="91"/>
      <c r="B244" s="91"/>
      <c r="C244" s="91"/>
      <c r="D244" s="91"/>
      <c r="E244" s="91"/>
      <c r="F244" s="91"/>
      <c r="G244" s="91"/>
      <c r="H244" s="98"/>
      <c r="I244" s="91"/>
      <c r="J244" s="97"/>
      <c r="K244" s="97"/>
      <c r="L244" s="99"/>
      <c r="M244" s="100"/>
      <c r="N244" s="101"/>
      <c r="O244" s="91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</row>
    <row r="245">
      <c r="A245" s="91"/>
      <c r="B245" s="91"/>
      <c r="C245" s="91"/>
      <c r="D245" s="91"/>
      <c r="E245" s="91"/>
      <c r="F245" s="91"/>
      <c r="G245" s="91"/>
      <c r="H245" s="98"/>
      <c r="I245" s="91"/>
      <c r="J245" s="97"/>
      <c r="K245" s="97"/>
      <c r="L245" s="99"/>
      <c r="M245" s="100"/>
      <c r="N245" s="101"/>
      <c r="O245" s="91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</row>
    <row r="246">
      <c r="A246" s="91"/>
      <c r="B246" s="91"/>
      <c r="C246" s="91"/>
      <c r="D246" s="91"/>
      <c r="E246" s="91"/>
      <c r="F246" s="91"/>
      <c r="G246" s="91"/>
      <c r="H246" s="98"/>
      <c r="I246" s="91"/>
      <c r="J246" s="97"/>
      <c r="K246" s="97"/>
      <c r="L246" s="99"/>
      <c r="M246" s="100"/>
      <c r="N246" s="101"/>
      <c r="O246" s="91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</row>
    <row r="247">
      <c r="A247" s="91"/>
      <c r="B247" s="91"/>
      <c r="C247" s="91"/>
      <c r="D247" s="91"/>
      <c r="E247" s="91"/>
      <c r="F247" s="91"/>
      <c r="G247" s="91"/>
      <c r="H247" s="98"/>
      <c r="I247" s="91"/>
      <c r="J247" s="97"/>
      <c r="K247" s="97"/>
      <c r="L247" s="99"/>
      <c r="M247" s="100"/>
      <c r="N247" s="101"/>
      <c r="O247" s="91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</row>
    <row r="248">
      <c r="A248" s="91"/>
      <c r="B248" s="91"/>
      <c r="C248" s="91"/>
      <c r="D248" s="91"/>
      <c r="E248" s="91"/>
      <c r="F248" s="91"/>
      <c r="G248" s="91"/>
      <c r="H248" s="98"/>
      <c r="I248" s="91"/>
      <c r="J248" s="97"/>
      <c r="K248" s="97"/>
      <c r="L248" s="99"/>
      <c r="M248" s="100"/>
      <c r="N248" s="101"/>
      <c r="O248" s="91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</row>
    <row r="249">
      <c r="A249" s="91"/>
      <c r="B249" s="91"/>
      <c r="C249" s="91"/>
      <c r="D249" s="91"/>
      <c r="E249" s="91"/>
      <c r="F249" s="91"/>
      <c r="G249" s="91"/>
      <c r="H249" s="98"/>
      <c r="I249" s="91"/>
      <c r="J249" s="97"/>
      <c r="K249" s="97"/>
      <c r="L249" s="99"/>
      <c r="M249" s="100"/>
      <c r="N249" s="101"/>
      <c r="O249" s="91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</row>
    <row r="250">
      <c r="A250" s="91"/>
      <c r="B250" s="91"/>
      <c r="C250" s="91"/>
      <c r="D250" s="91"/>
      <c r="E250" s="91"/>
      <c r="F250" s="91"/>
      <c r="G250" s="91"/>
      <c r="H250" s="98"/>
      <c r="I250" s="91"/>
      <c r="J250" s="97"/>
      <c r="K250" s="97"/>
      <c r="L250" s="99"/>
      <c r="M250" s="100"/>
      <c r="N250" s="101"/>
      <c r="O250" s="91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</row>
    <row r="251">
      <c r="A251" s="91"/>
      <c r="B251" s="91"/>
      <c r="C251" s="91"/>
      <c r="D251" s="91"/>
      <c r="E251" s="91"/>
      <c r="F251" s="91"/>
      <c r="G251" s="91"/>
      <c r="H251" s="98"/>
      <c r="I251" s="91"/>
      <c r="J251" s="97"/>
      <c r="K251" s="97"/>
      <c r="L251" s="99"/>
      <c r="M251" s="100"/>
      <c r="N251" s="101"/>
      <c r="O251" s="91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</row>
    <row r="252">
      <c r="A252" s="91"/>
      <c r="B252" s="91"/>
      <c r="C252" s="91"/>
      <c r="D252" s="91"/>
      <c r="E252" s="91"/>
      <c r="F252" s="91"/>
      <c r="G252" s="91"/>
      <c r="H252" s="98"/>
      <c r="I252" s="91"/>
      <c r="J252" s="97"/>
      <c r="K252" s="97"/>
      <c r="L252" s="99"/>
      <c r="M252" s="100"/>
      <c r="N252" s="101"/>
      <c r="O252" s="91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</row>
    <row r="253">
      <c r="A253" s="91"/>
      <c r="B253" s="91"/>
      <c r="C253" s="91"/>
      <c r="D253" s="91"/>
      <c r="E253" s="91"/>
      <c r="F253" s="91"/>
      <c r="G253" s="91"/>
      <c r="H253" s="98"/>
      <c r="I253" s="91"/>
      <c r="J253" s="97"/>
      <c r="K253" s="97"/>
      <c r="L253" s="99"/>
      <c r="M253" s="100"/>
      <c r="N253" s="101"/>
      <c r="O253" s="91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</row>
    <row r="254">
      <c r="A254" s="91"/>
      <c r="B254" s="91"/>
      <c r="C254" s="91"/>
      <c r="D254" s="91"/>
      <c r="E254" s="91"/>
      <c r="F254" s="91"/>
      <c r="G254" s="91"/>
      <c r="H254" s="98"/>
      <c r="I254" s="91"/>
      <c r="J254" s="97"/>
      <c r="K254" s="97"/>
      <c r="L254" s="99"/>
      <c r="M254" s="100"/>
      <c r="N254" s="101"/>
      <c r="O254" s="91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</row>
    <row r="255">
      <c r="A255" s="91"/>
      <c r="B255" s="91"/>
      <c r="C255" s="91"/>
      <c r="D255" s="91"/>
      <c r="E255" s="91"/>
      <c r="F255" s="91"/>
      <c r="G255" s="91"/>
      <c r="H255" s="98"/>
      <c r="I255" s="91"/>
      <c r="J255" s="97"/>
      <c r="K255" s="97"/>
      <c r="L255" s="99"/>
      <c r="M255" s="100"/>
      <c r="N255" s="101"/>
      <c r="O255" s="91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</row>
    <row r="256">
      <c r="A256" s="91"/>
      <c r="B256" s="91"/>
      <c r="C256" s="91"/>
      <c r="D256" s="91"/>
      <c r="E256" s="91"/>
      <c r="F256" s="91"/>
      <c r="G256" s="91"/>
      <c r="H256" s="98"/>
      <c r="I256" s="91"/>
      <c r="J256" s="97"/>
      <c r="K256" s="97"/>
      <c r="L256" s="99"/>
      <c r="M256" s="100"/>
      <c r="N256" s="101"/>
      <c r="O256" s="91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</row>
    <row r="257">
      <c r="A257" s="91"/>
      <c r="B257" s="91"/>
      <c r="C257" s="91"/>
      <c r="D257" s="91"/>
      <c r="E257" s="91"/>
      <c r="F257" s="91"/>
      <c r="G257" s="91"/>
      <c r="H257" s="98"/>
      <c r="I257" s="91"/>
      <c r="J257" s="97"/>
      <c r="K257" s="97"/>
      <c r="L257" s="99"/>
      <c r="M257" s="100"/>
      <c r="N257" s="101"/>
      <c r="O257" s="91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</row>
    <row r="258">
      <c r="A258" s="91"/>
      <c r="B258" s="91"/>
      <c r="C258" s="91"/>
      <c r="D258" s="91"/>
      <c r="E258" s="91"/>
      <c r="F258" s="91"/>
      <c r="G258" s="91"/>
      <c r="H258" s="98"/>
      <c r="I258" s="91"/>
      <c r="J258" s="97"/>
      <c r="K258" s="97"/>
      <c r="L258" s="99"/>
      <c r="M258" s="100"/>
      <c r="N258" s="101"/>
      <c r="O258" s="91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</row>
    <row r="259">
      <c r="A259" s="91"/>
      <c r="B259" s="91"/>
      <c r="C259" s="91"/>
      <c r="D259" s="91"/>
      <c r="E259" s="91"/>
      <c r="F259" s="91"/>
      <c r="G259" s="91"/>
      <c r="H259" s="98"/>
      <c r="I259" s="91"/>
      <c r="J259" s="97"/>
      <c r="K259" s="97"/>
      <c r="L259" s="99"/>
      <c r="M259" s="100"/>
      <c r="N259" s="101"/>
      <c r="O259" s="91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</row>
    <row r="260">
      <c r="A260" s="91"/>
      <c r="B260" s="91"/>
      <c r="C260" s="91"/>
      <c r="D260" s="91"/>
      <c r="E260" s="91"/>
      <c r="F260" s="91"/>
      <c r="G260" s="91"/>
      <c r="H260" s="98"/>
      <c r="I260" s="91"/>
      <c r="J260" s="97"/>
      <c r="K260" s="97"/>
      <c r="L260" s="99"/>
      <c r="M260" s="100"/>
      <c r="N260" s="101"/>
      <c r="O260" s="91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</row>
    <row r="261">
      <c r="A261" s="91"/>
      <c r="B261" s="91"/>
      <c r="C261" s="91"/>
      <c r="D261" s="91"/>
      <c r="E261" s="91"/>
      <c r="F261" s="91"/>
      <c r="G261" s="91"/>
      <c r="H261" s="98"/>
      <c r="I261" s="91"/>
      <c r="J261" s="97"/>
      <c r="K261" s="97"/>
      <c r="L261" s="99"/>
      <c r="M261" s="100"/>
      <c r="N261" s="101"/>
      <c r="O261" s="91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</row>
    <row r="262">
      <c r="A262" s="91"/>
      <c r="B262" s="91"/>
      <c r="C262" s="91"/>
      <c r="D262" s="91"/>
      <c r="E262" s="91"/>
      <c r="F262" s="91"/>
      <c r="G262" s="91"/>
      <c r="H262" s="98"/>
      <c r="I262" s="91"/>
      <c r="J262" s="97"/>
      <c r="K262" s="97"/>
      <c r="L262" s="99"/>
      <c r="M262" s="100"/>
      <c r="N262" s="101"/>
      <c r="O262" s="91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</row>
    <row r="263">
      <c r="A263" s="91"/>
      <c r="B263" s="91"/>
      <c r="C263" s="91"/>
      <c r="D263" s="91"/>
      <c r="E263" s="91"/>
      <c r="F263" s="91"/>
      <c r="G263" s="91"/>
      <c r="H263" s="98"/>
      <c r="I263" s="91"/>
      <c r="J263" s="97"/>
      <c r="K263" s="97"/>
      <c r="L263" s="99"/>
      <c r="M263" s="100"/>
      <c r="N263" s="101"/>
      <c r="O263" s="91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</row>
    <row r="264">
      <c r="A264" s="91"/>
      <c r="B264" s="91"/>
      <c r="C264" s="91"/>
      <c r="D264" s="91"/>
      <c r="E264" s="91"/>
      <c r="F264" s="91"/>
      <c r="G264" s="91"/>
      <c r="H264" s="98"/>
      <c r="I264" s="91"/>
      <c r="J264" s="97"/>
      <c r="K264" s="97"/>
      <c r="L264" s="99"/>
      <c r="M264" s="100"/>
      <c r="N264" s="101"/>
      <c r="O264" s="91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</row>
    <row r="265">
      <c r="A265" s="91"/>
      <c r="B265" s="91"/>
      <c r="C265" s="91"/>
      <c r="D265" s="91"/>
      <c r="E265" s="91"/>
      <c r="F265" s="91"/>
      <c r="G265" s="91"/>
      <c r="H265" s="98"/>
      <c r="I265" s="91"/>
      <c r="J265" s="97"/>
      <c r="K265" s="97"/>
      <c r="L265" s="99"/>
      <c r="M265" s="100"/>
      <c r="N265" s="101"/>
      <c r="O265" s="91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</row>
    <row r="266">
      <c r="A266" s="91"/>
      <c r="B266" s="91"/>
      <c r="C266" s="91"/>
      <c r="D266" s="91"/>
      <c r="E266" s="91"/>
      <c r="F266" s="91"/>
      <c r="G266" s="91"/>
      <c r="H266" s="98"/>
      <c r="I266" s="91"/>
      <c r="J266" s="97"/>
      <c r="K266" s="97"/>
      <c r="L266" s="99"/>
      <c r="M266" s="100"/>
      <c r="N266" s="101"/>
      <c r="O266" s="91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</row>
    <row r="267">
      <c r="A267" s="91"/>
      <c r="B267" s="91"/>
      <c r="C267" s="91"/>
      <c r="D267" s="91"/>
      <c r="E267" s="91"/>
      <c r="F267" s="91"/>
      <c r="G267" s="91"/>
      <c r="H267" s="98"/>
      <c r="I267" s="91"/>
      <c r="J267" s="97"/>
      <c r="K267" s="97"/>
      <c r="L267" s="99"/>
      <c r="M267" s="100"/>
      <c r="N267" s="101"/>
      <c r="O267" s="91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</row>
    <row r="268">
      <c r="A268" s="91"/>
      <c r="B268" s="91"/>
      <c r="C268" s="91"/>
      <c r="D268" s="91"/>
      <c r="E268" s="91"/>
      <c r="F268" s="91"/>
      <c r="G268" s="91"/>
      <c r="H268" s="98"/>
      <c r="I268" s="91"/>
      <c r="J268" s="97"/>
      <c r="K268" s="97"/>
      <c r="L268" s="99"/>
      <c r="M268" s="100"/>
      <c r="N268" s="101"/>
      <c r="O268" s="91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</row>
    <row r="269">
      <c r="A269" s="91"/>
      <c r="B269" s="91"/>
      <c r="C269" s="91"/>
      <c r="D269" s="91"/>
      <c r="E269" s="91"/>
      <c r="F269" s="91"/>
      <c r="G269" s="91"/>
      <c r="H269" s="98"/>
      <c r="I269" s="91"/>
      <c r="J269" s="97"/>
      <c r="K269" s="97"/>
      <c r="L269" s="99"/>
      <c r="M269" s="100"/>
      <c r="N269" s="101"/>
      <c r="O269" s="91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</row>
    <row r="270">
      <c r="A270" s="91"/>
      <c r="B270" s="91"/>
      <c r="C270" s="91"/>
      <c r="D270" s="91"/>
      <c r="E270" s="91"/>
      <c r="F270" s="91"/>
      <c r="G270" s="91"/>
      <c r="H270" s="98"/>
      <c r="I270" s="91"/>
      <c r="J270" s="97"/>
      <c r="K270" s="97"/>
      <c r="L270" s="99"/>
      <c r="M270" s="100"/>
      <c r="N270" s="101"/>
      <c r="O270" s="91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</row>
    <row r="271">
      <c r="A271" s="91"/>
      <c r="B271" s="91"/>
      <c r="C271" s="91"/>
      <c r="D271" s="91"/>
      <c r="E271" s="91"/>
      <c r="F271" s="91"/>
      <c r="G271" s="91"/>
      <c r="H271" s="98"/>
      <c r="I271" s="91"/>
      <c r="J271" s="97"/>
      <c r="K271" s="97"/>
      <c r="L271" s="99"/>
      <c r="M271" s="100"/>
      <c r="N271" s="101"/>
      <c r="O271" s="91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</row>
    <row r="272">
      <c r="A272" s="91"/>
      <c r="B272" s="91"/>
      <c r="C272" s="91"/>
      <c r="D272" s="91"/>
      <c r="E272" s="91"/>
      <c r="F272" s="91"/>
      <c r="G272" s="91"/>
      <c r="H272" s="98"/>
      <c r="I272" s="91"/>
      <c r="J272" s="97"/>
      <c r="K272" s="97"/>
      <c r="L272" s="99"/>
      <c r="M272" s="100"/>
      <c r="N272" s="101"/>
      <c r="O272" s="91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</row>
    <row r="273">
      <c r="A273" s="91"/>
      <c r="B273" s="91"/>
      <c r="C273" s="91"/>
      <c r="D273" s="91"/>
      <c r="E273" s="91"/>
      <c r="F273" s="91"/>
      <c r="G273" s="91"/>
      <c r="H273" s="98"/>
      <c r="I273" s="91"/>
      <c r="J273" s="97"/>
      <c r="K273" s="97"/>
      <c r="L273" s="99"/>
      <c r="M273" s="100"/>
      <c r="N273" s="101"/>
      <c r="O273" s="91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</row>
    <row r="274">
      <c r="A274" s="91"/>
      <c r="B274" s="91"/>
      <c r="C274" s="91"/>
      <c r="D274" s="91"/>
      <c r="E274" s="91"/>
      <c r="F274" s="91"/>
      <c r="G274" s="91"/>
      <c r="H274" s="98"/>
      <c r="I274" s="91"/>
      <c r="J274" s="97"/>
      <c r="K274" s="97"/>
      <c r="L274" s="99"/>
      <c r="M274" s="100"/>
      <c r="N274" s="101"/>
      <c r="O274" s="91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</row>
    <row r="275">
      <c r="A275" s="91"/>
      <c r="B275" s="91"/>
      <c r="C275" s="91"/>
      <c r="D275" s="91"/>
      <c r="E275" s="91"/>
      <c r="F275" s="91"/>
      <c r="G275" s="91"/>
      <c r="H275" s="98"/>
      <c r="I275" s="91"/>
      <c r="J275" s="97"/>
      <c r="K275" s="97"/>
      <c r="L275" s="99"/>
      <c r="M275" s="100"/>
      <c r="N275" s="101"/>
      <c r="O275" s="91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</row>
    <row r="276">
      <c r="A276" s="91"/>
      <c r="B276" s="91"/>
      <c r="C276" s="91"/>
      <c r="D276" s="91"/>
      <c r="E276" s="91"/>
      <c r="F276" s="91"/>
      <c r="G276" s="91"/>
      <c r="H276" s="98"/>
      <c r="I276" s="91"/>
      <c r="J276" s="97"/>
      <c r="K276" s="97"/>
      <c r="L276" s="99"/>
      <c r="M276" s="100"/>
      <c r="N276" s="101"/>
      <c r="O276" s="91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</row>
    <row r="277">
      <c r="A277" s="91"/>
      <c r="B277" s="91"/>
      <c r="C277" s="91"/>
      <c r="D277" s="91"/>
      <c r="E277" s="91"/>
      <c r="F277" s="91"/>
      <c r="G277" s="91"/>
      <c r="H277" s="98"/>
      <c r="I277" s="91"/>
      <c r="J277" s="97"/>
      <c r="K277" s="97"/>
      <c r="L277" s="99"/>
      <c r="M277" s="100"/>
      <c r="N277" s="101"/>
      <c r="O277" s="91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</row>
    <row r="278">
      <c r="A278" s="91"/>
      <c r="B278" s="91"/>
      <c r="C278" s="91"/>
      <c r="D278" s="91"/>
      <c r="E278" s="91"/>
      <c r="F278" s="91"/>
      <c r="G278" s="91"/>
      <c r="H278" s="98"/>
      <c r="I278" s="91"/>
      <c r="J278" s="97"/>
      <c r="K278" s="97"/>
      <c r="L278" s="99"/>
      <c r="M278" s="100"/>
      <c r="N278" s="101"/>
      <c r="O278" s="91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</row>
    <row r="279">
      <c r="A279" s="91"/>
      <c r="B279" s="91"/>
      <c r="C279" s="91"/>
      <c r="D279" s="91"/>
      <c r="E279" s="91"/>
      <c r="F279" s="91"/>
      <c r="G279" s="91"/>
      <c r="H279" s="98"/>
      <c r="I279" s="91"/>
      <c r="J279" s="97"/>
      <c r="K279" s="97"/>
      <c r="L279" s="99"/>
      <c r="M279" s="100"/>
      <c r="N279" s="101"/>
      <c r="O279" s="91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</row>
    <row r="280">
      <c r="A280" s="91"/>
      <c r="B280" s="91"/>
      <c r="C280" s="91"/>
      <c r="D280" s="91"/>
      <c r="E280" s="91"/>
      <c r="F280" s="91"/>
      <c r="G280" s="91"/>
      <c r="H280" s="98"/>
      <c r="I280" s="91"/>
      <c r="J280" s="97"/>
      <c r="K280" s="97"/>
      <c r="L280" s="99"/>
      <c r="M280" s="100"/>
      <c r="N280" s="101"/>
      <c r="O280" s="91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</row>
    <row r="281">
      <c r="A281" s="91"/>
      <c r="B281" s="91"/>
      <c r="C281" s="91"/>
      <c r="D281" s="91"/>
      <c r="E281" s="91"/>
      <c r="F281" s="91"/>
      <c r="G281" s="91"/>
      <c r="H281" s="98"/>
      <c r="I281" s="91"/>
      <c r="J281" s="97"/>
      <c r="K281" s="97"/>
      <c r="L281" s="99"/>
      <c r="M281" s="100"/>
      <c r="N281" s="101"/>
      <c r="O281" s="91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</row>
    <row r="282">
      <c r="A282" s="91"/>
      <c r="B282" s="91"/>
      <c r="C282" s="91"/>
      <c r="D282" s="91"/>
      <c r="E282" s="91"/>
      <c r="F282" s="91"/>
      <c r="G282" s="91"/>
      <c r="H282" s="98"/>
      <c r="I282" s="91"/>
      <c r="J282" s="97"/>
      <c r="K282" s="97"/>
      <c r="L282" s="99"/>
      <c r="M282" s="100"/>
      <c r="N282" s="101"/>
      <c r="O282" s="91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</row>
    <row r="283">
      <c r="A283" s="91"/>
      <c r="B283" s="91"/>
      <c r="C283" s="91"/>
      <c r="D283" s="91"/>
      <c r="E283" s="91"/>
      <c r="F283" s="91"/>
      <c r="G283" s="91"/>
      <c r="H283" s="98"/>
      <c r="I283" s="91"/>
      <c r="J283" s="97"/>
      <c r="K283" s="97"/>
      <c r="L283" s="99"/>
      <c r="M283" s="100"/>
      <c r="N283" s="101"/>
      <c r="O283" s="91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</row>
    <row r="284">
      <c r="A284" s="91"/>
      <c r="B284" s="91"/>
      <c r="C284" s="91"/>
      <c r="D284" s="91"/>
      <c r="E284" s="91"/>
      <c r="F284" s="91"/>
      <c r="G284" s="91"/>
      <c r="H284" s="98"/>
      <c r="I284" s="91"/>
      <c r="J284" s="97"/>
      <c r="K284" s="97"/>
      <c r="L284" s="99"/>
      <c r="M284" s="100"/>
      <c r="N284" s="101"/>
      <c r="O284" s="91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</row>
    <row r="285">
      <c r="A285" s="91"/>
      <c r="B285" s="91"/>
      <c r="C285" s="91"/>
      <c r="D285" s="91"/>
      <c r="E285" s="91"/>
      <c r="F285" s="91"/>
      <c r="G285" s="91"/>
      <c r="H285" s="98"/>
      <c r="I285" s="91"/>
      <c r="J285" s="97"/>
      <c r="K285" s="97"/>
      <c r="L285" s="99"/>
      <c r="M285" s="100"/>
      <c r="N285" s="101"/>
      <c r="O285" s="91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</row>
    <row r="286">
      <c r="A286" s="91"/>
      <c r="B286" s="91"/>
      <c r="C286" s="91"/>
      <c r="D286" s="91"/>
      <c r="E286" s="91"/>
      <c r="F286" s="91"/>
      <c r="G286" s="91"/>
      <c r="H286" s="98"/>
      <c r="I286" s="91"/>
      <c r="J286" s="97"/>
      <c r="K286" s="97"/>
      <c r="L286" s="99"/>
      <c r="M286" s="100"/>
      <c r="N286" s="101"/>
      <c r="O286" s="91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</row>
    <row r="287">
      <c r="A287" s="91"/>
      <c r="B287" s="91"/>
      <c r="C287" s="91"/>
      <c r="D287" s="91"/>
      <c r="E287" s="91"/>
      <c r="F287" s="91"/>
      <c r="G287" s="91"/>
      <c r="H287" s="98"/>
      <c r="I287" s="91"/>
      <c r="J287" s="97"/>
      <c r="K287" s="97"/>
      <c r="L287" s="99"/>
      <c r="M287" s="100"/>
      <c r="N287" s="101"/>
      <c r="O287" s="91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</row>
    <row r="288">
      <c r="A288" s="91"/>
      <c r="B288" s="91"/>
      <c r="C288" s="91"/>
      <c r="D288" s="91"/>
      <c r="E288" s="91"/>
      <c r="F288" s="91"/>
      <c r="G288" s="91"/>
      <c r="H288" s="98"/>
      <c r="I288" s="91"/>
      <c r="J288" s="97"/>
      <c r="K288" s="97"/>
      <c r="L288" s="99"/>
      <c r="M288" s="100"/>
      <c r="N288" s="101"/>
      <c r="O288" s="91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</row>
    <row r="289">
      <c r="A289" s="91"/>
      <c r="B289" s="91"/>
      <c r="C289" s="91"/>
      <c r="D289" s="91"/>
      <c r="E289" s="91"/>
      <c r="F289" s="91"/>
      <c r="G289" s="91"/>
      <c r="H289" s="98"/>
      <c r="I289" s="91"/>
      <c r="J289" s="97"/>
      <c r="K289" s="97"/>
      <c r="L289" s="99"/>
      <c r="M289" s="100"/>
      <c r="N289" s="101"/>
      <c r="O289" s="91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</row>
    <row r="290">
      <c r="A290" s="91"/>
      <c r="B290" s="91"/>
      <c r="C290" s="91"/>
      <c r="D290" s="91"/>
      <c r="E290" s="91"/>
      <c r="F290" s="91"/>
      <c r="G290" s="91"/>
      <c r="H290" s="98"/>
      <c r="I290" s="91"/>
      <c r="J290" s="97"/>
      <c r="K290" s="97"/>
      <c r="L290" s="99"/>
      <c r="M290" s="100"/>
      <c r="N290" s="101"/>
      <c r="O290" s="91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</row>
    <row r="291">
      <c r="A291" s="91"/>
      <c r="B291" s="91"/>
      <c r="C291" s="91"/>
      <c r="D291" s="91"/>
      <c r="E291" s="91"/>
      <c r="F291" s="91"/>
      <c r="G291" s="91"/>
      <c r="H291" s="98"/>
      <c r="I291" s="91"/>
      <c r="J291" s="97"/>
      <c r="K291" s="97"/>
      <c r="L291" s="99"/>
      <c r="M291" s="100"/>
      <c r="N291" s="101"/>
      <c r="O291" s="91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</row>
    <row r="292">
      <c r="A292" s="91"/>
      <c r="B292" s="91"/>
      <c r="C292" s="91"/>
      <c r="D292" s="91"/>
      <c r="E292" s="91"/>
      <c r="F292" s="91"/>
      <c r="G292" s="91"/>
      <c r="H292" s="98"/>
      <c r="I292" s="91"/>
      <c r="J292" s="97"/>
      <c r="K292" s="97"/>
      <c r="L292" s="99"/>
      <c r="M292" s="100"/>
      <c r="N292" s="101"/>
      <c r="O292" s="91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</row>
    <row r="293">
      <c r="A293" s="91"/>
      <c r="B293" s="91"/>
      <c r="C293" s="91"/>
      <c r="D293" s="91"/>
      <c r="E293" s="91"/>
      <c r="F293" s="91"/>
      <c r="G293" s="91"/>
      <c r="H293" s="98"/>
      <c r="I293" s="91"/>
      <c r="J293" s="97"/>
      <c r="K293" s="97"/>
      <c r="L293" s="99"/>
      <c r="M293" s="100"/>
      <c r="N293" s="101"/>
      <c r="O293" s="91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</row>
    <row r="294">
      <c r="A294" s="91"/>
      <c r="B294" s="91"/>
      <c r="C294" s="91"/>
      <c r="D294" s="91"/>
      <c r="E294" s="91"/>
      <c r="F294" s="91"/>
      <c r="G294" s="91"/>
      <c r="H294" s="98"/>
      <c r="I294" s="91"/>
      <c r="J294" s="97"/>
      <c r="K294" s="97"/>
      <c r="L294" s="99"/>
      <c r="M294" s="100"/>
      <c r="N294" s="101"/>
      <c r="O294" s="91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</row>
    <row r="295">
      <c r="A295" s="91"/>
      <c r="B295" s="91"/>
      <c r="C295" s="91"/>
      <c r="D295" s="91"/>
      <c r="E295" s="91"/>
      <c r="F295" s="91"/>
      <c r="G295" s="91"/>
      <c r="H295" s="98"/>
      <c r="I295" s="91"/>
      <c r="J295" s="97"/>
      <c r="K295" s="97"/>
      <c r="L295" s="99"/>
      <c r="M295" s="100"/>
      <c r="N295" s="101"/>
      <c r="O295" s="91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</row>
    <row r="296">
      <c r="A296" s="91"/>
      <c r="B296" s="91"/>
      <c r="C296" s="91"/>
      <c r="D296" s="91"/>
      <c r="E296" s="91"/>
      <c r="F296" s="91"/>
      <c r="G296" s="91"/>
      <c r="H296" s="98"/>
      <c r="I296" s="91"/>
      <c r="J296" s="97"/>
      <c r="K296" s="97"/>
      <c r="L296" s="99"/>
      <c r="M296" s="100"/>
      <c r="N296" s="101"/>
      <c r="O296" s="91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</row>
    <row r="297">
      <c r="A297" s="91"/>
      <c r="B297" s="91"/>
      <c r="C297" s="91"/>
      <c r="D297" s="91"/>
      <c r="E297" s="91"/>
      <c r="F297" s="91"/>
      <c r="G297" s="91"/>
      <c r="H297" s="98"/>
      <c r="I297" s="91"/>
      <c r="J297" s="97"/>
      <c r="K297" s="97"/>
      <c r="L297" s="99"/>
      <c r="M297" s="100"/>
      <c r="N297" s="101"/>
      <c r="O297" s="91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</row>
    <row r="298">
      <c r="A298" s="91"/>
      <c r="B298" s="91"/>
      <c r="C298" s="91"/>
      <c r="D298" s="91"/>
      <c r="E298" s="91"/>
      <c r="F298" s="91"/>
      <c r="G298" s="91"/>
      <c r="H298" s="98"/>
      <c r="I298" s="91"/>
      <c r="J298" s="97"/>
      <c r="K298" s="97"/>
      <c r="L298" s="99"/>
      <c r="M298" s="100"/>
      <c r="N298" s="101"/>
      <c r="O298" s="91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</row>
    <row r="299">
      <c r="A299" s="91"/>
      <c r="B299" s="91"/>
      <c r="C299" s="91"/>
      <c r="D299" s="91"/>
      <c r="E299" s="91"/>
      <c r="F299" s="91"/>
      <c r="G299" s="91"/>
      <c r="H299" s="98"/>
      <c r="I299" s="91"/>
      <c r="J299" s="97"/>
      <c r="K299" s="97"/>
      <c r="L299" s="99"/>
      <c r="M299" s="100"/>
      <c r="N299" s="101"/>
      <c r="O299" s="91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</row>
    <row r="300">
      <c r="A300" s="91"/>
      <c r="B300" s="91"/>
      <c r="C300" s="91"/>
      <c r="D300" s="91"/>
      <c r="E300" s="91"/>
      <c r="F300" s="91"/>
      <c r="G300" s="91"/>
      <c r="H300" s="98"/>
      <c r="I300" s="91"/>
      <c r="J300" s="97"/>
      <c r="K300" s="97"/>
      <c r="L300" s="99"/>
      <c r="M300" s="100"/>
      <c r="N300" s="101"/>
      <c r="O300" s="91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</row>
    <row r="301">
      <c r="A301" s="91"/>
      <c r="B301" s="91"/>
      <c r="C301" s="91"/>
      <c r="D301" s="91"/>
      <c r="E301" s="91"/>
      <c r="F301" s="91"/>
      <c r="G301" s="91"/>
      <c r="H301" s="98"/>
      <c r="I301" s="91"/>
      <c r="J301" s="97"/>
      <c r="K301" s="97"/>
      <c r="L301" s="99"/>
      <c r="M301" s="100"/>
      <c r="N301" s="101"/>
      <c r="O301" s="91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</row>
    <row r="302">
      <c r="A302" s="91"/>
      <c r="B302" s="91"/>
      <c r="C302" s="91"/>
      <c r="D302" s="91"/>
      <c r="E302" s="91"/>
      <c r="F302" s="91"/>
      <c r="G302" s="91"/>
      <c r="H302" s="98"/>
      <c r="I302" s="91"/>
      <c r="J302" s="97"/>
      <c r="K302" s="97"/>
      <c r="L302" s="99"/>
      <c r="M302" s="100"/>
      <c r="N302" s="101"/>
      <c r="O302" s="91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</row>
    <row r="303">
      <c r="A303" s="91"/>
      <c r="B303" s="91"/>
      <c r="C303" s="91"/>
      <c r="D303" s="91"/>
      <c r="E303" s="91"/>
      <c r="F303" s="91"/>
      <c r="G303" s="91"/>
      <c r="H303" s="98"/>
      <c r="I303" s="91"/>
      <c r="J303" s="97"/>
      <c r="K303" s="97"/>
      <c r="L303" s="99"/>
      <c r="M303" s="100"/>
      <c r="N303" s="101"/>
      <c r="O303" s="91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</row>
    <row r="304">
      <c r="A304" s="91"/>
      <c r="B304" s="91"/>
      <c r="C304" s="91"/>
      <c r="D304" s="91"/>
      <c r="E304" s="91"/>
      <c r="F304" s="91"/>
      <c r="G304" s="91"/>
      <c r="H304" s="98"/>
      <c r="I304" s="91"/>
      <c r="J304" s="97"/>
      <c r="K304" s="97"/>
      <c r="L304" s="99"/>
      <c r="M304" s="100"/>
      <c r="N304" s="101"/>
      <c r="O304" s="91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</row>
    <row r="305">
      <c r="A305" s="91"/>
      <c r="B305" s="91"/>
      <c r="C305" s="91"/>
      <c r="D305" s="91"/>
      <c r="E305" s="91"/>
      <c r="F305" s="91"/>
      <c r="G305" s="91"/>
      <c r="H305" s="98"/>
      <c r="I305" s="91"/>
      <c r="J305" s="97"/>
      <c r="K305" s="97"/>
      <c r="L305" s="99"/>
      <c r="M305" s="100"/>
      <c r="N305" s="101"/>
      <c r="O305" s="91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</row>
    <row r="306">
      <c r="A306" s="91"/>
      <c r="B306" s="91"/>
      <c r="C306" s="91"/>
      <c r="D306" s="91"/>
      <c r="E306" s="91"/>
      <c r="F306" s="91"/>
      <c r="G306" s="91"/>
      <c r="H306" s="98"/>
      <c r="I306" s="91"/>
      <c r="J306" s="97"/>
      <c r="K306" s="97"/>
      <c r="L306" s="99"/>
      <c r="M306" s="100"/>
      <c r="N306" s="101"/>
      <c r="O306" s="91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</row>
    <row r="307">
      <c r="A307" s="91"/>
      <c r="B307" s="91"/>
      <c r="C307" s="91"/>
      <c r="D307" s="91"/>
      <c r="E307" s="91"/>
      <c r="F307" s="91"/>
      <c r="G307" s="91"/>
      <c r="H307" s="98"/>
      <c r="I307" s="91"/>
      <c r="J307" s="97"/>
      <c r="K307" s="97"/>
      <c r="L307" s="99"/>
      <c r="M307" s="100"/>
      <c r="N307" s="101"/>
      <c r="O307" s="91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</row>
    <row r="308">
      <c r="A308" s="91"/>
      <c r="B308" s="91"/>
      <c r="C308" s="91"/>
      <c r="D308" s="91"/>
      <c r="E308" s="91"/>
      <c r="F308" s="91"/>
      <c r="G308" s="91"/>
      <c r="H308" s="98"/>
      <c r="I308" s="91"/>
      <c r="J308" s="97"/>
      <c r="K308" s="97"/>
      <c r="L308" s="99"/>
      <c r="M308" s="100"/>
      <c r="N308" s="101"/>
      <c r="O308" s="91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</row>
    <row r="309">
      <c r="A309" s="91"/>
      <c r="B309" s="91"/>
      <c r="C309" s="91"/>
      <c r="D309" s="91"/>
      <c r="E309" s="91"/>
      <c r="F309" s="91"/>
      <c r="G309" s="91"/>
      <c r="H309" s="98"/>
      <c r="I309" s="91"/>
      <c r="J309" s="97"/>
      <c r="K309" s="97"/>
      <c r="L309" s="99"/>
      <c r="M309" s="100"/>
      <c r="N309" s="101"/>
      <c r="O309" s="91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</row>
    <row r="310">
      <c r="A310" s="91"/>
      <c r="B310" s="91"/>
      <c r="C310" s="91"/>
      <c r="D310" s="91"/>
      <c r="E310" s="91"/>
      <c r="F310" s="91"/>
      <c r="G310" s="91"/>
      <c r="H310" s="98"/>
      <c r="I310" s="91"/>
      <c r="J310" s="97"/>
      <c r="K310" s="97"/>
      <c r="L310" s="99"/>
      <c r="M310" s="100"/>
      <c r="N310" s="101"/>
      <c r="O310" s="91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</row>
    <row r="311">
      <c r="A311" s="91"/>
      <c r="B311" s="91"/>
      <c r="C311" s="91"/>
      <c r="D311" s="91"/>
      <c r="E311" s="91"/>
      <c r="F311" s="91"/>
      <c r="G311" s="91"/>
      <c r="H311" s="98"/>
      <c r="I311" s="91"/>
      <c r="J311" s="97"/>
      <c r="K311" s="97"/>
      <c r="L311" s="99"/>
      <c r="M311" s="100"/>
      <c r="N311" s="101"/>
      <c r="O311" s="91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</row>
    <row r="312">
      <c r="A312" s="91"/>
      <c r="B312" s="91"/>
      <c r="C312" s="91"/>
      <c r="D312" s="91"/>
      <c r="E312" s="91"/>
      <c r="F312" s="91"/>
      <c r="G312" s="91"/>
      <c r="H312" s="98"/>
      <c r="I312" s="91"/>
      <c r="J312" s="97"/>
      <c r="K312" s="97"/>
      <c r="L312" s="99"/>
      <c r="M312" s="100"/>
      <c r="N312" s="101"/>
      <c r="O312" s="91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</row>
    <row r="313">
      <c r="A313" s="91"/>
      <c r="B313" s="91"/>
      <c r="C313" s="91"/>
      <c r="D313" s="91"/>
      <c r="E313" s="91"/>
      <c r="F313" s="91"/>
      <c r="G313" s="91"/>
      <c r="H313" s="98"/>
      <c r="I313" s="91"/>
      <c r="J313" s="97"/>
      <c r="K313" s="97"/>
      <c r="L313" s="99"/>
      <c r="M313" s="100"/>
      <c r="N313" s="101"/>
      <c r="O313" s="91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</row>
    <row r="314">
      <c r="A314" s="91"/>
      <c r="B314" s="91"/>
      <c r="C314" s="91"/>
      <c r="D314" s="91"/>
      <c r="E314" s="91"/>
      <c r="F314" s="91"/>
      <c r="G314" s="91"/>
      <c r="H314" s="98"/>
      <c r="I314" s="91"/>
      <c r="J314" s="97"/>
      <c r="K314" s="97"/>
      <c r="L314" s="99"/>
      <c r="M314" s="100"/>
      <c r="N314" s="101"/>
      <c r="O314" s="91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</row>
    <row r="315">
      <c r="A315" s="91"/>
      <c r="B315" s="91"/>
      <c r="C315" s="91"/>
      <c r="D315" s="91"/>
      <c r="E315" s="91"/>
      <c r="F315" s="91"/>
      <c r="G315" s="91"/>
      <c r="H315" s="98"/>
      <c r="I315" s="91"/>
      <c r="J315" s="97"/>
      <c r="K315" s="97"/>
      <c r="L315" s="99"/>
      <c r="M315" s="100"/>
      <c r="N315" s="101"/>
      <c r="O315" s="91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</row>
    <row r="316">
      <c r="A316" s="91"/>
      <c r="B316" s="91"/>
      <c r="C316" s="91"/>
      <c r="D316" s="91"/>
      <c r="E316" s="91"/>
      <c r="F316" s="91"/>
      <c r="G316" s="91"/>
      <c r="H316" s="98"/>
      <c r="I316" s="91"/>
      <c r="J316" s="97"/>
      <c r="K316" s="97"/>
      <c r="L316" s="99"/>
      <c r="M316" s="100"/>
      <c r="N316" s="101"/>
      <c r="O316" s="91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</row>
    <row r="317">
      <c r="A317" s="91"/>
      <c r="B317" s="91"/>
      <c r="C317" s="91"/>
      <c r="D317" s="91"/>
      <c r="E317" s="91"/>
      <c r="F317" s="91"/>
      <c r="G317" s="91"/>
      <c r="H317" s="98"/>
      <c r="I317" s="91"/>
      <c r="J317" s="97"/>
      <c r="K317" s="97"/>
      <c r="L317" s="99"/>
      <c r="M317" s="100"/>
      <c r="N317" s="101"/>
      <c r="O317" s="91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</row>
    <row r="318">
      <c r="A318" s="91"/>
      <c r="B318" s="91"/>
      <c r="C318" s="91"/>
      <c r="D318" s="91"/>
      <c r="E318" s="91"/>
      <c r="F318" s="91"/>
      <c r="G318" s="91"/>
      <c r="H318" s="98"/>
      <c r="I318" s="91"/>
      <c r="J318" s="97"/>
      <c r="K318" s="97"/>
      <c r="L318" s="99"/>
      <c r="M318" s="100"/>
      <c r="N318" s="101"/>
      <c r="O318" s="91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</row>
    <row r="319">
      <c r="A319" s="91"/>
      <c r="B319" s="91"/>
      <c r="C319" s="91"/>
      <c r="D319" s="91"/>
      <c r="E319" s="91"/>
      <c r="F319" s="91"/>
      <c r="G319" s="91"/>
      <c r="H319" s="98"/>
      <c r="I319" s="91"/>
      <c r="J319" s="97"/>
      <c r="K319" s="97"/>
      <c r="L319" s="99"/>
      <c r="M319" s="100"/>
      <c r="N319" s="101"/>
      <c r="O319" s="91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</row>
    <row r="320">
      <c r="A320" s="91"/>
      <c r="B320" s="91"/>
      <c r="C320" s="91"/>
      <c r="D320" s="91"/>
      <c r="E320" s="91"/>
      <c r="F320" s="91"/>
      <c r="G320" s="91"/>
      <c r="H320" s="98"/>
      <c r="I320" s="91"/>
      <c r="J320" s="97"/>
      <c r="K320" s="97"/>
      <c r="L320" s="99"/>
      <c r="M320" s="100"/>
      <c r="N320" s="101"/>
      <c r="O320" s="91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</row>
    <row r="321">
      <c r="A321" s="91"/>
      <c r="B321" s="91"/>
      <c r="C321" s="91"/>
      <c r="D321" s="91"/>
      <c r="E321" s="91"/>
      <c r="F321" s="91"/>
      <c r="G321" s="91"/>
      <c r="H321" s="98"/>
      <c r="I321" s="91"/>
      <c r="J321" s="97"/>
      <c r="K321" s="97"/>
      <c r="L321" s="99"/>
      <c r="M321" s="100"/>
      <c r="N321" s="101"/>
      <c r="O321" s="91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</row>
    <row r="322">
      <c r="A322" s="91"/>
      <c r="B322" s="91"/>
      <c r="C322" s="91"/>
      <c r="D322" s="91"/>
      <c r="E322" s="91"/>
      <c r="F322" s="91"/>
      <c r="G322" s="91"/>
      <c r="H322" s="98"/>
      <c r="I322" s="91"/>
      <c r="J322" s="97"/>
      <c r="K322" s="97"/>
      <c r="L322" s="99"/>
      <c r="M322" s="100"/>
      <c r="N322" s="101"/>
      <c r="O322" s="91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</row>
    <row r="323">
      <c r="A323" s="91"/>
      <c r="B323" s="91"/>
      <c r="C323" s="91"/>
      <c r="D323" s="91"/>
      <c r="E323" s="91"/>
      <c r="F323" s="91"/>
      <c r="G323" s="91"/>
      <c r="H323" s="98"/>
      <c r="I323" s="91"/>
      <c r="J323" s="97"/>
      <c r="K323" s="97"/>
      <c r="L323" s="99"/>
      <c r="M323" s="100"/>
      <c r="N323" s="101"/>
      <c r="O323" s="91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</row>
    <row r="324">
      <c r="A324" s="91"/>
      <c r="B324" s="91"/>
      <c r="C324" s="91"/>
      <c r="D324" s="91"/>
      <c r="E324" s="91"/>
      <c r="F324" s="91"/>
      <c r="G324" s="91"/>
      <c r="H324" s="98"/>
      <c r="I324" s="91"/>
      <c r="J324" s="97"/>
      <c r="K324" s="97"/>
      <c r="L324" s="99"/>
      <c r="M324" s="100"/>
      <c r="N324" s="101"/>
      <c r="O324" s="91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</row>
    <row r="325">
      <c r="A325" s="91"/>
      <c r="B325" s="91"/>
      <c r="C325" s="91"/>
      <c r="D325" s="91"/>
      <c r="E325" s="91"/>
      <c r="F325" s="91"/>
      <c r="G325" s="91"/>
      <c r="H325" s="98"/>
      <c r="I325" s="91"/>
      <c r="J325" s="97"/>
      <c r="K325" s="97"/>
      <c r="L325" s="99"/>
      <c r="M325" s="100"/>
      <c r="N325" s="101"/>
      <c r="O325" s="91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</row>
    <row r="326">
      <c r="A326" s="91"/>
      <c r="B326" s="91"/>
      <c r="C326" s="91"/>
      <c r="D326" s="91"/>
      <c r="E326" s="91"/>
      <c r="F326" s="91"/>
      <c r="G326" s="91"/>
      <c r="H326" s="98"/>
      <c r="I326" s="91"/>
      <c r="J326" s="97"/>
      <c r="K326" s="97"/>
      <c r="L326" s="99"/>
      <c r="M326" s="100"/>
      <c r="N326" s="101"/>
      <c r="O326" s="91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</row>
    <row r="327">
      <c r="A327" s="91"/>
      <c r="B327" s="91"/>
      <c r="C327" s="91"/>
      <c r="D327" s="91"/>
      <c r="E327" s="91"/>
      <c r="F327" s="91"/>
      <c r="G327" s="91"/>
      <c r="H327" s="98"/>
      <c r="I327" s="91"/>
      <c r="J327" s="97"/>
      <c r="K327" s="97"/>
      <c r="L327" s="99"/>
      <c r="M327" s="100"/>
      <c r="N327" s="101"/>
      <c r="O327" s="91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</row>
    <row r="328">
      <c r="A328" s="91"/>
      <c r="B328" s="91"/>
      <c r="C328" s="91"/>
      <c r="D328" s="91"/>
      <c r="E328" s="91"/>
      <c r="F328" s="91"/>
      <c r="G328" s="91"/>
      <c r="H328" s="98"/>
      <c r="I328" s="91"/>
      <c r="J328" s="97"/>
      <c r="K328" s="97"/>
      <c r="L328" s="99"/>
      <c r="M328" s="100"/>
      <c r="N328" s="101"/>
      <c r="O328" s="91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</row>
    <row r="329">
      <c r="A329" s="91"/>
      <c r="B329" s="91"/>
      <c r="C329" s="91"/>
      <c r="D329" s="91"/>
      <c r="E329" s="91"/>
      <c r="F329" s="91"/>
      <c r="G329" s="91"/>
      <c r="H329" s="98"/>
      <c r="I329" s="91"/>
      <c r="J329" s="97"/>
      <c r="K329" s="97"/>
      <c r="L329" s="99"/>
      <c r="M329" s="100"/>
      <c r="N329" s="101"/>
      <c r="O329" s="91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</row>
    <row r="330">
      <c r="A330" s="91"/>
      <c r="B330" s="91"/>
      <c r="C330" s="91"/>
      <c r="D330" s="91"/>
      <c r="E330" s="91"/>
      <c r="F330" s="91"/>
      <c r="G330" s="91"/>
      <c r="H330" s="98"/>
      <c r="I330" s="91"/>
      <c r="J330" s="97"/>
      <c r="K330" s="97"/>
      <c r="L330" s="99"/>
      <c r="M330" s="100"/>
      <c r="N330" s="101"/>
      <c r="O330" s="91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</row>
    <row r="331">
      <c r="A331" s="91"/>
      <c r="B331" s="91"/>
      <c r="C331" s="91"/>
      <c r="D331" s="91"/>
      <c r="E331" s="91"/>
      <c r="F331" s="91"/>
      <c r="G331" s="91"/>
      <c r="H331" s="98"/>
      <c r="I331" s="91"/>
      <c r="J331" s="97"/>
      <c r="K331" s="97"/>
      <c r="L331" s="99"/>
      <c r="M331" s="100"/>
      <c r="N331" s="101"/>
      <c r="O331" s="91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</row>
    <row r="332">
      <c r="A332" s="91"/>
      <c r="B332" s="91"/>
      <c r="C332" s="91"/>
      <c r="D332" s="91"/>
      <c r="E332" s="91"/>
      <c r="F332" s="91"/>
      <c r="G332" s="91"/>
      <c r="H332" s="98"/>
      <c r="I332" s="91"/>
      <c r="J332" s="97"/>
      <c r="K332" s="97"/>
      <c r="L332" s="99"/>
      <c r="M332" s="100"/>
      <c r="N332" s="101"/>
      <c r="O332" s="91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</row>
    <row r="333">
      <c r="A333" s="91"/>
      <c r="B333" s="91"/>
      <c r="C333" s="91"/>
      <c r="D333" s="91"/>
      <c r="E333" s="91"/>
      <c r="F333" s="91"/>
      <c r="G333" s="91"/>
      <c r="H333" s="98"/>
      <c r="I333" s="91"/>
      <c r="J333" s="97"/>
      <c r="K333" s="97"/>
      <c r="L333" s="99"/>
      <c r="M333" s="100"/>
      <c r="N333" s="101"/>
      <c r="O333" s="91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</row>
    <row r="334">
      <c r="A334" s="91"/>
      <c r="B334" s="91"/>
      <c r="C334" s="91"/>
      <c r="D334" s="91"/>
      <c r="E334" s="91"/>
      <c r="F334" s="91"/>
      <c r="G334" s="91"/>
      <c r="H334" s="98"/>
      <c r="I334" s="91"/>
      <c r="J334" s="97"/>
      <c r="K334" s="97"/>
      <c r="L334" s="99"/>
      <c r="M334" s="100"/>
      <c r="N334" s="101"/>
      <c r="O334" s="91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</row>
    <row r="335">
      <c r="A335" s="91"/>
      <c r="B335" s="91"/>
      <c r="C335" s="91"/>
      <c r="D335" s="91"/>
      <c r="E335" s="91"/>
      <c r="F335" s="91"/>
      <c r="G335" s="91"/>
      <c r="H335" s="98"/>
      <c r="I335" s="91"/>
      <c r="J335" s="97"/>
      <c r="K335" s="97"/>
      <c r="L335" s="99"/>
      <c r="M335" s="100"/>
      <c r="N335" s="101"/>
      <c r="O335" s="91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</row>
    <row r="336">
      <c r="A336" s="91"/>
      <c r="B336" s="91"/>
      <c r="C336" s="91"/>
      <c r="D336" s="91"/>
      <c r="E336" s="91"/>
      <c r="F336" s="91"/>
      <c r="G336" s="91"/>
      <c r="H336" s="98"/>
      <c r="I336" s="91"/>
      <c r="J336" s="97"/>
      <c r="K336" s="97"/>
      <c r="L336" s="99"/>
      <c r="M336" s="100"/>
      <c r="N336" s="101"/>
      <c r="O336" s="91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</row>
    <row r="337">
      <c r="A337" s="91"/>
      <c r="B337" s="91"/>
      <c r="C337" s="91"/>
      <c r="D337" s="91"/>
      <c r="E337" s="91"/>
      <c r="F337" s="91"/>
      <c r="G337" s="91"/>
      <c r="H337" s="98"/>
      <c r="I337" s="91"/>
      <c r="J337" s="97"/>
      <c r="K337" s="97"/>
      <c r="L337" s="99"/>
      <c r="M337" s="100"/>
      <c r="N337" s="101"/>
      <c r="O337" s="91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</row>
    <row r="338">
      <c r="A338" s="91"/>
      <c r="B338" s="91"/>
      <c r="C338" s="91"/>
      <c r="D338" s="91"/>
      <c r="E338" s="91"/>
      <c r="F338" s="91"/>
      <c r="G338" s="91"/>
      <c r="H338" s="98"/>
      <c r="I338" s="91"/>
      <c r="J338" s="97"/>
      <c r="K338" s="97"/>
      <c r="L338" s="99"/>
      <c r="M338" s="100"/>
      <c r="N338" s="101"/>
      <c r="O338" s="91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</row>
    <row r="339">
      <c r="A339" s="91"/>
      <c r="B339" s="91"/>
      <c r="C339" s="91"/>
      <c r="D339" s="91"/>
      <c r="E339" s="91"/>
      <c r="F339" s="91"/>
      <c r="G339" s="91"/>
      <c r="H339" s="98"/>
      <c r="I339" s="91"/>
      <c r="J339" s="97"/>
      <c r="K339" s="97"/>
      <c r="L339" s="99"/>
      <c r="M339" s="100"/>
      <c r="N339" s="101"/>
      <c r="O339" s="91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</row>
    <row r="340">
      <c r="A340" s="91"/>
      <c r="B340" s="91"/>
      <c r="C340" s="91"/>
      <c r="D340" s="91"/>
      <c r="E340" s="91"/>
      <c r="F340" s="91"/>
      <c r="G340" s="91"/>
      <c r="H340" s="98"/>
      <c r="I340" s="91"/>
      <c r="J340" s="97"/>
      <c r="K340" s="97"/>
      <c r="L340" s="99"/>
      <c r="M340" s="100"/>
      <c r="N340" s="101"/>
      <c r="O340" s="91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</row>
    <row r="341">
      <c r="A341" s="91"/>
      <c r="B341" s="91"/>
      <c r="C341" s="91"/>
      <c r="D341" s="91"/>
      <c r="E341" s="91"/>
      <c r="F341" s="91"/>
      <c r="G341" s="91"/>
      <c r="H341" s="98"/>
      <c r="I341" s="91"/>
      <c r="J341" s="97"/>
      <c r="K341" s="97"/>
      <c r="L341" s="99"/>
      <c r="M341" s="100"/>
      <c r="N341" s="101"/>
      <c r="O341" s="91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</row>
    <row r="342">
      <c r="A342" s="91"/>
      <c r="B342" s="91"/>
      <c r="C342" s="91"/>
      <c r="D342" s="91"/>
      <c r="E342" s="91"/>
      <c r="F342" s="91"/>
      <c r="G342" s="91"/>
      <c r="H342" s="98"/>
      <c r="I342" s="91"/>
      <c r="J342" s="97"/>
      <c r="K342" s="97"/>
      <c r="L342" s="99"/>
      <c r="M342" s="100"/>
      <c r="N342" s="101"/>
      <c r="O342" s="91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</row>
    <row r="343">
      <c r="A343" s="91"/>
      <c r="B343" s="91"/>
      <c r="C343" s="91"/>
      <c r="D343" s="91"/>
      <c r="E343" s="91"/>
      <c r="F343" s="91"/>
      <c r="G343" s="91"/>
      <c r="H343" s="98"/>
      <c r="I343" s="91"/>
      <c r="J343" s="97"/>
      <c r="K343" s="97"/>
      <c r="L343" s="99"/>
      <c r="M343" s="100"/>
      <c r="N343" s="101"/>
      <c r="O343" s="91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</row>
    <row r="344">
      <c r="A344" s="91"/>
      <c r="B344" s="91"/>
      <c r="C344" s="91"/>
      <c r="D344" s="91"/>
      <c r="E344" s="91"/>
      <c r="F344" s="91"/>
      <c r="G344" s="91"/>
      <c r="H344" s="98"/>
      <c r="I344" s="91"/>
      <c r="J344" s="97"/>
      <c r="K344" s="97"/>
      <c r="L344" s="99"/>
      <c r="M344" s="100"/>
      <c r="N344" s="101"/>
      <c r="O344" s="91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</row>
    <row r="345">
      <c r="A345" s="91"/>
      <c r="B345" s="91"/>
      <c r="C345" s="91"/>
      <c r="D345" s="91"/>
      <c r="E345" s="91"/>
      <c r="F345" s="91"/>
      <c r="G345" s="91"/>
      <c r="H345" s="98"/>
      <c r="I345" s="91"/>
      <c r="J345" s="97"/>
      <c r="K345" s="97"/>
      <c r="L345" s="99"/>
      <c r="M345" s="100"/>
      <c r="N345" s="101"/>
      <c r="O345" s="91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</row>
    <row r="346">
      <c r="A346" s="91"/>
      <c r="B346" s="91"/>
      <c r="C346" s="91"/>
      <c r="D346" s="91"/>
      <c r="E346" s="91"/>
      <c r="F346" s="91"/>
      <c r="G346" s="91"/>
      <c r="H346" s="98"/>
      <c r="I346" s="91"/>
      <c r="J346" s="97"/>
      <c r="K346" s="97"/>
      <c r="L346" s="99"/>
      <c r="M346" s="100"/>
      <c r="N346" s="101"/>
      <c r="O346" s="91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</row>
    <row r="347">
      <c r="A347" s="91"/>
      <c r="B347" s="91"/>
      <c r="C347" s="91"/>
      <c r="D347" s="91"/>
      <c r="E347" s="91"/>
      <c r="F347" s="91"/>
      <c r="G347" s="91"/>
      <c r="H347" s="98"/>
      <c r="I347" s="91"/>
      <c r="J347" s="97"/>
      <c r="K347" s="97"/>
      <c r="L347" s="99"/>
      <c r="M347" s="100"/>
      <c r="N347" s="101"/>
      <c r="O347" s="91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</row>
    <row r="348">
      <c r="A348" s="91"/>
      <c r="B348" s="91"/>
      <c r="C348" s="91"/>
      <c r="D348" s="91"/>
      <c r="E348" s="91"/>
      <c r="F348" s="91"/>
      <c r="G348" s="91"/>
      <c r="H348" s="98"/>
      <c r="I348" s="91"/>
      <c r="J348" s="97"/>
      <c r="K348" s="97"/>
      <c r="L348" s="99"/>
      <c r="M348" s="100"/>
      <c r="N348" s="101"/>
      <c r="O348" s="91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</row>
    <row r="349">
      <c r="A349" s="91"/>
      <c r="B349" s="91"/>
      <c r="C349" s="91"/>
      <c r="D349" s="91"/>
      <c r="E349" s="91"/>
      <c r="F349" s="91"/>
      <c r="G349" s="91"/>
      <c r="H349" s="98"/>
      <c r="I349" s="91"/>
      <c r="J349" s="97"/>
      <c r="K349" s="97"/>
      <c r="L349" s="99"/>
      <c r="M349" s="100"/>
      <c r="N349" s="101"/>
      <c r="O349" s="91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</row>
    <row r="350">
      <c r="A350" s="91"/>
      <c r="B350" s="91"/>
      <c r="C350" s="91"/>
      <c r="D350" s="91"/>
      <c r="E350" s="91"/>
      <c r="F350" s="91"/>
      <c r="G350" s="91"/>
      <c r="H350" s="98"/>
      <c r="I350" s="91"/>
      <c r="J350" s="97"/>
      <c r="K350" s="97"/>
      <c r="L350" s="99"/>
      <c r="M350" s="100"/>
      <c r="N350" s="101"/>
      <c r="O350" s="91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</row>
    <row r="351">
      <c r="A351" s="91"/>
      <c r="B351" s="91"/>
      <c r="C351" s="91"/>
      <c r="D351" s="91"/>
      <c r="E351" s="91"/>
      <c r="F351" s="91"/>
      <c r="G351" s="91"/>
      <c r="H351" s="98"/>
      <c r="I351" s="91"/>
      <c r="J351" s="97"/>
      <c r="K351" s="97"/>
      <c r="L351" s="99"/>
      <c r="M351" s="100"/>
      <c r="N351" s="101"/>
      <c r="O351" s="91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</row>
    <row r="352">
      <c r="A352" s="91"/>
      <c r="B352" s="91"/>
      <c r="C352" s="91"/>
      <c r="D352" s="91"/>
      <c r="E352" s="91"/>
      <c r="F352" s="91"/>
      <c r="G352" s="91"/>
      <c r="H352" s="98"/>
      <c r="I352" s="91"/>
      <c r="J352" s="97"/>
      <c r="K352" s="97"/>
      <c r="L352" s="99"/>
      <c r="M352" s="100"/>
      <c r="N352" s="101"/>
      <c r="O352" s="91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</row>
    <row r="353">
      <c r="A353" s="91"/>
      <c r="B353" s="91"/>
      <c r="C353" s="91"/>
      <c r="D353" s="91"/>
      <c r="E353" s="91"/>
      <c r="F353" s="91"/>
      <c r="G353" s="91"/>
      <c r="H353" s="98"/>
      <c r="I353" s="91"/>
      <c r="J353" s="97"/>
      <c r="K353" s="97"/>
      <c r="L353" s="99"/>
      <c r="M353" s="100"/>
      <c r="N353" s="101"/>
      <c r="O353" s="91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</row>
    <row r="354">
      <c r="A354" s="91"/>
      <c r="B354" s="91"/>
      <c r="C354" s="91"/>
      <c r="D354" s="91"/>
      <c r="E354" s="91"/>
      <c r="F354" s="91"/>
      <c r="G354" s="91"/>
      <c r="H354" s="98"/>
      <c r="I354" s="91"/>
      <c r="J354" s="97"/>
      <c r="K354" s="97"/>
      <c r="L354" s="99"/>
      <c r="M354" s="100"/>
      <c r="N354" s="101"/>
      <c r="O354" s="91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</row>
    <row r="355">
      <c r="A355" s="91"/>
      <c r="B355" s="91"/>
      <c r="C355" s="91"/>
      <c r="D355" s="91"/>
      <c r="E355" s="91"/>
      <c r="F355" s="91"/>
      <c r="G355" s="91"/>
      <c r="H355" s="98"/>
      <c r="I355" s="91"/>
      <c r="J355" s="97"/>
      <c r="K355" s="97"/>
      <c r="L355" s="99"/>
      <c r="M355" s="100"/>
      <c r="N355" s="101"/>
      <c r="O355" s="91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</row>
    <row r="356">
      <c r="A356" s="91"/>
      <c r="B356" s="91"/>
      <c r="C356" s="91"/>
      <c r="D356" s="91"/>
      <c r="E356" s="91"/>
      <c r="F356" s="91"/>
      <c r="G356" s="91"/>
      <c r="H356" s="98"/>
      <c r="I356" s="91"/>
      <c r="J356" s="97"/>
      <c r="K356" s="97"/>
      <c r="L356" s="99"/>
      <c r="M356" s="100"/>
      <c r="N356" s="101"/>
      <c r="O356" s="91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</row>
    <row r="357">
      <c r="A357" s="91"/>
      <c r="B357" s="91"/>
      <c r="C357" s="91"/>
      <c r="D357" s="91"/>
      <c r="E357" s="91"/>
      <c r="F357" s="91"/>
      <c r="G357" s="91"/>
      <c r="H357" s="98"/>
      <c r="I357" s="91"/>
      <c r="J357" s="97"/>
      <c r="K357" s="97"/>
      <c r="L357" s="99"/>
      <c r="M357" s="100"/>
      <c r="N357" s="101"/>
      <c r="O357" s="91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</row>
    <row r="358">
      <c r="A358" s="91"/>
      <c r="B358" s="91"/>
      <c r="C358" s="91"/>
      <c r="D358" s="91"/>
      <c r="E358" s="91"/>
      <c r="F358" s="91"/>
      <c r="G358" s="91"/>
      <c r="H358" s="98"/>
      <c r="I358" s="91"/>
      <c r="J358" s="97"/>
      <c r="K358" s="97"/>
      <c r="L358" s="99"/>
      <c r="M358" s="100"/>
      <c r="N358" s="101"/>
      <c r="O358" s="91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</row>
    <row r="359">
      <c r="A359" s="91"/>
      <c r="B359" s="91"/>
      <c r="C359" s="91"/>
      <c r="D359" s="91"/>
      <c r="E359" s="91"/>
      <c r="F359" s="91"/>
      <c r="G359" s="91"/>
      <c r="H359" s="98"/>
      <c r="I359" s="91"/>
      <c r="J359" s="97"/>
      <c r="K359" s="97"/>
      <c r="L359" s="99"/>
      <c r="M359" s="100"/>
      <c r="N359" s="101"/>
      <c r="O359" s="91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</row>
    <row r="360">
      <c r="A360" s="91"/>
      <c r="B360" s="91"/>
      <c r="C360" s="91"/>
      <c r="D360" s="91"/>
      <c r="E360" s="91"/>
      <c r="F360" s="91"/>
      <c r="G360" s="91"/>
      <c r="H360" s="98"/>
      <c r="I360" s="91"/>
      <c r="J360" s="97"/>
      <c r="K360" s="97"/>
      <c r="L360" s="99"/>
      <c r="M360" s="100"/>
      <c r="N360" s="101"/>
      <c r="O360" s="91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</row>
    <row r="361">
      <c r="A361" s="91"/>
      <c r="B361" s="91"/>
      <c r="C361" s="91"/>
      <c r="D361" s="91"/>
      <c r="E361" s="91"/>
      <c r="F361" s="91"/>
      <c r="G361" s="91"/>
      <c r="H361" s="98"/>
      <c r="I361" s="91"/>
      <c r="J361" s="97"/>
      <c r="K361" s="97"/>
      <c r="L361" s="99"/>
      <c r="M361" s="100"/>
      <c r="N361" s="101"/>
      <c r="O361" s="91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</row>
    <row r="362">
      <c r="A362" s="91"/>
      <c r="B362" s="91"/>
      <c r="C362" s="91"/>
      <c r="D362" s="91"/>
      <c r="E362" s="91"/>
      <c r="F362" s="91"/>
      <c r="G362" s="91"/>
      <c r="H362" s="98"/>
      <c r="I362" s="91"/>
      <c r="J362" s="97"/>
      <c r="K362" s="97"/>
      <c r="L362" s="99"/>
      <c r="M362" s="100"/>
      <c r="N362" s="101"/>
      <c r="O362" s="91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</row>
    <row r="363">
      <c r="A363" s="91"/>
      <c r="B363" s="91"/>
      <c r="C363" s="91"/>
      <c r="D363" s="91"/>
      <c r="E363" s="91"/>
      <c r="F363" s="91"/>
      <c r="G363" s="91"/>
      <c r="H363" s="98"/>
      <c r="I363" s="91"/>
      <c r="J363" s="97"/>
      <c r="K363" s="97"/>
      <c r="L363" s="99"/>
      <c r="M363" s="100"/>
      <c r="N363" s="101"/>
      <c r="O363" s="91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</row>
    <row r="364">
      <c r="A364" s="91"/>
      <c r="B364" s="91"/>
      <c r="C364" s="91"/>
      <c r="D364" s="91"/>
      <c r="E364" s="91"/>
      <c r="F364" s="91"/>
      <c r="G364" s="91"/>
      <c r="H364" s="98"/>
      <c r="I364" s="91"/>
      <c r="J364" s="97"/>
      <c r="K364" s="97"/>
      <c r="L364" s="99"/>
      <c r="M364" s="100"/>
      <c r="N364" s="101"/>
      <c r="O364" s="91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</row>
    <row r="365">
      <c r="A365" s="91"/>
      <c r="B365" s="91"/>
      <c r="C365" s="91"/>
      <c r="D365" s="91"/>
      <c r="E365" s="91"/>
      <c r="F365" s="91"/>
      <c r="G365" s="91"/>
      <c r="H365" s="98"/>
      <c r="I365" s="91"/>
      <c r="J365" s="97"/>
      <c r="K365" s="97"/>
      <c r="L365" s="99"/>
      <c r="M365" s="100"/>
      <c r="N365" s="101"/>
      <c r="O365" s="91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</row>
    <row r="366">
      <c r="A366" s="91"/>
      <c r="B366" s="91"/>
      <c r="C366" s="91"/>
      <c r="D366" s="91"/>
      <c r="E366" s="91"/>
      <c r="F366" s="91"/>
      <c r="G366" s="91"/>
      <c r="H366" s="98"/>
      <c r="I366" s="91"/>
      <c r="J366" s="97"/>
      <c r="K366" s="97"/>
      <c r="L366" s="99"/>
      <c r="M366" s="100"/>
      <c r="N366" s="101"/>
      <c r="O366" s="91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</row>
    <row r="367">
      <c r="A367" s="91"/>
      <c r="B367" s="91"/>
      <c r="C367" s="91"/>
      <c r="D367" s="91"/>
      <c r="E367" s="91"/>
      <c r="F367" s="91"/>
      <c r="G367" s="91"/>
      <c r="H367" s="98"/>
      <c r="I367" s="91"/>
      <c r="J367" s="97"/>
      <c r="K367" s="97"/>
      <c r="L367" s="99"/>
      <c r="M367" s="100"/>
      <c r="N367" s="101"/>
      <c r="O367" s="91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</row>
    <row r="368">
      <c r="A368" s="91"/>
      <c r="B368" s="91"/>
      <c r="C368" s="91"/>
      <c r="D368" s="91"/>
      <c r="E368" s="91"/>
      <c r="F368" s="91"/>
      <c r="G368" s="91"/>
      <c r="H368" s="98"/>
      <c r="I368" s="91"/>
      <c r="J368" s="97"/>
      <c r="K368" s="97"/>
      <c r="L368" s="99"/>
      <c r="M368" s="100"/>
      <c r="N368" s="101"/>
      <c r="O368" s="91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</row>
    <row r="369">
      <c r="A369" s="91"/>
      <c r="B369" s="91"/>
      <c r="C369" s="91"/>
      <c r="D369" s="91"/>
      <c r="E369" s="91"/>
      <c r="F369" s="91"/>
      <c r="G369" s="91"/>
      <c r="H369" s="98"/>
      <c r="I369" s="91"/>
      <c r="J369" s="97"/>
      <c r="K369" s="97"/>
      <c r="L369" s="99"/>
      <c r="M369" s="100"/>
      <c r="N369" s="101"/>
      <c r="O369" s="91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</row>
    <row r="370">
      <c r="A370" s="91"/>
      <c r="B370" s="91"/>
      <c r="C370" s="91"/>
      <c r="D370" s="91"/>
      <c r="E370" s="91"/>
      <c r="F370" s="91"/>
      <c r="G370" s="91"/>
      <c r="H370" s="98"/>
      <c r="I370" s="91"/>
      <c r="J370" s="97"/>
      <c r="K370" s="97"/>
      <c r="L370" s="99"/>
      <c r="M370" s="100"/>
      <c r="N370" s="101"/>
      <c r="O370" s="91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</row>
    <row r="371">
      <c r="A371" s="91"/>
      <c r="B371" s="91"/>
      <c r="C371" s="91"/>
      <c r="D371" s="91"/>
      <c r="E371" s="91"/>
      <c r="F371" s="91"/>
      <c r="G371" s="91"/>
      <c r="H371" s="98"/>
      <c r="I371" s="91"/>
      <c r="J371" s="97"/>
      <c r="K371" s="97"/>
      <c r="L371" s="99"/>
      <c r="M371" s="100"/>
      <c r="N371" s="101"/>
      <c r="O371" s="91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</row>
    <row r="372">
      <c r="A372" s="91"/>
      <c r="B372" s="91"/>
      <c r="C372" s="91"/>
      <c r="D372" s="91"/>
      <c r="E372" s="91"/>
      <c r="F372" s="91"/>
      <c r="G372" s="91"/>
      <c r="H372" s="98"/>
      <c r="I372" s="91"/>
      <c r="J372" s="97"/>
      <c r="K372" s="97"/>
      <c r="L372" s="99"/>
      <c r="M372" s="100"/>
      <c r="N372" s="101"/>
      <c r="O372" s="91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</row>
    <row r="373">
      <c r="A373" s="91"/>
      <c r="B373" s="91"/>
      <c r="C373" s="91"/>
      <c r="D373" s="91"/>
      <c r="E373" s="91"/>
      <c r="F373" s="91"/>
      <c r="G373" s="91"/>
      <c r="H373" s="98"/>
      <c r="I373" s="91"/>
      <c r="J373" s="97"/>
      <c r="K373" s="97"/>
      <c r="L373" s="99"/>
      <c r="M373" s="100"/>
      <c r="N373" s="101"/>
      <c r="O373" s="91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</row>
    <row r="374">
      <c r="A374" s="91"/>
      <c r="B374" s="91"/>
      <c r="C374" s="91"/>
      <c r="D374" s="91"/>
      <c r="E374" s="91"/>
      <c r="F374" s="91"/>
      <c r="G374" s="91"/>
      <c r="H374" s="98"/>
      <c r="I374" s="91"/>
      <c r="J374" s="97"/>
      <c r="K374" s="97"/>
      <c r="L374" s="99"/>
      <c r="M374" s="100"/>
      <c r="N374" s="101"/>
      <c r="O374" s="91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</row>
    <row r="375">
      <c r="A375" s="91"/>
      <c r="B375" s="91"/>
      <c r="C375" s="91"/>
      <c r="D375" s="91"/>
      <c r="E375" s="91"/>
      <c r="F375" s="91"/>
      <c r="G375" s="91"/>
      <c r="H375" s="98"/>
      <c r="I375" s="91"/>
      <c r="J375" s="97"/>
      <c r="K375" s="97"/>
      <c r="L375" s="99"/>
      <c r="M375" s="100"/>
      <c r="N375" s="101"/>
      <c r="O375" s="91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</row>
    <row r="376">
      <c r="A376" s="91"/>
      <c r="B376" s="91"/>
      <c r="C376" s="91"/>
      <c r="D376" s="91"/>
      <c r="E376" s="91"/>
      <c r="F376" s="91"/>
      <c r="G376" s="91"/>
      <c r="H376" s="98"/>
      <c r="I376" s="91"/>
      <c r="J376" s="97"/>
      <c r="K376" s="97"/>
      <c r="L376" s="99"/>
      <c r="M376" s="100"/>
      <c r="N376" s="101"/>
      <c r="O376" s="91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</row>
    <row r="377">
      <c r="A377" s="91"/>
      <c r="B377" s="91"/>
      <c r="C377" s="91"/>
      <c r="D377" s="91"/>
      <c r="E377" s="91"/>
      <c r="F377" s="91"/>
      <c r="G377" s="91"/>
      <c r="H377" s="98"/>
      <c r="I377" s="91"/>
      <c r="J377" s="97"/>
      <c r="K377" s="97"/>
      <c r="L377" s="99"/>
      <c r="M377" s="100"/>
      <c r="N377" s="101"/>
      <c r="O377" s="91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</row>
    <row r="378">
      <c r="A378" s="91"/>
      <c r="B378" s="91"/>
      <c r="C378" s="91"/>
      <c r="D378" s="91"/>
      <c r="E378" s="91"/>
      <c r="F378" s="91"/>
      <c r="G378" s="91"/>
      <c r="H378" s="98"/>
      <c r="I378" s="91"/>
      <c r="J378" s="97"/>
      <c r="K378" s="97"/>
      <c r="L378" s="99"/>
      <c r="M378" s="100"/>
      <c r="N378" s="101"/>
      <c r="O378" s="91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</row>
    <row r="379">
      <c r="A379" s="91"/>
      <c r="B379" s="91"/>
      <c r="C379" s="91"/>
      <c r="D379" s="91"/>
      <c r="E379" s="91"/>
      <c r="F379" s="91"/>
      <c r="G379" s="91"/>
      <c r="H379" s="98"/>
      <c r="I379" s="91"/>
      <c r="J379" s="97"/>
      <c r="K379" s="97"/>
      <c r="L379" s="99"/>
      <c r="M379" s="100"/>
      <c r="N379" s="101"/>
      <c r="O379" s="91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</row>
    <row r="380">
      <c r="A380" s="91"/>
      <c r="B380" s="91"/>
      <c r="C380" s="91"/>
      <c r="D380" s="91"/>
      <c r="E380" s="91"/>
      <c r="F380" s="91"/>
      <c r="G380" s="91"/>
      <c r="H380" s="98"/>
      <c r="I380" s="91"/>
      <c r="J380" s="97"/>
      <c r="K380" s="97"/>
      <c r="L380" s="99"/>
      <c r="M380" s="100"/>
      <c r="N380" s="101"/>
      <c r="O380" s="91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</row>
    <row r="381">
      <c r="A381" s="91"/>
      <c r="B381" s="91"/>
      <c r="C381" s="91"/>
      <c r="D381" s="91"/>
      <c r="E381" s="91"/>
      <c r="F381" s="91"/>
      <c r="G381" s="91"/>
      <c r="H381" s="98"/>
      <c r="I381" s="91"/>
      <c r="J381" s="97"/>
      <c r="K381" s="97"/>
      <c r="L381" s="99"/>
      <c r="M381" s="100"/>
      <c r="N381" s="101"/>
      <c r="O381" s="91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</row>
    <row r="382">
      <c r="A382" s="91"/>
      <c r="B382" s="91"/>
      <c r="C382" s="91"/>
      <c r="D382" s="91"/>
      <c r="E382" s="91"/>
      <c r="F382" s="91"/>
      <c r="G382" s="91"/>
      <c r="H382" s="98"/>
      <c r="I382" s="91"/>
      <c r="J382" s="97"/>
      <c r="K382" s="97"/>
      <c r="L382" s="99"/>
      <c r="M382" s="100"/>
      <c r="N382" s="101"/>
      <c r="O382" s="91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</row>
    <row r="383">
      <c r="A383" s="91"/>
      <c r="B383" s="91"/>
      <c r="C383" s="91"/>
      <c r="D383" s="91"/>
      <c r="E383" s="91"/>
      <c r="F383" s="91"/>
      <c r="G383" s="91"/>
      <c r="H383" s="98"/>
      <c r="I383" s="91"/>
      <c r="J383" s="97"/>
      <c r="K383" s="97"/>
      <c r="L383" s="99"/>
      <c r="M383" s="100"/>
      <c r="N383" s="101"/>
      <c r="O383" s="91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</row>
    <row r="384">
      <c r="A384" s="91"/>
      <c r="B384" s="91"/>
      <c r="C384" s="91"/>
      <c r="D384" s="91"/>
      <c r="E384" s="91"/>
      <c r="F384" s="91"/>
      <c r="G384" s="91"/>
      <c r="H384" s="98"/>
      <c r="I384" s="91"/>
      <c r="J384" s="97"/>
      <c r="K384" s="97"/>
      <c r="L384" s="99"/>
      <c r="M384" s="100"/>
      <c r="N384" s="101"/>
      <c r="O384" s="91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</row>
    <row r="385">
      <c r="A385" s="91"/>
      <c r="B385" s="91"/>
      <c r="C385" s="91"/>
      <c r="D385" s="91"/>
      <c r="E385" s="91"/>
      <c r="F385" s="91"/>
      <c r="G385" s="91"/>
      <c r="H385" s="98"/>
      <c r="I385" s="91"/>
      <c r="J385" s="97"/>
      <c r="K385" s="97"/>
      <c r="L385" s="99"/>
      <c r="M385" s="100"/>
      <c r="N385" s="101"/>
      <c r="O385" s="91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</row>
    <row r="386">
      <c r="A386" s="91"/>
      <c r="B386" s="91"/>
      <c r="C386" s="91"/>
      <c r="D386" s="91"/>
      <c r="E386" s="91"/>
      <c r="F386" s="91"/>
      <c r="G386" s="91"/>
      <c r="H386" s="98"/>
      <c r="I386" s="91"/>
      <c r="J386" s="97"/>
      <c r="K386" s="97"/>
      <c r="L386" s="99"/>
      <c r="M386" s="100"/>
      <c r="N386" s="101"/>
      <c r="O386" s="91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</row>
    <row r="387">
      <c r="A387" s="91"/>
      <c r="B387" s="91"/>
      <c r="C387" s="91"/>
      <c r="D387" s="91"/>
      <c r="E387" s="91"/>
      <c r="F387" s="91"/>
      <c r="G387" s="91"/>
      <c r="H387" s="98"/>
      <c r="I387" s="91"/>
      <c r="J387" s="97"/>
      <c r="K387" s="97"/>
      <c r="L387" s="99"/>
      <c r="M387" s="100"/>
      <c r="N387" s="101"/>
      <c r="O387" s="91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</row>
    <row r="388">
      <c r="A388" s="91"/>
      <c r="B388" s="91"/>
      <c r="C388" s="91"/>
      <c r="D388" s="91"/>
      <c r="E388" s="91"/>
      <c r="F388" s="91"/>
      <c r="G388" s="91"/>
      <c r="H388" s="98"/>
      <c r="I388" s="91"/>
      <c r="J388" s="97"/>
      <c r="K388" s="97"/>
      <c r="L388" s="99"/>
      <c r="M388" s="100"/>
      <c r="N388" s="101"/>
      <c r="O388" s="91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</row>
    <row r="389">
      <c r="A389" s="91"/>
      <c r="B389" s="91"/>
      <c r="C389" s="91"/>
      <c r="D389" s="91"/>
      <c r="E389" s="91"/>
      <c r="F389" s="91"/>
      <c r="G389" s="91"/>
      <c r="H389" s="98"/>
      <c r="I389" s="91"/>
      <c r="J389" s="97"/>
      <c r="K389" s="97"/>
      <c r="L389" s="99"/>
      <c r="M389" s="100"/>
      <c r="N389" s="101"/>
      <c r="O389" s="91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</row>
    <row r="390">
      <c r="A390" s="91"/>
      <c r="B390" s="91"/>
      <c r="C390" s="91"/>
      <c r="D390" s="91"/>
      <c r="E390" s="91"/>
      <c r="F390" s="91"/>
      <c r="G390" s="91"/>
      <c r="H390" s="98"/>
      <c r="I390" s="91"/>
      <c r="J390" s="97"/>
      <c r="K390" s="97"/>
      <c r="L390" s="99"/>
      <c r="M390" s="100"/>
      <c r="N390" s="101"/>
      <c r="O390" s="91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</row>
    <row r="391">
      <c r="A391" s="91"/>
      <c r="B391" s="91"/>
      <c r="C391" s="91"/>
      <c r="D391" s="91"/>
      <c r="E391" s="91"/>
      <c r="F391" s="91"/>
      <c r="G391" s="91"/>
      <c r="H391" s="98"/>
      <c r="I391" s="91"/>
      <c r="J391" s="97"/>
      <c r="K391" s="97"/>
      <c r="L391" s="99"/>
      <c r="M391" s="100"/>
      <c r="N391" s="101"/>
      <c r="O391" s="91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</row>
    <row r="392">
      <c r="A392" s="91"/>
      <c r="B392" s="91"/>
      <c r="C392" s="91"/>
      <c r="D392" s="91"/>
      <c r="E392" s="91"/>
      <c r="F392" s="91"/>
      <c r="G392" s="91"/>
      <c r="H392" s="98"/>
      <c r="I392" s="91"/>
      <c r="J392" s="97"/>
      <c r="K392" s="97"/>
      <c r="L392" s="99"/>
      <c r="M392" s="100"/>
      <c r="N392" s="101"/>
      <c r="O392" s="91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</row>
    <row r="393">
      <c r="A393" s="91"/>
      <c r="B393" s="91"/>
      <c r="C393" s="91"/>
      <c r="D393" s="91"/>
      <c r="E393" s="91"/>
      <c r="F393" s="91"/>
      <c r="G393" s="91"/>
      <c r="H393" s="98"/>
      <c r="I393" s="91"/>
      <c r="J393" s="97"/>
      <c r="K393" s="97"/>
      <c r="L393" s="99"/>
      <c r="M393" s="100"/>
      <c r="N393" s="101"/>
      <c r="O393" s="91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</row>
    <row r="394">
      <c r="A394" s="91"/>
      <c r="B394" s="91"/>
      <c r="C394" s="91"/>
      <c r="D394" s="91"/>
      <c r="E394" s="91"/>
      <c r="F394" s="91"/>
      <c r="G394" s="91"/>
      <c r="H394" s="98"/>
      <c r="I394" s="91"/>
      <c r="J394" s="97"/>
      <c r="K394" s="97"/>
      <c r="L394" s="99"/>
      <c r="M394" s="100"/>
      <c r="N394" s="101"/>
      <c r="O394" s="91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</row>
    <row r="395">
      <c r="A395" s="91"/>
      <c r="B395" s="91"/>
      <c r="C395" s="91"/>
      <c r="D395" s="91"/>
      <c r="E395" s="91"/>
      <c r="F395" s="91"/>
      <c r="G395" s="91"/>
      <c r="H395" s="98"/>
      <c r="I395" s="91"/>
      <c r="J395" s="97"/>
      <c r="K395" s="97"/>
      <c r="L395" s="99"/>
      <c r="M395" s="100"/>
      <c r="N395" s="101"/>
      <c r="O395" s="91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</row>
    <row r="396">
      <c r="A396" s="91"/>
      <c r="B396" s="91"/>
      <c r="C396" s="91"/>
      <c r="D396" s="91"/>
      <c r="E396" s="91"/>
      <c r="F396" s="91"/>
      <c r="G396" s="91"/>
      <c r="H396" s="98"/>
      <c r="I396" s="91"/>
      <c r="J396" s="97"/>
      <c r="K396" s="97"/>
      <c r="L396" s="99"/>
      <c r="M396" s="100"/>
      <c r="N396" s="101"/>
      <c r="O396" s="91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</row>
    <row r="397">
      <c r="A397" s="91"/>
      <c r="B397" s="91"/>
      <c r="C397" s="91"/>
      <c r="D397" s="91"/>
      <c r="E397" s="91"/>
      <c r="F397" s="91"/>
      <c r="G397" s="91"/>
      <c r="H397" s="98"/>
      <c r="I397" s="91"/>
      <c r="J397" s="97"/>
      <c r="K397" s="97"/>
      <c r="L397" s="99"/>
      <c r="M397" s="100"/>
      <c r="N397" s="101"/>
      <c r="O397" s="91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</row>
    <row r="398">
      <c r="A398" s="91"/>
      <c r="B398" s="91"/>
      <c r="C398" s="91"/>
      <c r="D398" s="91"/>
      <c r="E398" s="91"/>
      <c r="F398" s="91"/>
      <c r="G398" s="91"/>
      <c r="H398" s="98"/>
      <c r="I398" s="91"/>
      <c r="J398" s="97"/>
      <c r="K398" s="97"/>
      <c r="L398" s="99"/>
      <c r="M398" s="100"/>
      <c r="N398" s="101"/>
      <c r="O398" s="91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</row>
    <row r="399">
      <c r="A399" s="91"/>
      <c r="B399" s="91"/>
      <c r="C399" s="91"/>
      <c r="D399" s="91"/>
      <c r="E399" s="91"/>
      <c r="F399" s="91"/>
      <c r="G399" s="91"/>
      <c r="H399" s="98"/>
      <c r="I399" s="91"/>
      <c r="J399" s="97"/>
      <c r="K399" s="97"/>
      <c r="L399" s="99"/>
      <c r="M399" s="100"/>
      <c r="N399" s="101"/>
      <c r="O399" s="91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</row>
    <row r="400">
      <c r="A400" s="91"/>
      <c r="B400" s="91"/>
      <c r="C400" s="91"/>
      <c r="D400" s="91"/>
      <c r="E400" s="91"/>
      <c r="F400" s="91"/>
      <c r="G400" s="91"/>
      <c r="H400" s="98"/>
      <c r="I400" s="91"/>
      <c r="J400" s="97"/>
      <c r="K400" s="97"/>
      <c r="L400" s="99"/>
      <c r="M400" s="100"/>
      <c r="N400" s="101"/>
      <c r="O400" s="91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</row>
    <row r="401">
      <c r="A401" s="91"/>
      <c r="B401" s="91"/>
      <c r="C401" s="91"/>
      <c r="D401" s="91"/>
      <c r="E401" s="91"/>
      <c r="F401" s="91"/>
      <c r="G401" s="91"/>
      <c r="H401" s="98"/>
      <c r="I401" s="91"/>
      <c r="J401" s="97"/>
      <c r="K401" s="97"/>
      <c r="L401" s="99"/>
      <c r="M401" s="100"/>
      <c r="N401" s="101"/>
      <c r="O401" s="91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</row>
    <row r="402">
      <c r="A402" s="91"/>
      <c r="B402" s="91"/>
      <c r="C402" s="91"/>
      <c r="D402" s="91"/>
      <c r="E402" s="91"/>
      <c r="F402" s="91"/>
      <c r="G402" s="91"/>
      <c r="H402" s="98"/>
      <c r="I402" s="91"/>
      <c r="J402" s="97"/>
      <c r="K402" s="97"/>
      <c r="L402" s="99"/>
      <c r="M402" s="100"/>
      <c r="N402" s="101"/>
      <c r="O402" s="91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</row>
    <row r="403">
      <c r="A403" s="91"/>
      <c r="B403" s="91"/>
      <c r="C403" s="91"/>
      <c r="D403" s="91"/>
      <c r="E403" s="91"/>
      <c r="F403" s="91"/>
      <c r="G403" s="91"/>
      <c r="H403" s="98"/>
      <c r="I403" s="91"/>
      <c r="J403" s="97"/>
      <c r="K403" s="97"/>
      <c r="L403" s="99"/>
      <c r="M403" s="100"/>
      <c r="N403" s="101"/>
      <c r="O403" s="91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</row>
    <row r="404">
      <c r="A404" s="91"/>
      <c r="B404" s="91"/>
      <c r="C404" s="91"/>
      <c r="D404" s="91"/>
      <c r="E404" s="91"/>
      <c r="F404" s="91"/>
      <c r="G404" s="91"/>
      <c r="H404" s="98"/>
      <c r="I404" s="91"/>
      <c r="J404" s="97"/>
      <c r="K404" s="97"/>
      <c r="L404" s="99"/>
      <c r="M404" s="100"/>
      <c r="N404" s="101"/>
      <c r="O404" s="91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</row>
    <row r="405">
      <c r="A405" s="91"/>
      <c r="B405" s="91"/>
      <c r="C405" s="91"/>
      <c r="D405" s="91"/>
      <c r="E405" s="91"/>
      <c r="F405" s="91"/>
      <c r="G405" s="91"/>
      <c r="H405" s="98"/>
      <c r="I405" s="91"/>
      <c r="J405" s="97"/>
      <c r="K405" s="97"/>
      <c r="L405" s="99"/>
      <c r="M405" s="100"/>
      <c r="N405" s="101"/>
      <c r="O405" s="91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</row>
    <row r="406">
      <c r="A406" s="91"/>
      <c r="B406" s="91"/>
      <c r="C406" s="91"/>
      <c r="D406" s="91"/>
      <c r="E406" s="91"/>
      <c r="F406" s="91"/>
      <c r="G406" s="91"/>
      <c r="H406" s="98"/>
      <c r="I406" s="91"/>
      <c r="J406" s="97"/>
      <c r="K406" s="97"/>
      <c r="L406" s="99"/>
      <c r="M406" s="100"/>
      <c r="N406" s="101"/>
      <c r="O406" s="91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</row>
    <row r="407">
      <c r="A407" s="91"/>
      <c r="B407" s="91"/>
      <c r="C407" s="91"/>
      <c r="D407" s="91"/>
      <c r="E407" s="91"/>
      <c r="F407" s="91"/>
      <c r="G407" s="91"/>
      <c r="H407" s="98"/>
      <c r="I407" s="91"/>
      <c r="J407" s="97"/>
      <c r="K407" s="97"/>
      <c r="L407" s="99"/>
      <c r="M407" s="100"/>
      <c r="N407" s="101"/>
      <c r="O407" s="91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</row>
    <row r="408">
      <c r="A408" s="91"/>
      <c r="B408" s="91"/>
      <c r="C408" s="91"/>
      <c r="D408" s="91"/>
      <c r="E408" s="91"/>
      <c r="F408" s="91"/>
      <c r="G408" s="91"/>
      <c r="H408" s="98"/>
      <c r="I408" s="91"/>
      <c r="J408" s="97"/>
      <c r="K408" s="97"/>
      <c r="L408" s="99"/>
      <c r="M408" s="100"/>
      <c r="N408" s="101"/>
      <c r="O408" s="91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</row>
    <row r="409">
      <c r="A409" s="91"/>
      <c r="B409" s="91"/>
      <c r="C409" s="91"/>
      <c r="D409" s="91"/>
      <c r="E409" s="91"/>
      <c r="F409" s="91"/>
      <c r="G409" s="91"/>
      <c r="H409" s="98"/>
      <c r="I409" s="91"/>
      <c r="J409" s="97"/>
      <c r="K409" s="97"/>
      <c r="L409" s="99"/>
      <c r="M409" s="100"/>
      <c r="N409" s="101"/>
      <c r="O409" s="91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</row>
    <row r="410">
      <c r="A410" s="91"/>
      <c r="B410" s="91"/>
      <c r="C410" s="91"/>
      <c r="D410" s="91"/>
      <c r="E410" s="91"/>
      <c r="F410" s="91"/>
      <c r="G410" s="91"/>
      <c r="H410" s="98"/>
      <c r="I410" s="91"/>
      <c r="J410" s="97"/>
      <c r="K410" s="97"/>
      <c r="L410" s="99"/>
      <c r="M410" s="100"/>
      <c r="N410" s="101"/>
      <c r="O410" s="91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</row>
    <row r="411">
      <c r="A411" s="91"/>
      <c r="B411" s="91"/>
      <c r="C411" s="91"/>
      <c r="D411" s="91"/>
      <c r="E411" s="91"/>
      <c r="F411" s="91"/>
      <c r="G411" s="91"/>
      <c r="H411" s="98"/>
      <c r="I411" s="91"/>
      <c r="J411" s="97"/>
      <c r="K411" s="97"/>
      <c r="L411" s="99"/>
      <c r="M411" s="100"/>
      <c r="N411" s="101"/>
      <c r="O411" s="91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</row>
    <row r="412">
      <c r="A412" s="91"/>
      <c r="B412" s="91"/>
      <c r="C412" s="91"/>
      <c r="D412" s="91"/>
      <c r="E412" s="91"/>
      <c r="F412" s="91"/>
      <c r="G412" s="91"/>
      <c r="H412" s="98"/>
      <c r="I412" s="91"/>
      <c r="J412" s="97"/>
      <c r="K412" s="97"/>
      <c r="L412" s="99"/>
      <c r="M412" s="100"/>
      <c r="N412" s="101"/>
      <c r="O412" s="91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</row>
    <row r="413">
      <c r="A413" s="91"/>
      <c r="B413" s="91"/>
      <c r="C413" s="91"/>
      <c r="D413" s="91"/>
      <c r="E413" s="91"/>
      <c r="F413" s="91"/>
      <c r="G413" s="91"/>
      <c r="H413" s="98"/>
      <c r="I413" s="91"/>
      <c r="J413" s="97"/>
      <c r="K413" s="97"/>
      <c r="L413" s="99"/>
      <c r="M413" s="100"/>
      <c r="N413" s="101"/>
      <c r="O413" s="91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</row>
    <row r="414">
      <c r="A414" s="91"/>
      <c r="B414" s="91"/>
      <c r="C414" s="91"/>
      <c r="D414" s="91"/>
      <c r="E414" s="91"/>
      <c r="F414" s="91"/>
      <c r="G414" s="91"/>
      <c r="H414" s="98"/>
      <c r="I414" s="91"/>
      <c r="J414" s="97"/>
      <c r="K414" s="97"/>
      <c r="L414" s="99"/>
      <c r="M414" s="100"/>
      <c r="N414" s="101"/>
      <c r="O414" s="91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</row>
    <row r="415">
      <c r="A415" s="91"/>
      <c r="B415" s="91"/>
      <c r="C415" s="91"/>
      <c r="D415" s="91"/>
      <c r="E415" s="91"/>
      <c r="F415" s="91"/>
      <c r="G415" s="91"/>
      <c r="H415" s="98"/>
      <c r="I415" s="91"/>
      <c r="J415" s="97"/>
      <c r="K415" s="97"/>
      <c r="L415" s="99"/>
      <c r="M415" s="100"/>
      <c r="N415" s="101"/>
      <c r="O415" s="91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</row>
    <row r="416">
      <c r="A416" s="91"/>
      <c r="B416" s="91"/>
      <c r="C416" s="91"/>
      <c r="D416" s="91"/>
      <c r="E416" s="91"/>
      <c r="F416" s="91"/>
      <c r="G416" s="91"/>
      <c r="H416" s="98"/>
      <c r="I416" s="91"/>
      <c r="J416" s="97"/>
      <c r="K416" s="97"/>
      <c r="L416" s="99"/>
      <c r="M416" s="100"/>
      <c r="N416" s="101"/>
      <c r="O416" s="91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</row>
    <row r="417">
      <c r="A417" s="91"/>
      <c r="B417" s="91"/>
      <c r="C417" s="91"/>
      <c r="D417" s="91"/>
      <c r="E417" s="91"/>
      <c r="F417" s="91"/>
      <c r="G417" s="91"/>
      <c r="H417" s="98"/>
      <c r="I417" s="91"/>
      <c r="J417" s="97"/>
      <c r="K417" s="97"/>
      <c r="L417" s="99"/>
      <c r="M417" s="100"/>
      <c r="N417" s="101"/>
      <c r="O417" s="91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</row>
    <row r="418">
      <c r="A418" s="91"/>
      <c r="B418" s="91"/>
      <c r="C418" s="91"/>
      <c r="D418" s="91"/>
      <c r="E418" s="91"/>
      <c r="F418" s="91"/>
      <c r="G418" s="91"/>
      <c r="H418" s="98"/>
      <c r="I418" s="91"/>
      <c r="J418" s="97"/>
      <c r="K418" s="97"/>
      <c r="L418" s="99"/>
      <c r="M418" s="100"/>
      <c r="N418" s="101"/>
      <c r="O418" s="91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</row>
    <row r="419">
      <c r="A419" s="91"/>
      <c r="B419" s="91"/>
      <c r="C419" s="91"/>
      <c r="D419" s="91"/>
      <c r="E419" s="91"/>
      <c r="F419" s="91"/>
      <c r="G419" s="91"/>
      <c r="H419" s="98"/>
      <c r="I419" s="91"/>
      <c r="J419" s="97"/>
      <c r="K419" s="97"/>
      <c r="L419" s="99"/>
      <c r="M419" s="100"/>
      <c r="N419" s="101"/>
      <c r="O419" s="91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</row>
    <row r="420">
      <c r="A420" s="91"/>
      <c r="B420" s="91"/>
      <c r="C420" s="91"/>
      <c r="D420" s="91"/>
      <c r="E420" s="91"/>
      <c r="F420" s="91"/>
      <c r="G420" s="91"/>
      <c r="H420" s="98"/>
      <c r="I420" s="91"/>
      <c r="J420" s="97"/>
      <c r="K420" s="97"/>
      <c r="L420" s="99"/>
      <c r="M420" s="100"/>
      <c r="N420" s="101"/>
      <c r="O420" s="91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</row>
    <row r="421">
      <c r="A421" s="91"/>
      <c r="B421" s="91"/>
      <c r="C421" s="91"/>
      <c r="D421" s="91"/>
      <c r="E421" s="91"/>
      <c r="F421" s="91"/>
      <c r="G421" s="91"/>
      <c r="H421" s="98"/>
      <c r="I421" s="91"/>
      <c r="J421" s="97"/>
      <c r="K421" s="97"/>
      <c r="L421" s="99"/>
      <c r="M421" s="100"/>
      <c r="N421" s="101"/>
      <c r="O421" s="91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</row>
    <row r="422">
      <c r="A422" s="91"/>
      <c r="B422" s="91"/>
      <c r="C422" s="91"/>
      <c r="D422" s="91"/>
      <c r="E422" s="91"/>
      <c r="F422" s="91"/>
      <c r="G422" s="91"/>
      <c r="H422" s="98"/>
      <c r="I422" s="91"/>
      <c r="J422" s="97"/>
      <c r="K422" s="97"/>
      <c r="L422" s="99"/>
      <c r="M422" s="100"/>
      <c r="N422" s="101"/>
      <c r="O422" s="91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</row>
    <row r="423">
      <c r="A423" s="91"/>
      <c r="B423" s="91"/>
      <c r="C423" s="91"/>
      <c r="D423" s="91"/>
      <c r="E423" s="91"/>
      <c r="F423" s="91"/>
      <c r="G423" s="91"/>
      <c r="H423" s="98"/>
      <c r="I423" s="91"/>
      <c r="J423" s="97"/>
      <c r="K423" s="97"/>
      <c r="L423" s="99"/>
      <c r="M423" s="100"/>
      <c r="N423" s="101"/>
      <c r="O423" s="91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</row>
    <row r="424">
      <c r="A424" s="91"/>
      <c r="B424" s="91"/>
      <c r="C424" s="91"/>
      <c r="D424" s="91"/>
      <c r="E424" s="91"/>
      <c r="F424" s="91"/>
      <c r="G424" s="91"/>
      <c r="H424" s="98"/>
      <c r="I424" s="91"/>
      <c r="J424" s="97"/>
      <c r="K424" s="97"/>
      <c r="L424" s="99"/>
      <c r="M424" s="100"/>
      <c r="N424" s="101"/>
      <c r="O424" s="91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</row>
    <row r="425">
      <c r="A425" s="91"/>
      <c r="B425" s="91"/>
      <c r="C425" s="91"/>
      <c r="D425" s="91"/>
      <c r="E425" s="91"/>
      <c r="F425" s="91"/>
      <c r="G425" s="91"/>
      <c r="H425" s="98"/>
      <c r="I425" s="91"/>
      <c r="J425" s="97"/>
      <c r="K425" s="97"/>
      <c r="L425" s="99"/>
      <c r="M425" s="100"/>
      <c r="N425" s="101"/>
      <c r="O425" s="91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</row>
    <row r="426">
      <c r="A426" s="91"/>
      <c r="B426" s="91"/>
      <c r="C426" s="91"/>
      <c r="D426" s="91"/>
      <c r="E426" s="91"/>
      <c r="F426" s="91"/>
      <c r="G426" s="91"/>
      <c r="H426" s="98"/>
      <c r="I426" s="91"/>
      <c r="J426" s="97"/>
      <c r="K426" s="97"/>
      <c r="L426" s="99"/>
      <c r="M426" s="100"/>
      <c r="N426" s="101"/>
      <c r="O426" s="91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</row>
    <row r="427">
      <c r="A427" s="91"/>
      <c r="B427" s="91"/>
      <c r="C427" s="91"/>
      <c r="D427" s="91"/>
      <c r="E427" s="91"/>
      <c r="F427" s="91"/>
      <c r="G427" s="91"/>
      <c r="H427" s="98"/>
      <c r="I427" s="91"/>
      <c r="J427" s="97"/>
      <c r="K427" s="97"/>
      <c r="L427" s="99"/>
      <c r="M427" s="100"/>
      <c r="N427" s="101"/>
      <c r="O427" s="91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</row>
    <row r="428">
      <c r="A428" s="91"/>
      <c r="B428" s="91"/>
      <c r="C428" s="91"/>
      <c r="D428" s="91"/>
      <c r="E428" s="91"/>
      <c r="F428" s="91"/>
      <c r="G428" s="91"/>
      <c r="H428" s="98"/>
      <c r="I428" s="91"/>
      <c r="J428" s="97"/>
      <c r="K428" s="97"/>
      <c r="L428" s="99"/>
      <c r="M428" s="100"/>
      <c r="N428" s="101"/>
      <c r="O428" s="91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</row>
    <row r="429">
      <c r="A429" s="91"/>
      <c r="B429" s="91"/>
      <c r="C429" s="91"/>
      <c r="D429" s="91"/>
      <c r="E429" s="91"/>
      <c r="F429" s="91"/>
      <c r="G429" s="91"/>
      <c r="H429" s="98"/>
      <c r="I429" s="91"/>
      <c r="J429" s="97"/>
      <c r="K429" s="97"/>
      <c r="L429" s="99"/>
      <c r="M429" s="100"/>
      <c r="N429" s="101"/>
      <c r="O429" s="91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</row>
    <row r="430">
      <c r="A430" s="91"/>
      <c r="B430" s="91"/>
      <c r="C430" s="91"/>
      <c r="D430" s="91"/>
      <c r="E430" s="91"/>
      <c r="F430" s="91"/>
      <c r="G430" s="91"/>
      <c r="H430" s="98"/>
      <c r="I430" s="91"/>
      <c r="J430" s="97"/>
      <c r="K430" s="97"/>
      <c r="L430" s="99"/>
      <c r="M430" s="100"/>
      <c r="N430" s="101"/>
      <c r="O430" s="91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</row>
    <row r="431">
      <c r="A431" s="91"/>
      <c r="B431" s="91"/>
      <c r="C431" s="91"/>
      <c r="D431" s="91"/>
      <c r="E431" s="91"/>
      <c r="F431" s="91"/>
      <c r="G431" s="91"/>
      <c r="H431" s="98"/>
      <c r="I431" s="91"/>
      <c r="J431" s="97"/>
      <c r="K431" s="97"/>
      <c r="L431" s="99"/>
      <c r="M431" s="100"/>
      <c r="N431" s="101"/>
      <c r="O431" s="91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</row>
    <row r="432">
      <c r="A432" s="91"/>
      <c r="B432" s="91"/>
      <c r="C432" s="91"/>
      <c r="D432" s="91"/>
      <c r="E432" s="91"/>
      <c r="F432" s="91"/>
      <c r="G432" s="91"/>
      <c r="H432" s="98"/>
      <c r="I432" s="91"/>
      <c r="J432" s="97"/>
      <c r="K432" s="97"/>
      <c r="L432" s="99"/>
      <c r="M432" s="100"/>
      <c r="N432" s="101"/>
      <c r="O432" s="91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</row>
    <row r="433">
      <c r="A433" s="91"/>
      <c r="B433" s="91"/>
      <c r="C433" s="91"/>
      <c r="D433" s="91"/>
      <c r="E433" s="91"/>
      <c r="F433" s="91"/>
      <c r="G433" s="91"/>
      <c r="H433" s="98"/>
      <c r="I433" s="91"/>
      <c r="J433" s="97"/>
      <c r="K433" s="97"/>
      <c r="L433" s="99"/>
      <c r="M433" s="100"/>
      <c r="N433" s="101"/>
      <c r="O433" s="91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</row>
    <row r="434">
      <c r="A434" s="91"/>
      <c r="B434" s="91"/>
      <c r="C434" s="91"/>
      <c r="D434" s="91"/>
      <c r="E434" s="91"/>
      <c r="F434" s="91"/>
      <c r="G434" s="91"/>
      <c r="H434" s="98"/>
      <c r="I434" s="91"/>
      <c r="J434" s="97"/>
      <c r="K434" s="97"/>
      <c r="L434" s="99"/>
      <c r="M434" s="100"/>
      <c r="N434" s="101"/>
      <c r="O434" s="91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</row>
    <row r="435">
      <c r="A435" s="91"/>
      <c r="B435" s="91"/>
      <c r="C435" s="91"/>
      <c r="D435" s="91"/>
      <c r="E435" s="91"/>
      <c r="F435" s="91"/>
      <c r="G435" s="91"/>
      <c r="H435" s="98"/>
      <c r="I435" s="91"/>
      <c r="J435" s="97"/>
      <c r="K435" s="97"/>
      <c r="L435" s="99"/>
      <c r="M435" s="100"/>
      <c r="N435" s="101"/>
      <c r="O435" s="91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</row>
    <row r="436">
      <c r="A436" s="91"/>
      <c r="B436" s="91"/>
      <c r="C436" s="91"/>
      <c r="D436" s="91"/>
      <c r="E436" s="91"/>
      <c r="F436" s="91"/>
      <c r="G436" s="91"/>
      <c r="H436" s="98"/>
      <c r="I436" s="91"/>
      <c r="J436" s="97"/>
      <c r="K436" s="97"/>
      <c r="L436" s="99"/>
      <c r="M436" s="100"/>
      <c r="N436" s="101"/>
      <c r="O436" s="91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</row>
    <row r="437">
      <c r="A437" s="91"/>
      <c r="B437" s="91"/>
      <c r="C437" s="91"/>
      <c r="D437" s="91"/>
      <c r="E437" s="91"/>
      <c r="F437" s="91"/>
      <c r="G437" s="91"/>
      <c r="H437" s="98"/>
      <c r="I437" s="91"/>
      <c r="J437" s="97"/>
      <c r="K437" s="97"/>
      <c r="L437" s="99"/>
      <c r="M437" s="100"/>
      <c r="N437" s="101"/>
      <c r="O437" s="91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</row>
    <row r="438">
      <c r="A438" s="91"/>
      <c r="B438" s="91"/>
      <c r="C438" s="91"/>
      <c r="D438" s="91"/>
      <c r="E438" s="91"/>
      <c r="F438" s="91"/>
      <c r="G438" s="91"/>
      <c r="H438" s="98"/>
      <c r="I438" s="91"/>
      <c r="J438" s="97"/>
      <c r="K438" s="97"/>
      <c r="L438" s="99"/>
      <c r="M438" s="100"/>
      <c r="N438" s="101"/>
      <c r="O438" s="91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</row>
    <row r="439">
      <c r="A439" s="91"/>
      <c r="B439" s="91"/>
      <c r="C439" s="91"/>
      <c r="D439" s="91"/>
      <c r="E439" s="91"/>
      <c r="F439" s="91"/>
      <c r="G439" s="91"/>
      <c r="H439" s="98"/>
      <c r="I439" s="91"/>
      <c r="J439" s="97"/>
      <c r="K439" s="97"/>
      <c r="L439" s="99"/>
      <c r="M439" s="100"/>
      <c r="N439" s="101"/>
      <c r="O439" s="91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</row>
    <row r="440">
      <c r="A440" s="91"/>
      <c r="B440" s="91"/>
      <c r="C440" s="91"/>
      <c r="D440" s="91"/>
      <c r="E440" s="91"/>
      <c r="F440" s="91"/>
      <c r="G440" s="91"/>
      <c r="H440" s="98"/>
      <c r="I440" s="91"/>
      <c r="J440" s="97"/>
      <c r="K440" s="97"/>
      <c r="L440" s="99"/>
      <c r="M440" s="100"/>
      <c r="N440" s="101"/>
      <c r="O440" s="91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</row>
    <row r="441">
      <c r="A441" s="91"/>
      <c r="B441" s="91"/>
      <c r="C441" s="91"/>
      <c r="D441" s="91"/>
      <c r="E441" s="91"/>
      <c r="F441" s="91"/>
      <c r="G441" s="91"/>
      <c r="H441" s="98"/>
      <c r="I441" s="91"/>
      <c r="J441" s="97"/>
      <c r="K441" s="97"/>
      <c r="L441" s="99"/>
      <c r="M441" s="100"/>
      <c r="N441" s="101"/>
      <c r="O441" s="91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</row>
    <row r="442">
      <c r="A442" s="91"/>
      <c r="B442" s="91"/>
      <c r="C442" s="91"/>
      <c r="D442" s="91"/>
      <c r="E442" s="91"/>
      <c r="F442" s="91"/>
      <c r="G442" s="91"/>
      <c r="H442" s="98"/>
      <c r="I442" s="91"/>
      <c r="J442" s="97"/>
      <c r="K442" s="97"/>
      <c r="L442" s="99"/>
      <c r="M442" s="100"/>
      <c r="N442" s="101"/>
      <c r="O442" s="91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</row>
    <row r="443">
      <c r="A443" s="91"/>
      <c r="B443" s="91"/>
      <c r="C443" s="91"/>
      <c r="D443" s="91"/>
      <c r="E443" s="91"/>
      <c r="F443" s="91"/>
      <c r="G443" s="91"/>
      <c r="H443" s="98"/>
      <c r="I443" s="91"/>
      <c r="J443" s="97"/>
      <c r="K443" s="97"/>
      <c r="L443" s="99"/>
      <c r="M443" s="100"/>
      <c r="N443" s="101"/>
      <c r="O443" s="91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</row>
    <row r="444">
      <c r="A444" s="91"/>
      <c r="B444" s="91"/>
      <c r="C444" s="91"/>
      <c r="D444" s="91"/>
      <c r="E444" s="91"/>
      <c r="F444" s="91"/>
      <c r="G444" s="91"/>
      <c r="H444" s="98"/>
      <c r="I444" s="91"/>
      <c r="J444" s="97"/>
      <c r="K444" s="97"/>
      <c r="L444" s="99"/>
      <c r="M444" s="100"/>
      <c r="N444" s="101"/>
      <c r="O444" s="91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</row>
    <row r="445">
      <c r="A445" s="91"/>
      <c r="B445" s="91"/>
      <c r="C445" s="91"/>
      <c r="D445" s="91"/>
      <c r="E445" s="91"/>
      <c r="F445" s="91"/>
      <c r="G445" s="91"/>
      <c r="H445" s="98"/>
      <c r="I445" s="91"/>
      <c r="J445" s="97"/>
      <c r="K445" s="97"/>
      <c r="L445" s="99"/>
      <c r="M445" s="100"/>
      <c r="N445" s="101"/>
      <c r="O445" s="91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</row>
    <row r="446">
      <c r="A446" s="91"/>
      <c r="B446" s="91"/>
      <c r="C446" s="91"/>
      <c r="D446" s="91"/>
      <c r="E446" s="91"/>
      <c r="F446" s="91"/>
      <c r="G446" s="91"/>
      <c r="H446" s="98"/>
      <c r="I446" s="91"/>
      <c r="J446" s="97"/>
      <c r="K446" s="97"/>
      <c r="L446" s="99"/>
      <c r="M446" s="100"/>
      <c r="N446" s="101"/>
      <c r="O446" s="91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</row>
    <row r="447">
      <c r="A447" s="91"/>
      <c r="B447" s="91"/>
      <c r="C447" s="91"/>
      <c r="D447" s="91"/>
      <c r="E447" s="91"/>
      <c r="F447" s="91"/>
      <c r="G447" s="91"/>
      <c r="H447" s="98"/>
      <c r="I447" s="91"/>
      <c r="J447" s="97"/>
      <c r="K447" s="97"/>
      <c r="L447" s="99"/>
      <c r="M447" s="100"/>
      <c r="N447" s="101"/>
      <c r="O447" s="91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</row>
    <row r="448">
      <c r="A448" s="91"/>
      <c r="B448" s="91"/>
      <c r="C448" s="91"/>
      <c r="D448" s="91"/>
      <c r="E448" s="91"/>
      <c r="F448" s="91"/>
      <c r="G448" s="91"/>
      <c r="H448" s="98"/>
      <c r="I448" s="91"/>
      <c r="J448" s="97"/>
      <c r="K448" s="97"/>
      <c r="L448" s="99"/>
      <c r="M448" s="100"/>
      <c r="N448" s="101"/>
      <c r="O448" s="91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</row>
    <row r="449">
      <c r="A449" s="91"/>
      <c r="B449" s="91"/>
      <c r="C449" s="91"/>
      <c r="D449" s="91"/>
      <c r="E449" s="91"/>
      <c r="F449" s="91"/>
      <c r="G449" s="91"/>
      <c r="H449" s="98"/>
      <c r="I449" s="91"/>
      <c r="J449" s="97"/>
      <c r="K449" s="97"/>
      <c r="L449" s="99"/>
      <c r="M449" s="100"/>
      <c r="N449" s="101"/>
      <c r="O449" s="91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</row>
    <row r="450">
      <c r="A450" s="91"/>
      <c r="B450" s="91"/>
      <c r="C450" s="91"/>
      <c r="D450" s="91"/>
      <c r="E450" s="91"/>
      <c r="F450" s="91"/>
      <c r="G450" s="91"/>
      <c r="H450" s="98"/>
      <c r="I450" s="91"/>
      <c r="J450" s="97"/>
      <c r="K450" s="97"/>
      <c r="L450" s="99"/>
      <c r="M450" s="100"/>
      <c r="N450" s="101"/>
      <c r="O450" s="91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</row>
    <row r="451">
      <c r="A451" s="91"/>
      <c r="B451" s="91"/>
      <c r="C451" s="91"/>
      <c r="D451" s="91"/>
      <c r="E451" s="91"/>
      <c r="F451" s="91"/>
      <c r="G451" s="91"/>
      <c r="H451" s="98"/>
      <c r="I451" s="91"/>
      <c r="J451" s="97"/>
      <c r="K451" s="97"/>
      <c r="L451" s="99"/>
      <c r="M451" s="100"/>
      <c r="N451" s="101"/>
      <c r="O451" s="91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</row>
    <row r="452">
      <c r="A452" s="91"/>
      <c r="B452" s="91"/>
      <c r="C452" s="91"/>
      <c r="D452" s="91"/>
      <c r="E452" s="91"/>
      <c r="F452" s="91"/>
      <c r="G452" s="91"/>
      <c r="H452" s="98"/>
      <c r="I452" s="91"/>
      <c r="J452" s="97"/>
      <c r="K452" s="97"/>
      <c r="L452" s="99"/>
      <c r="M452" s="100"/>
      <c r="N452" s="101"/>
      <c r="O452" s="91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</row>
    <row r="453">
      <c r="A453" s="91"/>
      <c r="B453" s="91"/>
      <c r="C453" s="91"/>
      <c r="D453" s="91"/>
      <c r="E453" s="91"/>
      <c r="F453" s="91"/>
      <c r="G453" s="91"/>
      <c r="H453" s="98"/>
      <c r="I453" s="91"/>
      <c r="J453" s="97"/>
      <c r="K453" s="97"/>
      <c r="L453" s="99"/>
      <c r="M453" s="100"/>
      <c r="N453" s="101"/>
      <c r="O453" s="91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</row>
    <row r="454">
      <c r="A454" s="91"/>
      <c r="B454" s="91"/>
      <c r="C454" s="91"/>
      <c r="D454" s="91"/>
      <c r="E454" s="91"/>
      <c r="F454" s="91"/>
      <c r="G454" s="91"/>
      <c r="H454" s="98"/>
      <c r="I454" s="91"/>
      <c r="J454" s="97"/>
      <c r="K454" s="97"/>
      <c r="L454" s="99"/>
      <c r="M454" s="100"/>
      <c r="N454" s="101"/>
      <c r="O454" s="91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</row>
    <row r="455">
      <c r="A455" s="91"/>
      <c r="B455" s="91"/>
      <c r="C455" s="91"/>
      <c r="D455" s="91"/>
      <c r="E455" s="91"/>
      <c r="F455" s="91"/>
      <c r="G455" s="91"/>
      <c r="H455" s="98"/>
      <c r="I455" s="91"/>
      <c r="J455" s="97"/>
      <c r="K455" s="97"/>
      <c r="L455" s="99"/>
      <c r="M455" s="100"/>
      <c r="N455" s="101"/>
      <c r="O455" s="91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</row>
    <row r="456">
      <c r="A456" s="91"/>
      <c r="B456" s="91"/>
      <c r="C456" s="91"/>
      <c r="D456" s="91"/>
      <c r="E456" s="91"/>
      <c r="F456" s="91"/>
      <c r="G456" s="91"/>
      <c r="H456" s="98"/>
      <c r="I456" s="91"/>
      <c r="J456" s="97"/>
      <c r="K456" s="97"/>
      <c r="L456" s="99"/>
      <c r="M456" s="100"/>
      <c r="N456" s="101"/>
      <c r="O456" s="91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</row>
    <row r="457">
      <c r="A457" s="91"/>
      <c r="B457" s="91"/>
      <c r="C457" s="91"/>
      <c r="D457" s="91"/>
      <c r="E457" s="91"/>
      <c r="F457" s="91"/>
      <c r="G457" s="91"/>
      <c r="H457" s="98"/>
      <c r="I457" s="91"/>
      <c r="J457" s="97"/>
      <c r="K457" s="97"/>
      <c r="L457" s="99"/>
      <c r="M457" s="100"/>
      <c r="N457" s="101"/>
      <c r="O457" s="91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</row>
    <row r="458">
      <c r="A458" s="91"/>
      <c r="B458" s="91"/>
      <c r="C458" s="91"/>
      <c r="D458" s="91"/>
      <c r="E458" s="91"/>
      <c r="F458" s="91"/>
      <c r="G458" s="91"/>
      <c r="H458" s="98"/>
      <c r="I458" s="91"/>
      <c r="J458" s="97"/>
      <c r="K458" s="97"/>
      <c r="L458" s="99"/>
      <c r="M458" s="100"/>
      <c r="N458" s="101"/>
      <c r="O458" s="91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</row>
    <row r="459">
      <c r="A459" s="91"/>
      <c r="B459" s="91"/>
      <c r="C459" s="91"/>
      <c r="D459" s="91"/>
      <c r="E459" s="91"/>
      <c r="F459" s="91"/>
      <c r="G459" s="91"/>
      <c r="H459" s="98"/>
      <c r="I459" s="91"/>
      <c r="J459" s="97"/>
      <c r="K459" s="97"/>
      <c r="L459" s="99"/>
      <c r="M459" s="100"/>
      <c r="N459" s="101"/>
      <c r="O459" s="91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</row>
    <row r="460">
      <c r="A460" s="91"/>
      <c r="B460" s="91"/>
      <c r="C460" s="91"/>
      <c r="D460" s="91"/>
      <c r="E460" s="91"/>
      <c r="F460" s="91"/>
      <c r="G460" s="91"/>
      <c r="H460" s="98"/>
      <c r="I460" s="91"/>
      <c r="J460" s="97"/>
      <c r="K460" s="97"/>
      <c r="L460" s="99"/>
      <c r="M460" s="100"/>
      <c r="N460" s="101"/>
      <c r="O460" s="91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</row>
    <row r="461">
      <c r="A461" s="91"/>
      <c r="B461" s="91"/>
      <c r="C461" s="91"/>
      <c r="D461" s="91"/>
      <c r="E461" s="91"/>
      <c r="F461" s="91"/>
      <c r="G461" s="91"/>
      <c r="H461" s="98"/>
      <c r="I461" s="91"/>
      <c r="J461" s="97"/>
      <c r="K461" s="97"/>
      <c r="L461" s="99"/>
      <c r="M461" s="100"/>
      <c r="N461" s="101"/>
      <c r="O461" s="91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</row>
    <row r="462">
      <c r="A462" s="91"/>
      <c r="B462" s="91"/>
      <c r="C462" s="91"/>
      <c r="D462" s="91"/>
      <c r="E462" s="91"/>
      <c r="F462" s="91"/>
      <c r="G462" s="91"/>
      <c r="H462" s="98"/>
      <c r="I462" s="91"/>
      <c r="J462" s="97"/>
      <c r="K462" s="97"/>
      <c r="L462" s="99"/>
      <c r="M462" s="100"/>
      <c r="N462" s="101"/>
      <c r="O462" s="91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</row>
    <row r="463">
      <c r="A463" s="91"/>
      <c r="B463" s="91"/>
      <c r="C463" s="91"/>
      <c r="D463" s="91"/>
      <c r="E463" s="91"/>
      <c r="F463" s="91"/>
      <c r="G463" s="91"/>
      <c r="H463" s="98"/>
      <c r="I463" s="91"/>
      <c r="J463" s="97"/>
      <c r="K463" s="97"/>
      <c r="L463" s="99"/>
      <c r="M463" s="100"/>
      <c r="N463" s="101"/>
      <c r="O463" s="91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</row>
    <row r="464">
      <c r="A464" s="91"/>
      <c r="B464" s="91"/>
      <c r="C464" s="91"/>
      <c r="D464" s="91"/>
      <c r="E464" s="91"/>
      <c r="F464" s="91"/>
      <c r="G464" s="91"/>
      <c r="H464" s="98"/>
      <c r="I464" s="91"/>
      <c r="J464" s="97"/>
      <c r="K464" s="97"/>
      <c r="L464" s="99"/>
      <c r="M464" s="100"/>
      <c r="N464" s="101"/>
      <c r="O464" s="91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</row>
    <row r="465">
      <c r="A465" s="91"/>
      <c r="B465" s="91"/>
      <c r="C465" s="91"/>
      <c r="D465" s="91"/>
      <c r="E465" s="91"/>
      <c r="F465" s="91"/>
      <c r="G465" s="91"/>
      <c r="H465" s="98"/>
      <c r="I465" s="91"/>
      <c r="J465" s="97"/>
      <c r="K465" s="97"/>
      <c r="L465" s="99"/>
      <c r="M465" s="100"/>
      <c r="N465" s="101"/>
      <c r="O465" s="91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</row>
    <row r="466">
      <c r="A466" s="91"/>
      <c r="B466" s="91"/>
      <c r="C466" s="91"/>
      <c r="D466" s="91"/>
      <c r="E466" s="91"/>
      <c r="F466" s="91"/>
      <c r="G466" s="91"/>
      <c r="H466" s="98"/>
      <c r="I466" s="91"/>
      <c r="J466" s="97"/>
      <c r="K466" s="97"/>
      <c r="L466" s="99"/>
      <c r="M466" s="100"/>
      <c r="N466" s="101"/>
      <c r="O466" s="91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</row>
    <row r="467">
      <c r="A467" s="91"/>
      <c r="B467" s="91"/>
      <c r="C467" s="91"/>
      <c r="D467" s="91"/>
      <c r="E467" s="91"/>
      <c r="F467" s="91"/>
      <c r="G467" s="91"/>
      <c r="H467" s="98"/>
      <c r="I467" s="91"/>
      <c r="J467" s="97"/>
      <c r="K467" s="97"/>
      <c r="L467" s="99"/>
      <c r="M467" s="100"/>
      <c r="N467" s="101"/>
      <c r="O467" s="91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</row>
    <row r="468">
      <c r="A468" s="91"/>
      <c r="B468" s="91"/>
      <c r="C468" s="91"/>
      <c r="D468" s="91"/>
      <c r="E468" s="91"/>
      <c r="F468" s="91"/>
      <c r="G468" s="91"/>
      <c r="H468" s="98"/>
      <c r="I468" s="91"/>
      <c r="J468" s="97"/>
      <c r="K468" s="97"/>
      <c r="L468" s="99"/>
      <c r="M468" s="100"/>
      <c r="N468" s="101"/>
      <c r="O468" s="91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</row>
    <row r="469">
      <c r="A469" s="91"/>
      <c r="B469" s="91"/>
      <c r="C469" s="91"/>
      <c r="D469" s="91"/>
      <c r="E469" s="91"/>
      <c r="F469" s="91"/>
      <c r="G469" s="91"/>
      <c r="H469" s="98"/>
      <c r="I469" s="91"/>
      <c r="J469" s="97"/>
      <c r="K469" s="97"/>
      <c r="L469" s="99"/>
      <c r="M469" s="100"/>
      <c r="N469" s="101"/>
      <c r="O469" s="91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</row>
    <row r="470">
      <c r="A470" s="91"/>
      <c r="B470" s="91"/>
      <c r="C470" s="91"/>
      <c r="D470" s="91"/>
      <c r="E470" s="91"/>
      <c r="F470" s="91"/>
      <c r="G470" s="91"/>
      <c r="H470" s="98"/>
      <c r="I470" s="91"/>
      <c r="J470" s="97"/>
      <c r="K470" s="97"/>
      <c r="L470" s="99"/>
      <c r="M470" s="100"/>
      <c r="N470" s="101"/>
      <c r="O470" s="91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</row>
    <row r="471">
      <c r="A471" s="91"/>
      <c r="B471" s="91"/>
      <c r="C471" s="91"/>
      <c r="D471" s="91"/>
      <c r="E471" s="91"/>
      <c r="F471" s="91"/>
      <c r="G471" s="91"/>
      <c r="H471" s="98"/>
      <c r="I471" s="91"/>
      <c r="J471" s="97"/>
      <c r="K471" s="97"/>
      <c r="L471" s="99"/>
      <c r="M471" s="100"/>
      <c r="N471" s="101"/>
      <c r="O471" s="91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</row>
    <row r="472">
      <c r="A472" s="91"/>
      <c r="B472" s="91"/>
      <c r="C472" s="91"/>
      <c r="D472" s="91"/>
      <c r="E472" s="91"/>
      <c r="F472" s="91"/>
      <c r="G472" s="91"/>
      <c r="H472" s="98"/>
      <c r="I472" s="91"/>
      <c r="J472" s="97"/>
      <c r="K472" s="97"/>
      <c r="L472" s="99"/>
      <c r="M472" s="100"/>
      <c r="N472" s="101"/>
      <c r="O472" s="91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</row>
    <row r="473">
      <c r="A473" s="91"/>
      <c r="B473" s="91"/>
      <c r="C473" s="91"/>
      <c r="D473" s="91"/>
      <c r="E473" s="91"/>
      <c r="F473" s="91"/>
      <c r="G473" s="91"/>
      <c r="H473" s="98"/>
      <c r="I473" s="91"/>
      <c r="J473" s="97"/>
      <c r="K473" s="97"/>
      <c r="L473" s="99"/>
      <c r="M473" s="100"/>
      <c r="N473" s="101"/>
      <c r="O473" s="91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</row>
    <row r="474">
      <c r="A474" s="91"/>
      <c r="B474" s="91"/>
      <c r="C474" s="91"/>
      <c r="D474" s="91"/>
      <c r="E474" s="91"/>
      <c r="F474" s="91"/>
      <c r="G474" s="91"/>
      <c r="H474" s="98"/>
      <c r="I474" s="91"/>
      <c r="J474" s="97"/>
      <c r="K474" s="97"/>
      <c r="L474" s="99"/>
      <c r="M474" s="100"/>
      <c r="N474" s="101"/>
      <c r="O474" s="91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</row>
    <row r="475">
      <c r="A475" s="91"/>
      <c r="B475" s="91"/>
      <c r="C475" s="91"/>
      <c r="D475" s="91"/>
      <c r="E475" s="91"/>
      <c r="F475" s="91"/>
      <c r="G475" s="91"/>
      <c r="H475" s="98"/>
      <c r="I475" s="91"/>
      <c r="J475" s="97"/>
      <c r="K475" s="97"/>
      <c r="L475" s="99"/>
      <c r="M475" s="100"/>
      <c r="N475" s="101"/>
      <c r="O475" s="91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</row>
    <row r="476">
      <c r="A476" s="91"/>
      <c r="B476" s="91"/>
      <c r="C476" s="91"/>
      <c r="D476" s="91"/>
      <c r="E476" s="91"/>
      <c r="F476" s="91"/>
      <c r="G476" s="91"/>
      <c r="H476" s="98"/>
      <c r="I476" s="91"/>
      <c r="J476" s="97"/>
      <c r="K476" s="97"/>
      <c r="L476" s="99"/>
      <c r="M476" s="100"/>
      <c r="N476" s="101"/>
      <c r="O476" s="91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</row>
    <row r="477">
      <c r="A477" s="91"/>
      <c r="B477" s="91"/>
      <c r="C477" s="91"/>
      <c r="D477" s="91"/>
      <c r="E477" s="91"/>
      <c r="F477" s="91"/>
      <c r="G477" s="91"/>
      <c r="H477" s="98"/>
      <c r="I477" s="91"/>
      <c r="J477" s="97"/>
      <c r="K477" s="97"/>
      <c r="L477" s="99"/>
      <c r="M477" s="100"/>
      <c r="N477" s="101"/>
      <c r="O477" s="91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</row>
    <row r="478">
      <c r="A478" s="91"/>
      <c r="B478" s="91"/>
      <c r="C478" s="91"/>
      <c r="D478" s="91"/>
      <c r="E478" s="91"/>
      <c r="F478" s="91"/>
      <c r="G478" s="91"/>
      <c r="H478" s="98"/>
      <c r="I478" s="91"/>
      <c r="J478" s="97"/>
      <c r="K478" s="97"/>
      <c r="L478" s="99"/>
      <c r="M478" s="100"/>
      <c r="N478" s="101"/>
      <c r="O478" s="91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</row>
    <row r="479">
      <c r="A479" s="91"/>
      <c r="B479" s="91"/>
      <c r="C479" s="91"/>
      <c r="D479" s="91"/>
      <c r="E479" s="91"/>
      <c r="F479" s="91"/>
      <c r="G479" s="91"/>
      <c r="H479" s="98"/>
      <c r="I479" s="91"/>
      <c r="J479" s="97"/>
      <c r="K479" s="97"/>
      <c r="L479" s="99"/>
      <c r="M479" s="100"/>
      <c r="N479" s="101"/>
      <c r="O479" s="91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</row>
    <row r="480">
      <c r="A480" s="91"/>
      <c r="B480" s="91"/>
      <c r="C480" s="91"/>
      <c r="D480" s="91"/>
      <c r="E480" s="91"/>
      <c r="F480" s="91"/>
      <c r="G480" s="91"/>
      <c r="H480" s="98"/>
      <c r="I480" s="91"/>
      <c r="J480" s="97"/>
      <c r="K480" s="97"/>
      <c r="L480" s="99"/>
      <c r="M480" s="100"/>
      <c r="N480" s="101"/>
      <c r="O480" s="91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</row>
    <row r="481">
      <c r="A481" s="91"/>
      <c r="B481" s="91"/>
      <c r="C481" s="91"/>
      <c r="D481" s="91"/>
      <c r="E481" s="91"/>
      <c r="F481" s="91"/>
      <c r="G481" s="91"/>
      <c r="H481" s="98"/>
      <c r="I481" s="91"/>
      <c r="J481" s="97"/>
      <c r="K481" s="97"/>
      <c r="L481" s="99"/>
      <c r="M481" s="100"/>
      <c r="N481" s="101"/>
      <c r="O481" s="91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</row>
    <row r="482">
      <c r="A482" s="91"/>
      <c r="B482" s="91"/>
      <c r="C482" s="91"/>
      <c r="D482" s="91"/>
      <c r="E482" s="91"/>
      <c r="F482" s="91"/>
      <c r="G482" s="91"/>
      <c r="H482" s="98"/>
      <c r="I482" s="91"/>
      <c r="J482" s="97"/>
      <c r="K482" s="97"/>
      <c r="L482" s="99"/>
      <c r="M482" s="100"/>
      <c r="N482" s="101"/>
      <c r="O482" s="91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</row>
    <row r="483">
      <c r="A483" s="91"/>
      <c r="B483" s="91"/>
      <c r="C483" s="91"/>
      <c r="D483" s="91"/>
      <c r="E483" s="91"/>
      <c r="F483" s="91"/>
      <c r="G483" s="91"/>
      <c r="H483" s="98"/>
      <c r="I483" s="91"/>
      <c r="J483" s="97"/>
      <c r="K483" s="97"/>
      <c r="L483" s="99"/>
      <c r="M483" s="100"/>
      <c r="N483" s="101"/>
      <c r="O483" s="91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</row>
    <row r="484">
      <c r="A484" s="91"/>
      <c r="B484" s="91"/>
      <c r="C484" s="91"/>
      <c r="D484" s="91"/>
      <c r="E484" s="91"/>
      <c r="F484" s="91"/>
      <c r="G484" s="91"/>
      <c r="H484" s="98"/>
      <c r="I484" s="91"/>
      <c r="J484" s="97"/>
      <c r="K484" s="97"/>
      <c r="L484" s="99"/>
      <c r="M484" s="100"/>
      <c r="N484" s="101"/>
      <c r="O484" s="91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</row>
    <row r="485">
      <c r="A485" s="91"/>
      <c r="B485" s="91"/>
      <c r="C485" s="91"/>
      <c r="D485" s="91"/>
      <c r="E485" s="91"/>
      <c r="F485" s="91"/>
      <c r="G485" s="91"/>
      <c r="H485" s="98"/>
      <c r="I485" s="91"/>
      <c r="J485" s="97"/>
      <c r="K485" s="97"/>
      <c r="L485" s="99"/>
      <c r="M485" s="100"/>
      <c r="N485" s="101"/>
      <c r="O485" s="91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</row>
    <row r="486">
      <c r="A486" s="91"/>
      <c r="B486" s="91"/>
      <c r="C486" s="91"/>
      <c r="D486" s="91"/>
      <c r="E486" s="91"/>
      <c r="F486" s="91"/>
      <c r="G486" s="91"/>
      <c r="H486" s="98"/>
      <c r="I486" s="91"/>
      <c r="J486" s="97"/>
      <c r="K486" s="97"/>
      <c r="L486" s="99"/>
      <c r="M486" s="100"/>
      <c r="N486" s="101"/>
      <c r="O486" s="91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</row>
    <row r="487">
      <c r="A487" s="91"/>
      <c r="B487" s="91"/>
      <c r="C487" s="91"/>
      <c r="D487" s="91"/>
      <c r="E487" s="91"/>
      <c r="F487" s="91"/>
      <c r="G487" s="91"/>
      <c r="H487" s="98"/>
      <c r="I487" s="91"/>
      <c r="J487" s="97"/>
      <c r="K487" s="97"/>
      <c r="L487" s="99"/>
      <c r="M487" s="100"/>
      <c r="N487" s="101"/>
      <c r="O487" s="91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</row>
    <row r="488">
      <c r="A488" s="91"/>
      <c r="B488" s="91"/>
      <c r="C488" s="91"/>
      <c r="D488" s="91"/>
      <c r="E488" s="91"/>
      <c r="F488" s="91"/>
      <c r="G488" s="91"/>
      <c r="H488" s="98"/>
      <c r="I488" s="91"/>
      <c r="J488" s="97"/>
      <c r="K488" s="97"/>
      <c r="L488" s="99"/>
      <c r="M488" s="100"/>
      <c r="N488" s="101"/>
      <c r="O488" s="91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</row>
    <row r="489">
      <c r="A489" s="91"/>
      <c r="B489" s="91"/>
      <c r="C489" s="91"/>
      <c r="D489" s="91"/>
      <c r="E489" s="91"/>
      <c r="F489" s="91"/>
      <c r="G489" s="91"/>
      <c r="H489" s="98"/>
      <c r="I489" s="91"/>
      <c r="J489" s="97"/>
      <c r="K489" s="97"/>
      <c r="L489" s="99"/>
      <c r="M489" s="100"/>
      <c r="N489" s="101"/>
      <c r="O489" s="91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</row>
    <row r="490">
      <c r="A490" s="91"/>
      <c r="B490" s="91"/>
      <c r="C490" s="91"/>
      <c r="D490" s="91"/>
      <c r="E490" s="91"/>
      <c r="F490" s="91"/>
      <c r="G490" s="91"/>
      <c r="H490" s="98"/>
      <c r="I490" s="91"/>
      <c r="J490" s="97"/>
      <c r="K490" s="97"/>
      <c r="L490" s="99"/>
      <c r="M490" s="100"/>
      <c r="N490" s="101"/>
      <c r="O490" s="91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</row>
    <row r="491">
      <c r="A491" s="91"/>
      <c r="B491" s="91"/>
      <c r="C491" s="91"/>
      <c r="D491" s="91"/>
      <c r="E491" s="91"/>
      <c r="F491" s="91"/>
      <c r="G491" s="91"/>
      <c r="H491" s="98"/>
      <c r="I491" s="91"/>
      <c r="J491" s="97"/>
      <c r="K491" s="97"/>
      <c r="L491" s="99"/>
      <c r="M491" s="100"/>
      <c r="N491" s="101"/>
      <c r="O491" s="91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</row>
    <row r="492">
      <c r="A492" s="91"/>
      <c r="B492" s="91"/>
      <c r="C492" s="91"/>
      <c r="D492" s="91"/>
      <c r="E492" s="91"/>
      <c r="F492" s="91"/>
      <c r="G492" s="91"/>
      <c r="H492" s="98"/>
      <c r="I492" s="91"/>
      <c r="J492" s="97"/>
      <c r="K492" s="97"/>
      <c r="L492" s="99"/>
      <c r="M492" s="100"/>
      <c r="N492" s="101"/>
      <c r="O492" s="91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</row>
    <row r="493">
      <c r="A493" s="91"/>
      <c r="B493" s="91"/>
      <c r="C493" s="91"/>
      <c r="D493" s="91"/>
      <c r="E493" s="91"/>
      <c r="F493" s="91"/>
      <c r="G493" s="91"/>
      <c r="H493" s="98"/>
      <c r="I493" s="91"/>
      <c r="J493" s="97"/>
      <c r="K493" s="97"/>
      <c r="L493" s="99"/>
      <c r="M493" s="100"/>
      <c r="N493" s="101"/>
      <c r="O493" s="91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</row>
    <row r="494">
      <c r="A494" s="91"/>
      <c r="B494" s="91"/>
      <c r="C494" s="91"/>
      <c r="D494" s="91"/>
      <c r="E494" s="91"/>
      <c r="F494" s="91"/>
      <c r="G494" s="91"/>
      <c r="H494" s="98"/>
      <c r="I494" s="91"/>
      <c r="J494" s="97"/>
      <c r="K494" s="97"/>
      <c r="L494" s="99"/>
      <c r="M494" s="100"/>
      <c r="N494" s="101"/>
      <c r="O494" s="91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</row>
    <row r="495">
      <c r="A495" s="91"/>
      <c r="B495" s="91"/>
      <c r="C495" s="91"/>
      <c r="D495" s="91"/>
      <c r="E495" s="91"/>
      <c r="F495" s="91"/>
      <c r="G495" s="91"/>
      <c r="H495" s="98"/>
      <c r="I495" s="91"/>
      <c r="J495" s="97"/>
      <c r="K495" s="97"/>
      <c r="L495" s="99"/>
      <c r="M495" s="100"/>
      <c r="N495" s="101"/>
      <c r="O495" s="91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</row>
    <row r="496">
      <c r="A496" s="91"/>
      <c r="B496" s="91"/>
      <c r="C496" s="91"/>
      <c r="D496" s="91"/>
      <c r="E496" s="91"/>
      <c r="F496" s="91"/>
      <c r="G496" s="91"/>
      <c r="H496" s="98"/>
      <c r="I496" s="91"/>
      <c r="J496" s="97"/>
      <c r="K496" s="97"/>
      <c r="L496" s="99"/>
      <c r="M496" s="100"/>
      <c r="N496" s="101"/>
      <c r="O496" s="91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</row>
    <row r="497">
      <c r="A497" s="91"/>
      <c r="B497" s="91"/>
      <c r="C497" s="91"/>
      <c r="D497" s="91"/>
      <c r="E497" s="91"/>
      <c r="F497" s="91"/>
      <c r="G497" s="91"/>
      <c r="H497" s="98"/>
      <c r="I497" s="91"/>
      <c r="J497" s="97"/>
      <c r="K497" s="97"/>
      <c r="L497" s="99"/>
      <c r="M497" s="100"/>
      <c r="N497" s="101"/>
      <c r="O497" s="91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</row>
    <row r="498">
      <c r="A498" s="91"/>
      <c r="B498" s="91"/>
      <c r="C498" s="91"/>
      <c r="D498" s="91"/>
      <c r="E498" s="91"/>
      <c r="F498" s="91"/>
      <c r="G498" s="91"/>
      <c r="H498" s="98"/>
      <c r="I498" s="91"/>
      <c r="J498" s="97"/>
      <c r="K498" s="97"/>
      <c r="L498" s="99"/>
      <c r="M498" s="100"/>
      <c r="N498" s="101"/>
      <c r="O498" s="91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</row>
    <row r="499">
      <c r="A499" s="91"/>
      <c r="B499" s="91"/>
      <c r="C499" s="91"/>
      <c r="D499" s="91"/>
      <c r="E499" s="91"/>
      <c r="F499" s="91"/>
      <c r="G499" s="91"/>
      <c r="H499" s="98"/>
      <c r="I499" s="91"/>
      <c r="J499" s="97"/>
      <c r="K499" s="97"/>
      <c r="L499" s="99"/>
      <c r="M499" s="100"/>
      <c r="N499" s="101"/>
      <c r="O499" s="91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</row>
    <row r="500">
      <c r="A500" s="91"/>
      <c r="B500" s="91"/>
      <c r="C500" s="91"/>
      <c r="D500" s="91"/>
      <c r="E500" s="91"/>
      <c r="F500" s="91"/>
      <c r="G500" s="91"/>
      <c r="H500" s="98"/>
      <c r="I500" s="91"/>
      <c r="J500" s="97"/>
      <c r="K500" s="97"/>
      <c r="L500" s="99"/>
      <c r="M500" s="100"/>
      <c r="N500" s="101"/>
      <c r="O500" s="91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</row>
    <row r="501">
      <c r="A501" s="91"/>
      <c r="B501" s="91"/>
      <c r="C501" s="91"/>
      <c r="D501" s="91"/>
      <c r="E501" s="91"/>
      <c r="F501" s="91"/>
      <c r="G501" s="91"/>
      <c r="H501" s="98"/>
      <c r="I501" s="91"/>
      <c r="J501" s="97"/>
      <c r="K501" s="97"/>
      <c r="L501" s="99"/>
      <c r="M501" s="100"/>
      <c r="N501" s="101"/>
      <c r="O501" s="91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</row>
    <row r="502">
      <c r="A502" s="91"/>
      <c r="B502" s="91"/>
      <c r="C502" s="91"/>
      <c r="D502" s="91"/>
      <c r="E502" s="91"/>
      <c r="F502" s="91"/>
      <c r="G502" s="91"/>
      <c r="H502" s="98"/>
      <c r="I502" s="91"/>
      <c r="J502" s="97"/>
      <c r="K502" s="97"/>
      <c r="L502" s="99"/>
      <c r="M502" s="100"/>
      <c r="N502" s="101"/>
      <c r="O502" s="91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</row>
    <row r="503">
      <c r="A503" s="91"/>
      <c r="B503" s="91"/>
      <c r="C503" s="91"/>
      <c r="D503" s="91"/>
      <c r="E503" s="91"/>
      <c r="F503" s="91"/>
      <c r="G503" s="91"/>
      <c r="H503" s="98"/>
      <c r="I503" s="91"/>
      <c r="J503" s="97"/>
      <c r="K503" s="97"/>
      <c r="L503" s="99"/>
      <c r="M503" s="100"/>
      <c r="N503" s="101"/>
      <c r="O503" s="91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</row>
    <row r="504">
      <c r="A504" s="91"/>
      <c r="B504" s="91"/>
      <c r="C504" s="91"/>
      <c r="D504" s="91"/>
      <c r="E504" s="91"/>
      <c r="F504" s="91"/>
      <c r="G504" s="91"/>
      <c r="H504" s="98"/>
      <c r="I504" s="91"/>
      <c r="J504" s="97"/>
      <c r="K504" s="97"/>
      <c r="L504" s="99"/>
      <c r="M504" s="100"/>
      <c r="N504" s="101"/>
      <c r="O504" s="91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</row>
    <row r="505">
      <c r="A505" s="91"/>
      <c r="B505" s="91"/>
      <c r="C505" s="91"/>
      <c r="D505" s="91"/>
      <c r="E505" s="91"/>
      <c r="F505" s="91"/>
      <c r="G505" s="91"/>
      <c r="H505" s="98"/>
      <c r="I505" s="91"/>
      <c r="J505" s="97"/>
      <c r="K505" s="97"/>
      <c r="L505" s="99"/>
      <c r="M505" s="100"/>
      <c r="N505" s="101"/>
      <c r="O505" s="91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</row>
    <row r="506">
      <c r="A506" s="91"/>
      <c r="B506" s="91"/>
      <c r="C506" s="91"/>
      <c r="D506" s="91"/>
      <c r="E506" s="91"/>
      <c r="F506" s="91"/>
      <c r="G506" s="91"/>
      <c r="H506" s="98"/>
      <c r="I506" s="91"/>
      <c r="J506" s="97"/>
      <c r="K506" s="97"/>
      <c r="L506" s="99"/>
      <c r="M506" s="100"/>
      <c r="N506" s="101"/>
      <c r="O506" s="91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</row>
    <row r="507">
      <c r="A507" s="91"/>
      <c r="B507" s="91"/>
      <c r="C507" s="91"/>
      <c r="D507" s="91"/>
      <c r="E507" s="91"/>
      <c r="F507" s="91"/>
      <c r="G507" s="91"/>
      <c r="H507" s="98"/>
      <c r="I507" s="91"/>
      <c r="J507" s="97"/>
      <c r="K507" s="97"/>
      <c r="L507" s="99"/>
      <c r="M507" s="100"/>
      <c r="N507" s="101"/>
      <c r="O507" s="91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</row>
    <row r="508">
      <c r="A508" s="91"/>
      <c r="B508" s="91"/>
      <c r="C508" s="91"/>
      <c r="D508" s="91"/>
      <c r="E508" s="91"/>
      <c r="F508" s="91"/>
      <c r="G508" s="91"/>
      <c r="H508" s="98"/>
      <c r="I508" s="91"/>
      <c r="J508" s="97"/>
      <c r="K508" s="97"/>
      <c r="L508" s="99"/>
      <c r="M508" s="100"/>
      <c r="N508" s="101"/>
      <c r="O508" s="91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</row>
    <row r="509">
      <c r="A509" s="91"/>
      <c r="B509" s="91"/>
      <c r="C509" s="91"/>
      <c r="D509" s="91"/>
      <c r="E509" s="91"/>
      <c r="F509" s="91"/>
      <c r="G509" s="91"/>
      <c r="H509" s="98"/>
      <c r="I509" s="91"/>
      <c r="J509" s="97"/>
      <c r="K509" s="97"/>
      <c r="L509" s="99"/>
      <c r="M509" s="100"/>
      <c r="N509" s="101"/>
      <c r="O509" s="91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</row>
    <row r="510">
      <c r="A510" s="91"/>
      <c r="B510" s="91"/>
      <c r="C510" s="91"/>
      <c r="D510" s="91"/>
      <c r="E510" s="91"/>
      <c r="F510" s="91"/>
      <c r="G510" s="91"/>
      <c r="H510" s="98"/>
      <c r="I510" s="91"/>
      <c r="J510" s="97"/>
      <c r="K510" s="97"/>
      <c r="L510" s="99"/>
      <c r="M510" s="100"/>
      <c r="N510" s="101"/>
      <c r="O510" s="91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</row>
    <row r="511">
      <c r="A511" s="91"/>
      <c r="B511" s="91"/>
      <c r="C511" s="91"/>
      <c r="D511" s="91"/>
      <c r="E511" s="91"/>
      <c r="F511" s="91"/>
      <c r="G511" s="91"/>
      <c r="H511" s="98"/>
      <c r="I511" s="91"/>
      <c r="J511" s="97"/>
      <c r="K511" s="97"/>
      <c r="L511" s="99"/>
      <c r="M511" s="100"/>
      <c r="N511" s="101"/>
      <c r="O511" s="91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</row>
    <row r="512">
      <c r="A512" s="91"/>
      <c r="B512" s="91"/>
      <c r="C512" s="91"/>
      <c r="D512" s="91"/>
      <c r="E512" s="91"/>
      <c r="F512" s="91"/>
      <c r="G512" s="91"/>
      <c r="H512" s="98"/>
      <c r="I512" s="91"/>
      <c r="J512" s="97"/>
      <c r="K512" s="97"/>
      <c r="L512" s="99"/>
      <c r="M512" s="100"/>
      <c r="N512" s="101"/>
      <c r="O512" s="91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</row>
    <row r="513">
      <c r="A513" s="91"/>
      <c r="B513" s="91"/>
      <c r="C513" s="91"/>
      <c r="D513" s="91"/>
      <c r="E513" s="91"/>
      <c r="F513" s="91"/>
      <c r="G513" s="91"/>
      <c r="H513" s="98"/>
      <c r="I513" s="91"/>
      <c r="J513" s="97"/>
      <c r="K513" s="97"/>
      <c r="L513" s="99"/>
      <c r="M513" s="100"/>
      <c r="N513" s="101"/>
      <c r="O513" s="91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</row>
    <row r="514">
      <c r="A514" s="91"/>
      <c r="B514" s="91"/>
      <c r="C514" s="91"/>
      <c r="D514" s="91"/>
      <c r="E514" s="91"/>
      <c r="F514" s="91"/>
      <c r="G514" s="91"/>
      <c r="H514" s="98"/>
      <c r="I514" s="91"/>
      <c r="J514" s="97"/>
      <c r="K514" s="97"/>
      <c r="L514" s="99"/>
      <c r="M514" s="100"/>
      <c r="N514" s="101"/>
      <c r="O514" s="91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</row>
    <row r="515">
      <c r="A515" s="91"/>
      <c r="B515" s="91"/>
      <c r="C515" s="91"/>
      <c r="D515" s="91"/>
      <c r="E515" s="91"/>
      <c r="F515" s="91"/>
      <c r="G515" s="91"/>
      <c r="H515" s="98"/>
      <c r="I515" s="91"/>
      <c r="J515" s="97"/>
      <c r="K515" s="97"/>
      <c r="L515" s="99"/>
      <c r="M515" s="100"/>
      <c r="N515" s="101"/>
      <c r="O515" s="91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</row>
    <row r="516">
      <c r="A516" s="91"/>
      <c r="B516" s="91"/>
      <c r="C516" s="91"/>
      <c r="D516" s="91"/>
      <c r="E516" s="91"/>
      <c r="F516" s="91"/>
      <c r="G516" s="91"/>
      <c r="H516" s="98"/>
      <c r="I516" s="91"/>
      <c r="J516" s="97"/>
      <c r="K516" s="97"/>
      <c r="L516" s="99"/>
      <c r="M516" s="100"/>
      <c r="N516" s="101"/>
      <c r="O516" s="91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</row>
    <row r="517">
      <c r="A517" s="91"/>
      <c r="B517" s="91"/>
      <c r="C517" s="91"/>
      <c r="D517" s="91"/>
      <c r="E517" s="91"/>
      <c r="F517" s="91"/>
      <c r="G517" s="91"/>
      <c r="H517" s="98"/>
      <c r="I517" s="91"/>
      <c r="J517" s="97"/>
      <c r="K517" s="97"/>
      <c r="L517" s="99"/>
      <c r="M517" s="100"/>
      <c r="N517" s="101"/>
      <c r="O517" s="91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</row>
    <row r="518">
      <c r="A518" s="91"/>
      <c r="B518" s="91"/>
      <c r="C518" s="91"/>
      <c r="D518" s="91"/>
      <c r="E518" s="91"/>
      <c r="F518" s="91"/>
      <c r="G518" s="91"/>
      <c r="H518" s="98"/>
      <c r="I518" s="91"/>
      <c r="J518" s="97"/>
      <c r="K518" s="97"/>
      <c r="L518" s="99"/>
      <c r="M518" s="100"/>
      <c r="N518" s="101"/>
      <c r="O518" s="91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</row>
    <row r="519">
      <c r="A519" s="91"/>
      <c r="B519" s="91"/>
      <c r="C519" s="91"/>
      <c r="D519" s="91"/>
      <c r="E519" s="91"/>
      <c r="F519" s="91"/>
      <c r="G519" s="91"/>
      <c r="H519" s="98"/>
      <c r="I519" s="91"/>
      <c r="J519" s="97"/>
      <c r="K519" s="97"/>
      <c r="L519" s="99"/>
      <c r="M519" s="100"/>
      <c r="N519" s="101"/>
      <c r="O519" s="91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</row>
    <row r="520">
      <c r="A520" s="91"/>
      <c r="B520" s="91"/>
      <c r="C520" s="91"/>
      <c r="D520" s="91"/>
      <c r="E520" s="91"/>
      <c r="F520" s="91"/>
      <c r="G520" s="91"/>
      <c r="H520" s="98"/>
      <c r="I520" s="91"/>
      <c r="J520" s="97"/>
      <c r="K520" s="97"/>
      <c r="L520" s="99"/>
      <c r="M520" s="100"/>
      <c r="N520" s="101"/>
      <c r="O520" s="91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</row>
    <row r="521">
      <c r="A521" s="91"/>
      <c r="B521" s="91"/>
      <c r="C521" s="91"/>
      <c r="D521" s="91"/>
      <c r="E521" s="91"/>
      <c r="F521" s="91"/>
      <c r="G521" s="91"/>
      <c r="H521" s="98"/>
      <c r="I521" s="91"/>
      <c r="J521" s="97"/>
      <c r="K521" s="97"/>
      <c r="L521" s="99"/>
      <c r="M521" s="100"/>
      <c r="N521" s="101"/>
      <c r="O521" s="91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</row>
    <row r="522">
      <c r="A522" s="91"/>
      <c r="B522" s="91"/>
      <c r="C522" s="91"/>
      <c r="D522" s="91"/>
      <c r="E522" s="91"/>
      <c r="F522" s="91"/>
      <c r="G522" s="91"/>
      <c r="H522" s="98"/>
      <c r="I522" s="91"/>
      <c r="J522" s="97"/>
      <c r="K522" s="97"/>
      <c r="L522" s="99"/>
      <c r="M522" s="100"/>
      <c r="N522" s="101"/>
      <c r="O522" s="91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</row>
    <row r="523">
      <c r="A523" s="91"/>
      <c r="B523" s="91"/>
      <c r="C523" s="91"/>
      <c r="D523" s="91"/>
      <c r="E523" s="91"/>
      <c r="F523" s="91"/>
      <c r="G523" s="91"/>
      <c r="H523" s="98"/>
      <c r="I523" s="91"/>
      <c r="J523" s="97"/>
      <c r="K523" s="97"/>
      <c r="L523" s="99"/>
      <c r="M523" s="100"/>
      <c r="N523" s="101"/>
      <c r="O523" s="91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</row>
    <row r="524">
      <c r="A524" s="91"/>
      <c r="B524" s="91"/>
      <c r="C524" s="91"/>
      <c r="D524" s="91"/>
      <c r="E524" s="91"/>
      <c r="F524" s="91"/>
      <c r="G524" s="91"/>
      <c r="H524" s="98"/>
      <c r="I524" s="91"/>
      <c r="J524" s="97"/>
      <c r="K524" s="97"/>
      <c r="L524" s="99"/>
      <c r="M524" s="100"/>
      <c r="N524" s="101"/>
      <c r="O524" s="91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</row>
    <row r="525">
      <c r="A525" s="91"/>
      <c r="B525" s="91"/>
      <c r="C525" s="91"/>
      <c r="D525" s="91"/>
      <c r="E525" s="91"/>
      <c r="F525" s="91"/>
      <c r="G525" s="91"/>
      <c r="H525" s="98"/>
      <c r="I525" s="91"/>
      <c r="J525" s="97"/>
      <c r="K525" s="97"/>
      <c r="L525" s="99"/>
      <c r="M525" s="100"/>
      <c r="N525" s="101"/>
      <c r="O525" s="91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</row>
    <row r="526">
      <c r="A526" s="91"/>
      <c r="B526" s="91"/>
      <c r="C526" s="91"/>
      <c r="D526" s="91"/>
      <c r="E526" s="91"/>
      <c r="F526" s="91"/>
      <c r="G526" s="91"/>
      <c r="H526" s="98"/>
      <c r="I526" s="91"/>
      <c r="J526" s="97"/>
      <c r="K526" s="97"/>
      <c r="L526" s="99"/>
      <c r="M526" s="100"/>
      <c r="N526" s="101"/>
      <c r="O526" s="91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</row>
    <row r="527">
      <c r="A527" s="91"/>
      <c r="B527" s="91"/>
      <c r="C527" s="91"/>
      <c r="D527" s="91"/>
      <c r="E527" s="91"/>
      <c r="F527" s="91"/>
      <c r="G527" s="91"/>
      <c r="H527" s="98"/>
      <c r="I527" s="91"/>
      <c r="J527" s="97"/>
      <c r="K527" s="97"/>
      <c r="L527" s="99"/>
      <c r="M527" s="100"/>
      <c r="N527" s="101"/>
      <c r="O527" s="91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</row>
    <row r="528">
      <c r="A528" s="91"/>
      <c r="B528" s="91"/>
      <c r="C528" s="91"/>
      <c r="D528" s="91"/>
      <c r="E528" s="91"/>
      <c r="F528" s="91"/>
      <c r="G528" s="91"/>
      <c r="H528" s="98"/>
      <c r="I528" s="91"/>
      <c r="J528" s="97"/>
      <c r="K528" s="97"/>
      <c r="L528" s="99"/>
      <c r="M528" s="100"/>
      <c r="N528" s="101"/>
      <c r="O528" s="91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</row>
    <row r="529">
      <c r="A529" s="91"/>
      <c r="B529" s="91"/>
      <c r="C529" s="91"/>
      <c r="D529" s="91"/>
      <c r="E529" s="91"/>
      <c r="F529" s="91"/>
      <c r="G529" s="91"/>
      <c r="H529" s="98"/>
      <c r="I529" s="91"/>
      <c r="J529" s="97"/>
      <c r="K529" s="97"/>
      <c r="L529" s="99"/>
      <c r="M529" s="100"/>
      <c r="N529" s="101"/>
      <c r="O529" s="91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</row>
    <row r="530">
      <c r="A530" s="91"/>
      <c r="B530" s="91"/>
      <c r="C530" s="91"/>
      <c r="D530" s="91"/>
      <c r="E530" s="91"/>
      <c r="F530" s="91"/>
      <c r="G530" s="91"/>
      <c r="H530" s="98"/>
      <c r="I530" s="91"/>
      <c r="J530" s="97"/>
      <c r="K530" s="97"/>
      <c r="L530" s="99"/>
      <c r="M530" s="100"/>
      <c r="N530" s="101"/>
      <c r="O530" s="91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</row>
    <row r="531">
      <c r="A531" s="91"/>
      <c r="B531" s="91"/>
      <c r="C531" s="91"/>
      <c r="D531" s="91"/>
      <c r="E531" s="91"/>
      <c r="F531" s="91"/>
      <c r="G531" s="91"/>
      <c r="H531" s="98"/>
      <c r="I531" s="91"/>
      <c r="J531" s="97"/>
      <c r="K531" s="97"/>
      <c r="L531" s="99"/>
      <c r="M531" s="100"/>
      <c r="N531" s="101"/>
      <c r="O531" s="91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</row>
    <row r="532">
      <c r="A532" s="91"/>
      <c r="B532" s="91"/>
      <c r="C532" s="91"/>
      <c r="D532" s="91"/>
      <c r="E532" s="91"/>
      <c r="F532" s="91"/>
      <c r="G532" s="91"/>
      <c r="H532" s="98"/>
      <c r="I532" s="91"/>
      <c r="J532" s="97"/>
      <c r="K532" s="97"/>
      <c r="L532" s="99"/>
      <c r="M532" s="100"/>
      <c r="N532" s="101"/>
      <c r="O532" s="91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</row>
    <row r="533">
      <c r="A533" s="91"/>
      <c r="B533" s="91"/>
      <c r="C533" s="91"/>
      <c r="D533" s="91"/>
      <c r="E533" s="91"/>
      <c r="F533" s="91"/>
      <c r="G533" s="91"/>
      <c r="H533" s="98"/>
      <c r="I533" s="91"/>
      <c r="J533" s="97"/>
      <c r="K533" s="97"/>
      <c r="L533" s="99"/>
      <c r="M533" s="100"/>
      <c r="N533" s="101"/>
      <c r="O533" s="91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</row>
    <row r="534">
      <c r="A534" s="91"/>
      <c r="B534" s="91"/>
      <c r="C534" s="91"/>
      <c r="D534" s="91"/>
      <c r="E534" s="91"/>
      <c r="F534" s="91"/>
      <c r="G534" s="91"/>
      <c r="H534" s="98"/>
      <c r="I534" s="91"/>
      <c r="J534" s="97"/>
      <c r="K534" s="97"/>
      <c r="L534" s="99"/>
      <c r="M534" s="100"/>
      <c r="N534" s="101"/>
      <c r="O534" s="91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</row>
    <row r="535">
      <c r="A535" s="91"/>
      <c r="B535" s="91"/>
      <c r="C535" s="91"/>
      <c r="D535" s="91"/>
      <c r="E535" s="91"/>
      <c r="F535" s="91"/>
      <c r="G535" s="91"/>
      <c r="H535" s="98"/>
      <c r="I535" s="91"/>
      <c r="J535" s="97"/>
      <c r="K535" s="97"/>
      <c r="L535" s="99"/>
      <c r="M535" s="100"/>
      <c r="N535" s="101"/>
      <c r="O535" s="91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</row>
    <row r="536">
      <c r="A536" s="91"/>
      <c r="B536" s="91"/>
      <c r="C536" s="91"/>
      <c r="D536" s="91"/>
      <c r="E536" s="91"/>
      <c r="F536" s="91"/>
      <c r="G536" s="91"/>
      <c r="H536" s="98"/>
      <c r="I536" s="91"/>
      <c r="J536" s="97"/>
      <c r="K536" s="97"/>
      <c r="L536" s="99"/>
      <c r="M536" s="100"/>
      <c r="N536" s="101"/>
      <c r="O536" s="91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</row>
    <row r="537">
      <c r="A537" s="91"/>
      <c r="B537" s="91"/>
      <c r="C537" s="91"/>
      <c r="D537" s="91"/>
      <c r="E537" s="91"/>
      <c r="F537" s="91"/>
      <c r="G537" s="91"/>
      <c r="H537" s="98"/>
      <c r="I537" s="91"/>
      <c r="J537" s="97"/>
      <c r="K537" s="97"/>
      <c r="L537" s="99"/>
      <c r="M537" s="100"/>
      <c r="N537" s="101"/>
      <c r="O537" s="91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</row>
    <row r="538">
      <c r="A538" s="91"/>
      <c r="B538" s="91"/>
      <c r="C538" s="91"/>
      <c r="D538" s="91"/>
      <c r="E538" s="91"/>
      <c r="F538" s="91"/>
      <c r="G538" s="91"/>
      <c r="H538" s="98"/>
      <c r="I538" s="91"/>
      <c r="J538" s="97"/>
      <c r="K538" s="97"/>
      <c r="L538" s="99"/>
      <c r="M538" s="100"/>
      <c r="N538" s="101"/>
      <c r="O538" s="91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</row>
    <row r="539">
      <c r="A539" s="91"/>
      <c r="B539" s="91"/>
      <c r="C539" s="91"/>
      <c r="D539" s="91"/>
      <c r="E539" s="91"/>
      <c r="F539" s="91"/>
      <c r="G539" s="91"/>
      <c r="H539" s="98"/>
      <c r="I539" s="91"/>
      <c r="J539" s="97"/>
      <c r="K539" s="97"/>
      <c r="L539" s="99"/>
      <c r="M539" s="100"/>
      <c r="N539" s="101"/>
      <c r="O539" s="91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</row>
    <row r="540">
      <c r="A540" s="91"/>
      <c r="B540" s="91"/>
      <c r="C540" s="91"/>
      <c r="D540" s="91"/>
      <c r="E540" s="91"/>
      <c r="F540" s="91"/>
      <c r="G540" s="91"/>
      <c r="H540" s="98"/>
      <c r="I540" s="91"/>
      <c r="J540" s="97"/>
      <c r="K540" s="97"/>
      <c r="L540" s="99"/>
      <c r="M540" s="100"/>
      <c r="N540" s="101"/>
      <c r="O540" s="91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</row>
    <row r="541">
      <c r="A541" s="91"/>
      <c r="B541" s="91"/>
      <c r="C541" s="91"/>
      <c r="D541" s="91"/>
      <c r="E541" s="91"/>
      <c r="F541" s="91"/>
      <c r="G541" s="91"/>
      <c r="H541" s="98"/>
      <c r="I541" s="91"/>
      <c r="J541" s="97"/>
      <c r="K541" s="97"/>
      <c r="L541" s="99"/>
      <c r="M541" s="100"/>
      <c r="N541" s="101"/>
      <c r="O541" s="91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</row>
    <row r="542">
      <c r="A542" s="91"/>
      <c r="B542" s="91"/>
      <c r="C542" s="91"/>
      <c r="D542" s="91"/>
      <c r="E542" s="91"/>
      <c r="F542" s="91"/>
      <c r="G542" s="91"/>
      <c r="H542" s="98"/>
      <c r="I542" s="91"/>
      <c r="J542" s="97"/>
      <c r="K542" s="97"/>
      <c r="L542" s="99"/>
      <c r="M542" s="100"/>
      <c r="N542" s="101"/>
      <c r="O542" s="91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</row>
    <row r="543">
      <c r="A543" s="91"/>
      <c r="B543" s="91"/>
      <c r="C543" s="91"/>
      <c r="D543" s="91"/>
      <c r="E543" s="91"/>
      <c r="F543" s="91"/>
      <c r="G543" s="91"/>
      <c r="H543" s="98"/>
      <c r="I543" s="91"/>
      <c r="J543" s="97"/>
      <c r="K543" s="97"/>
      <c r="L543" s="99"/>
      <c r="M543" s="100"/>
      <c r="N543" s="101"/>
      <c r="O543" s="91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</row>
    <row r="544">
      <c r="A544" s="91"/>
      <c r="B544" s="91"/>
      <c r="C544" s="91"/>
      <c r="D544" s="91"/>
      <c r="E544" s="91"/>
      <c r="F544" s="91"/>
      <c r="G544" s="91"/>
      <c r="H544" s="98"/>
      <c r="I544" s="91"/>
      <c r="J544" s="97"/>
      <c r="K544" s="97"/>
      <c r="L544" s="99"/>
      <c r="M544" s="100"/>
      <c r="N544" s="101"/>
      <c r="O544" s="91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</row>
    <row r="545">
      <c r="A545" s="91"/>
      <c r="B545" s="91"/>
      <c r="C545" s="91"/>
      <c r="D545" s="91"/>
      <c r="E545" s="91"/>
      <c r="F545" s="91"/>
      <c r="G545" s="91"/>
      <c r="H545" s="98"/>
      <c r="I545" s="91"/>
      <c r="J545" s="97"/>
      <c r="K545" s="97"/>
      <c r="L545" s="99"/>
      <c r="M545" s="100"/>
      <c r="N545" s="101"/>
      <c r="O545" s="91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</row>
    <row r="546">
      <c r="A546" s="91"/>
      <c r="B546" s="91"/>
      <c r="C546" s="91"/>
      <c r="D546" s="91"/>
      <c r="E546" s="91"/>
      <c r="F546" s="91"/>
      <c r="G546" s="91"/>
      <c r="H546" s="98"/>
      <c r="I546" s="91"/>
      <c r="J546" s="97"/>
      <c r="K546" s="97"/>
      <c r="L546" s="99"/>
      <c r="M546" s="100"/>
      <c r="N546" s="101"/>
      <c r="O546" s="91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</row>
    <row r="547">
      <c r="A547" s="91"/>
      <c r="B547" s="91"/>
      <c r="C547" s="91"/>
      <c r="D547" s="91"/>
      <c r="E547" s="91"/>
      <c r="F547" s="91"/>
      <c r="G547" s="91"/>
      <c r="H547" s="98"/>
      <c r="I547" s="91"/>
      <c r="J547" s="97"/>
      <c r="K547" s="97"/>
      <c r="L547" s="99"/>
      <c r="M547" s="100"/>
      <c r="N547" s="101"/>
      <c r="O547" s="91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</row>
    <row r="548">
      <c r="A548" s="91"/>
      <c r="B548" s="91"/>
      <c r="C548" s="91"/>
      <c r="D548" s="91"/>
      <c r="E548" s="91"/>
      <c r="F548" s="91"/>
      <c r="G548" s="91"/>
      <c r="H548" s="98"/>
      <c r="I548" s="91"/>
      <c r="J548" s="97"/>
      <c r="K548" s="97"/>
      <c r="L548" s="99"/>
      <c r="M548" s="100"/>
      <c r="N548" s="101"/>
      <c r="O548" s="91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</row>
    <row r="549">
      <c r="A549" s="91"/>
      <c r="B549" s="91"/>
      <c r="C549" s="91"/>
      <c r="D549" s="91"/>
      <c r="E549" s="91"/>
      <c r="F549" s="91"/>
      <c r="G549" s="91"/>
      <c r="H549" s="98"/>
      <c r="I549" s="91"/>
      <c r="J549" s="97"/>
      <c r="K549" s="97"/>
      <c r="L549" s="99"/>
      <c r="M549" s="100"/>
      <c r="N549" s="101"/>
      <c r="O549" s="91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</row>
    <row r="550">
      <c r="A550" s="91"/>
      <c r="B550" s="91"/>
      <c r="C550" s="91"/>
      <c r="D550" s="91"/>
      <c r="E550" s="91"/>
      <c r="F550" s="91"/>
      <c r="G550" s="91"/>
      <c r="H550" s="98"/>
      <c r="I550" s="91"/>
      <c r="J550" s="97"/>
      <c r="K550" s="97"/>
      <c r="L550" s="99"/>
      <c r="M550" s="100"/>
      <c r="N550" s="101"/>
      <c r="O550" s="91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</row>
    <row r="551">
      <c r="A551" s="91"/>
      <c r="B551" s="91"/>
      <c r="C551" s="91"/>
      <c r="D551" s="91"/>
      <c r="E551" s="91"/>
      <c r="F551" s="91"/>
      <c r="G551" s="91"/>
      <c r="H551" s="98"/>
      <c r="I551" s="91"/>
      <c r="J551" s="97"/>
      <c r="K551" s="97"/>
      <c r="L551" s="99"/>
      <c r="M551" s="100"/>
      <c r="N551" s="101"/>
      <c r="O551" s="91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</row>
    <row r="552">
      <c r="A552" s="91"/>
      <c r="B552" s="91"/>
      <c r="C552" s="91"/>
      <c r="D552" s="91"/>
      <c r="E552" s="91"/>
      <c r="F552" s="91"/>
      <c r="G552" s="91"/>
      <c r="H552" s="98"/>
      <c r="I552" s="91"/>
      <c r="J552" s="97"/>
      <c r="K552" s="97"/>
      <c r="L552" s="99"/>
      <c r="M552" s="100"/>
      <c r="N552" s="101"/>
      <c r="O552" s="91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</row>
    <row r="553">
      <c r="A553" s="91"/>
      <c r="B553" s="91"/>
      <c r="C553" s="91"/>
      <c r="D553" s="91"/>
      <c r="E553" s="91"/>
      <c r="F553" s="91"/>
      <c r="G553" s="91"/>
      <c r="H553" s="98"/>
      <c r="I553" s="91"/>
      <c r="J553" s="97"/>
      <c r="K553" s="97"/>
      <c r="L553" s="99"/>
      <c r="M553" s="100"/>
      <c r="N553" s="101"/>
      <c r="O553" s="91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</row>
    <row r="554">
      <c r="A554" s="91"/>
      <c r="B554" s="91"/>
      <c r="C554" s="91"/>
      <c r="D554" s="91"/>
      <c r="E554" s="91"/>
      <c r="F554" s="91"/>
      <c r="G554" s="91"/>
      <c r="H554" s="98"/>
      <c r="I554" s="91"/>
      <c r="J554" s="97"/>
      <c r="K554" s="97"/>
      <c r="L554" s="99"/>
      <c r="M554" s="100"/>
      <c r="N554" s="101"/>
      <c r="O554" s="91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</row>
    <row r="555">
      <c r="A555" s="91"/>
      <c r="B555" s="91"/>
      <c r="C555" s="91"/>
      <c r="D555" s="91"/>
      <c r="E555" s="91"/>
      <c r="F555" s="91"/>
      <c r="G555" s="91"/>
      <c r="H555" s="98"/>
      <c r="I555" s="91"/>
      <c r="J555" s="97"/>
      <c r="K555" s="97"/>
      <c r="L555" s="99"/>
      <c r="M555" s="100"/>
      <c r="N555" s="101"/>
      <c r="O555" s="91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</row>
    <row r="556">
      <c r="A556" s="91"/>
      <c r="B556" s="91"/>
      <c r="C556" s="91"/>
      <c r="D556" s="91"/>
      <c r="E556" s="91"/>
      <c r="F556" s="91"/>
      <c r="G556" s="91"/>
      <c r="H556" s="98"/>
      <c r="I556" s="91"/>
      <c r="J556" s="97"/>
      <c r="K556" s="97"/>
      <c r="L556" s="99"/>
      <c r="M556" s="100"/>
      <c r="N556" s="101"/>
      <c r="O556" s="91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</row>
    <row r="557">
      <c r="A557" s="91"/>
      <c r="B557" s="91"/>
      <c r="C557" s="91"/>
      <c r="D557" s="91"/>
      <c r="E557" s="91"/>
      <c r="F557" s="91"/>
      <c r="G557" s="91"/>
      <c r="H557" s="98"/>
      <c r="I557" s="91"/>
      <c r="J557" s="97"/>
      <c r="K557" s="97"/>
      <c r="L557" s="99"/>
      <c r="M557" s="100"/>
      <c r="N557" s="101"/>
      <c r="O557" s="91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</row>
    <row r="558">
      <c r="A558" s="91"/>
      <c r="B558" s="91"/>
      <c r="C558" s="91"/>
      <c r="D558" s="91"/>
      <c r="E558" s="91"/>
      <c r="F558" s="91"/>
      <c r="G558" s="91"/>
      <c r="H558" s="98"/>
      <c r="I558" s="91"/>
      <c r="J558" s="97"/>
      <c r="K558" s="97"/>
      <c r="L558" s="99"/>
      <c r="M558" s="100"/>
      <c r="N558" s="101"/>
      <c r="O558" s="91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</row>
    <row r="559">
      <c r="A559" s="91"/>
      <c r="B559" s="91"/>
      <c r="C559" s="91"/>
      <c r="D559" s="91"/>
      <c r="E559" s="91"/>
      <c r="F559" s="91"/>
      <c r="G559" s="91"/>
      <c r="H559" s="98"/>
      <c r="I559" s="91"/>
      <c r="J559" s="97"/>
      <c r="K559" s="97"/>
      <c r="L559" s="99"/>
      <c r="M559" s="100"/>
      <c r="N559" s="101"/>
      <c r="O559" s="91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</row>
    <row r="560">
      <c r="A560" s="91"/>
      <c r="B560" s="91"/>
      <c r="C560" s="91"/>
      <c r="D560" s="91"/>
      <c r="E560" s="91"/>
      <c r="F560" s="91"/>
      <c r="G560" s="91"/>
      <c r="H560" s="98"/>
      <c r="I560" s="91"/>
      <c r="J560" s="97"/>
      <c r="K560" s="97"/>
      <c r="L560" s="99"/>
      <c r="M560" s="100"/>
      <c r="N560" s="101"/>
      <c r="O560" s="91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</row>
    <row r="561">
      <c r="A561" s="91"/>
      <c r="B561" s="91"/>
      <c r="C561" s="91"/>
      <c r="D561" s="91"/>
      <c r="E561" s="91"/>
      <c r="F561" s="91"/>
      <c r="G561" s="91"/>
      <c r="H561" s="98"/>
      <c r="I561" s="91"/>
      <c r="J561" s="97"/>
      <c r="K561" s="97"/>
      <c r="L561" s="99"/>
      <c r="M561" s="100"/>
      <c r="N561" s="101"/>
      <c r="O561" s="91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</row>
    <row r="562">
      <c r="A562" s="91"/>
      <c r="B562" s="91"/>
      <c r="C562" s="91"/>
      <c r="D562" s="91"/>
      <c r="E562" s="91"/>
      <c r="F562" s="91"/>
      <c r="G562" s="91"/>
      <c r="H562" s="98"/>
      <c r="I562" s="91"/>
      <c r="J562" s="97"/>
      <c r="K562" s="97"/>
      <c r="L562" s="99"/>
      <c r="M562" s="100"/>
      <c r="N562" s="101"/>
      <c r="O562" s="91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</row>
    <row r="563">
      <c r="A563" s="91"/>
      <c r="B563" s="91"/>
      <c r="C563" s="91"/>
      <c r="D563" s="91"/>
      <c r="E563" s="91"/>
      <c r="F563" s="91"/>
      <c r="G563" s="91"/>
      <c r="H563" s="98"/>
      <c r="I563" s="91"/>
      <c r="J563" s="97"/>
      <c r="K563" s="97"/>
      <c r="L563" s="99"/>
      <c r="M563" s="100"/>
      <c r="N563" s="101"/>
      <c r="O563" s="91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</row>
    <row r="564">
      <c r="A564" s="91"/>
      <c r="B564" s="91"/>
      <c r="C564" s="91"/>
      <c r="D564" s="91"/>
      <c r="E564" s="91"/>
      <c r="F564" s="91"/>
      <c r="G564" s="91"/>
      <c r="H564" s="98"/>
      <c r="I564" s="91"/>
      <c r="J564" s="97"/>
      <c r="K564" s="97"/>
      <c r="L564" s="99"/>
      <c r="M564" s="100"/>
      <c r="N564" s="101"/>
      <c r="O564" s="91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</row>
    <row r="565">
      <c r="A565" s="91"/>
      <c r="B565" s="91"/>
      <c r="C565" s="91"/>
      <c r="D565" s="91"/>
      <c r="E565" s="91"/>
      <c r="F565" s="91"/>
      <c r="G565" s="91"/>
      <c r="H565" s="98"/>
      <c r="I565" s="91"/>
      <c r="J565" s="97"/>
      <c r="K565" s="97"/>
      <c r="L565" s="99"/>
      <c r="M565" s="100"/>
      <c r="N565" s="101"/>
      <c r="O565" s="91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</row>
    <row r="566">
      <c r="A566" s="91"/>
      <c r="B566" s="91"/>
      <c r="C566" s="91"/>
      <c r="D566" s="91"/>
      <c r="E566" s="91"/>
      <c r="F566" s="91"/>
      <c r="G566" s="91"/>
      <c r="H566" s="98"/>
      <c r="I566" s="91"/>
      <c r="J566" s="97"/>
      <c r="K566" s="97"/>
      <c r="L566" s="99"/>
      <c r="M566" s="100"/>
      <c r="N566" s="101"/>
      <c r="O566" s="91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</row>
    <row r="567">
      <c r="A567" s="91"/>
      <c r="B567" s="91"/>
      <c r="C567" s="91"/>
      <c r="D567" s="91"/>
      <c r="E567" s="91"/>
      <c r="F567" s="91"/>
      <c r="G567" s="91"/>
      <c r="H567" s="98"/>
      <c r="I567" s="91"/>
      <c r="J567" s="97"/>
      <c r="K567" s="97"/>
      <c r="L567" s="99"/>
      <c r="M567" s="100"/>
      <c r="N567" s="101"/>
      <c r="O567" s="91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</row>
    <row r="568">
      <c r="A568" s="91"/>
      <c r="B568" s="91"/>
      <c r="C568" s="91"/>
      <c r="D568" s="91"/>
      <c r="E568" s="91"/>
      <c r="F568" s="91"/>
      <c r="G568" s="91"/>
      <c r="H568" s="98"/>
      <c r="I568" s="91"/>
      <c r="J568" s="97"/>
      <c r="K568" s="97"/>
      <c r="L568" s="99"/>
      <c r="M568" s="100"/>
      <c r="N568" s="101"/>
      <c r="O568" s="91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</row>
    <row r="569">
      <c r="A569" s="91"/>
      <c r="B569" s="91"/>
      <c r="C569" s="91"/>
      <c r="D569" s="91"/>
      <c r="E569" s="91"/>
      <c r="F569" s="91"/>
      <c r="G569" s="91"/>
      <c r="H569" s="98"/>
      <c r="I569" s="91"/>
      <c r="J569" s="97"/>
      <c r="K569" s="97"/>
      <c r="L569" s="99"/>
      <c r="M569" s="100"/>
      <c r="N569" s="101"/>
      <c r="O569" s="91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</row>
    <row r="570">
      <c r="A570" s="91"/>
      <c r="B570" s="91"/>
      <c r="C570" s="91"/>
      <c r="D570" s="91"/>
      <c r="E570" s="91"/>
      <c r="F570" s="91"/>
      <c r="G570" s="91"/>
      <c r="H570" s="98"/>
      <c r="I570" s="91"/>
      <c r="J570" s="97"/>
      <c r="K570" s="97"/>
      <c r="L570" s="99"/>
      <c r="M570" s="100"/>
      <c r="N570" s="101"/>
      <c r="O570" s="91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</row>
    <row r="571">
      <c r="A571" s="91"/>
      <c r="B571" s="91"/>
      <c r="C571" s="91"/>
      <c r="D571" s="91"/>
      <c r="E571" s="91"/>
      <c r="F571" s="91"/>
      <c r="G571" s="91"/>
      <c r="H571" s="98"/>
      <c r="I571" s="91"/>
      <c r="J571" s="97"/>
      <c r="K571" s="97"/>
      <c r="L571" s="99"/>
      <c r="M571" s="100"/>
      <c r="N571" s="101"/>
      <c r="O571" s="91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</row>
    <row r="572">
      <c r="A572" s="91"/>
      <c r="B572" s="91"/>
      <c r="C572" s="91"/>
      <c r="D572" s="91"/>
      <c r="E572" s="91"/>
      <c r="F572" s="91"/>
      <c r="G572" s="91"/>
      <c r="H572" s="98"/>
      <c r="I572" s="91"/>
      <c r="J572" s="97"/>
      <c r="K572" s="97"/>
      <c r="L572" s="99"/>
      <c r="M572" s="100"/>
      <c r="N572" s="101"/>
      <c r="O572" s="91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</row>
    <row r="573">
      <c r="A573" s="91"/>
      <c r="B573" s="91"/>
      <c r="C573" s="91"/>
      <c r="D573" s="91"/>
      <c r="E573" s="91"/>
      <c r="F573" s="91"/>
      <c r="G573" s="91"/>
      <c r="H573" s="98"/>
      <c r="I573" s="91"/>
      <c r="J573" s="97"/>
      <c r="K573" s="97"/>
      <c r="L573" s="99"/>
      <c r="M573" s="100"/>
      <c r="N573" s="101"/>
      <c r="O573" s="91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</row>
    <row r="574">
      <c r="A574" s="91"/>
      <c r="B574" s="91"/>
      <c r="C574" s="91"/>
      <c r="D574" s="91"/>
      <c r="E574" s="91"/>
      <c r="F574" s="91"/>
      <c r="G574" s="91"/>
      <c r="H574" s="98"/>
      <c r="I574" s="91"/>
      <c r="J574" s="97"/>
      <c r="K574" s="97"/>
      <c r="L574" s="99"/>
      <c r="M574" s="100"/>
      <c r="N574" s="101"/>
      <c r="O574" s="91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</row>
    <row r="575">
      <c r="A575" s="91"/>
      <c r="B575" s="91"/>
      <c r="C575" s="91"/>
      <c r="D575" s="91"/>
      <c r="E575" s="91"/>
      <c r="F575" s="91"/>
      <c r="G575" s="91"/>
      <c r="H575" s="98"/>
      <c r="I575" s="91"/>
      <c r="J575" s="97"/>
      <c r="K575" s="97"/>
      <c r="L575" s="99"/>
      <c r="M575" s="100"/>
      <c r="N575" s="101"/>
      <c r="O575" s="91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</row>
    <row r="576">
      <c r="A576" s="91"/>
      <c r="B576" s="91"/>
      <c r="C576" s="91"/>
      <c r="D576" s="91"/>
      <c r="E576" s="91"/>
      <c r="F576" s="91"/>
      <c r="G576" s="91"/>
      <c r="H576" s="98"/>
      <c r="I576" s="91"/>
      <c r="J576" s="97"/>
      <c r="K576" s="97"/>
      <c r="L576" s="99"/>
      <c r="M576" s="100"/>
      <c r="N576" s="101"/>
      <c r="O576" s="91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</row>
    <row r="577">
      <c r="A577" s="91"/>
      <c r="B577" s="91"/>
      <c r="C577" s="91"/>
      <c r="D577" s="91"/>
      <c r="E577" s="91"/>
      <c r="F577" s="91"/>
      <c r="G577" s="91"/>
      <c r="H577" s="98"/>
      <c r="I577" s="91"/>
      <c r="J577" s="97"/>
      <c r="K577" s="97"/>
      <c r="L577" s="99"/>
      <c r="M577" s="100"/>
      <c r="N577" s="101"/>
      <c r="O577" s="91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</row>
    <row r="578">
      <c r="A578" s="91"/>
      <c r="B578" s="91"/>
      <c r="C578" s="91"/>
      <c r="D578" s="91"/>
      <c r="E578" s="91"/>
      <c r="F578" s="91"/>
      <c r="G578" s="91"/>
      <c r="H578" s="98"/>
      <c r="I578" s="91"/>
      <c r="J578" s="97"/>
      <c r="K578" s="97"/>
      <c r="L578" s="99"/>
      <c r="M578" s="100"/>
      <c r="N578" s="101"/>
      <c r="O578" s="91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</row>
    <row r="579">
      <c r="A579" s="91"/>
      <c r="B579" s="91"/>
      <c r="C579" s="91"/>
      <c r="D579" s="91"/>
      <c r="E579" s="91"/>
      <c r="F579" s="91"/>
      <c r="G579" s="91"/>
      <c r="H579" s="98"/>
      <c r="I579" s="91"/>
      <c r="J579" s="97"/>
      <c r="K579" s="97"/>
      <c r="L579" s="99"/>
      <c r="M579" s="100"/>
      <c r="N579" s="101"/>
      <c r="O579" s="91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</row>
    <row r="580">
      <c r="A580" s="91"/>
      <c r="B580" s="91"/>
      <c r="C580" s="91"/>
      <c r="D580" s="91"/>
      <c r="E580" s="91"/>
      <c r="F580" s="91"/>
      <c r="G580" s="91"/>
      <c r="H580" s="98"/>
      <c r="I580" s="91"/>
      <c r="J580" s="97"/>
      <c r="K580" s="97"/>
      <c r="L580" s="99"/>
      <c r="M580" s="100"/>
      <c r="N580" s="101"/>
      <c r="O580" s="91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</row>
    <row r="581">
      <c r="A581" s="91"/>
      <c r="B581" s="91"/>
      <c r="C581" s="91"/>
      <c r="D581" s="91"/>
      <c r="E581" s="91"/>
      <c r="F581" s="91"/>
      <c r="G581" s="91"/>
      <c r="H581" s="98"/>
      <c r="I581" s="91"/>
      <c r="J581" s="97"/>
      <c r="K581" s="97"/>
      <c r="L581" s="99"/>
      <c r="M581" s="100"/>
      <c r="N581" s="101"/>
      <c r="O581" s="91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</row>
    <row r="582">
      <c r="A582" s="91"/>
      <c r="B582" s="91"/>
      <c r="C582" s="91"/>
      <c r="D582" s="91"/>
      <c r="E582" s="91"/>
      <c r="F582" s="91"/>
      <c r="G582" s="91"/>
      <c r="H582" s="98"/>
      <c r="I582" s="91"/>
      <c r="J582" s="97"/>
      <c r="K582" s="97"/>
      <c r="L582" s="99"/>
      <c r="M582" s="100"/>
      <c r="N582" s="101"/>
      <c r="O582" s="91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</row>
    <row r="583">
      <c r="A583" s="91"/>
      <c r="B583" s="91"/>
      <c r="C583" s="91"/>
      <c r="D583" s="91"/>
      <c r="E583" s="91"/>
      <c r="F583" s="91"/>
      <c r="G583" s="91"/>
      <c r="H583" s="98"/>
      <c r="I583" s="91"/>
      <c r="J583" s="97"/>
      <c r="K583" s="97"/>
      <c r="L583" s="99"/>
      <c r="M583" s="100"/>
      <c r="N583" s="101"/>
      <c r="O583" s="91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</row>
    <row r="584">
      <c r="A584" s="91"/>
      <c r="B584" s="91"/>
      <c r="C584" s="91"/>
      <c r="D584" s="91"/>
      <c r="E584" s="91"/>
      <c r="F584" s="91"/>
      <c r="G584" s="91"/>
      <c r="H584" s="98"/>
      <c r="I584" s="91"/>
      <c r="J584" s="97"/>
      <c r="K584" s="97"/>
      <c r="L584" s="99"/>
      <c r="M584" s="100"/>
      <c r="N584" s="101"/>
      <c r="O584" s="91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</row>
    <row r="585">
      <c r="A585" s="91"/>
      <c r="B585" s="91"/>
      <c r="C585" s="91"/>
      <c r="D585" s="91"/>
      <c r="E585" s="91"/>
      <c r="F585" s="91"/>
      <c r="G585" s="91"/>
      <c r="H585" s="98"/>
      <c r="I585" s="91"/>
      <c r="J585" s="97"/>
      <c r="K585" s="97"/>
      <c r="L585" s="99"/>
      <c r="M585" s="100"/>
      <c r="N585" s="101"/>
      <c r="O585" s="91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</row>
    <row r="586">
      <c r="A586" s="91"/>
      <c r="B586" s="91"/>
      <c r="C586" s="91"/>
      <c r="D586" s="91"/>
      <c r="E586" s="91"/>
      <c r="F586" s="91"/>
      <c r="G586" s="91"/>
      <c r="H586" s="98"/>
      <c r="I586" s="91"/>
      <c r="J586" s="97"/>
      <c r="K586" s="97"/>
      <c r="L586" s="99"/>
      <c r="M586" s="100"/>
      <c r="N586" s="101"/>
      <c r="O586" s="91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</row>
    <row r="587">
      <c r="A587" s="91"/>
      <c r="B587" s="91"/>
      <c r="C587" s="91"/>
      <c r="D587" s="91"/>
      <c r="E587" s="91"/>
      <c r="F587" s="91"/>
      <c r="G587" s="91"/>
      <c r="H587" s="98"/>
      <c r="I587" s="91"/>
      <c r="J587" s="97"/>
      <c r="K587" s="97"/>
      <c r="L587" s="99"/>
      <c r="M587" s="100"/>
      <c r="N587" s="101"/>
      <c r="O587" s="91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</row>
    <row r="588">
      <c r="A588" s="91"/>
      <c r="B588" s="91"/>
      <c r="C588" s="91"/>
      <c r="D588" s="91"/>
      <c r="E588" s="91"/>
      <c r="F588" s="91"/>
      <c r="G588" s="91"/>
      <c r="H588" s="98"/>
      <c r="I588" s="91"/>
      <c r="J588" s="97"/>
      <c r="K588" s="97"/>
      <c r="L588" s="99"/>
      <c r="M588" s="100"/>
      <c r="N588" s="101"/>
      <c r="O588" s="91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</row>
    <row r="589">
      <c r="A589" s="91"/>
      <c r="B589" s="91"/>
      <c r="C589" s="91"/>
      <c r="D589" s="91"/>
      <c r="E589" s="91"/>
      <c r="F589" s="91"/>
      <c r="G589" s="91"/>
      <c r="H589" s="98"/>
      <c r="I589" s="91"/>
      <c r="J589" s="97"/>
      <c r="K589" s="97"/>
      <c r="L589" s="99"/>
      <c r="M589" s="100"/>
      <c r="N589" s="101"/>
      <c r="O589" s="91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</row>
    <row r="590">
      <c r="A590" s="91"/>
      <c r="B590" s="91"/>
      <c r="C590" s="91"/>
      <c r="D590" s="91"/>
      <c r="E590" s="91"/>
      <c r="F590" s="91"/>
      <c r="G590" s="91"/>
      <c r="H590" s="98"/>
      <c r="I590" s="91"/>
      <c r="J590" s="97"/>
      <c r="K590" s="97"/>
      <c r="L590" s="99"/>
      <c r="M590" s="100"/>
      <c r="N590" s="101"/>
      <c r="O590" s="91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</row>
    <row r="591">
      <c r="A591" s="91"/>
      <c r="B591" s="91"/>
      <c r="C591" s="91"/>
      <c r="D591" s="91"/>
      <c r="E591" s="91"/>
      <c r="F591" s="91"/>
      <c r="G591" s="91"/>
      <c r="H591" s="98"/>
      <c r="I591" s="91"/>
      <c r="J591" s="97"/>
      <c r="K591" s="97"/>
      <c r="L591" s="99"/>
      <c r="M591" s="100"/>
      <c r="N591" s="101"/>
      <c r="O591" s="91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</row>
    <row r="592">
      <c r="A592" s="91"/>
      <c r="B592" s="91"/>
      <c r="C592" s="91"/>
      <c r="D592" s="91"/>
      <c r="E592" s="91"/>
      <c r="F592" s="91"/>
      <c r="G592" s="91"/>
      <c r="H592" s="98"/>
      <c r="I592" s="91"/>
      <c r="J592" s="97"/>
      <c r="K592" s="97"/>
      <c r="L592" s="99"/>
      <c r="M592" s="100"/>
      <c r="N592" s="101"/>
      <c r="O592" s="91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</row>
    <row r="593">
      <c r="A593" s="91"/>
      <c r="B593" s="91"/>
      <c r="C593" s="91"/>
      <c r="D593" s="91"/>
      <c r="E593" s="91"/>
      <c r="F593" s="91"/>
      <c r="G593" s="91"/>
      <c r="H593" s="98"/>
      <c r="I593" s="91"/>
      <c r="J593" s="97"/>
      <c r="K593" s="97"/>
      <c r="L593" s="99"/>
      <c r="M593" s="100"/>
      <c r="N593" s="101"/>
      <c r="O593" s="91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</row>
    <row r="594">
      <c r="A594" s="91"/>
      <c r="B594" s="91"/>
      <c r="C594" s="91"/>
      <c r="D594" s="91"/>
      <c r="E594" s="91"/>
      <c r="F594" s="91"/>
      <c r="G594" s="91"/>
      <c r="H594" s="98"/>
      <c r="I594" s="91"/>
      <c r="J594" s="97"/>
      <c r="K594" s="97"/>
      <c r="L594" s="99"/>
      <c r="M594" s="100"/>
      <c r="N594" s="101"/>
      <c r="O594" s="91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</row>
    <row r="595">
      <c r="A595" s="91"/>
      <c r="B595" s="91"/>
      <c r="C595" s="91"/>
      <c r="D595" s="91"/>
      <c r="E595" s="91"/>
      <c r="F595" s="91"/>
      <c r="G595" s="91"/>
      <c r="H595" s="98"/>
      <c r="I595" s="91"/>
      <c r="J595" s="97"/>
      <c r="K595" s="97"/>
      <c r="L595" s="99"/>
      <c r="M595" s="100"/>
      <c r="N595" s="101"/>
      <c r="O595" s="91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</row>
    <row r="596">
      <c r="A596" s="91"/>
      <c r="B596" s="91"/>
      <c r="C596" s="91"/>
      <c r="D596" s="91"/>
      <c r="E596" s="91"/>
      <c r="F596" s="91"/>
      <c r="G596" s="91"/>
      <c r="H596" s="98"/>
      <c r="I596" s="91"/>
      <c r="J596" s="97"/>
      <c r="K596" s="97"/>
      <c r="L596" s="99"/>
      <c r="M596" s="100"/>
      <c r="N596" s="101"/>
      <c r="O596" s="91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</row>
    <row r="597">
      <c r="A597" s="91"/>
      <c r="B597" s="91"/>
      <c r="C597" s="91"/>
      <c r="D597" s="91"/>
      <c r="E597" s="91"/>
      <c r="F597" s="91"/>
      <c r="G597" s="91"/>
      <c r="H597" s="98"/>
      <c r="I597" s="91"/>
      <c r="J597" s="97"/>
      <c r="K597" s="97"/>
      <c r="L597" s="99"/>
      <c r="M597" s="100"/>
      <c r="N597" s="101"/>
      <c r="O597" s="91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</row>
    <row r="598">
      <c r="A598" s="91"/>
      <c r="B598" s="91"/>
      <c r="C598" s="91"/>
      <c r="D598" s="91"/>
      <c r="E598" s="91"/>
      <c r="F598" s="91"/>
      <c r="G598" s="91"/>
      <c r="H598" s="98"/>
      <c r="I598" s="91"/>
      <c r="J598" s="97"/>
      <c r="K598" s="97"/>
      <c r="L598" s="99"/>
      <c r="M598" s="100"/>
      <c r="N598" s="101"/>
      <c r="O598" s="91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</row>
    <row r="599">
      <c r="A599" s="91"/>
      <c r="B599" s="91"/>
      <c r="C599" s="91"/>
      <c r="D599" s="91"/>
      <c r="E599" s="91"/>
      <c r="F599" s="91"/>
      <c r="G599" s="91"/>
      <c r="H599" s="98"/>
      <c r="I599" s="91"/>
      <c r="J599" s="97"/>
      <c r="K599" s="97"/>
      <c r="L599" s="99"/>
      <c r="M599" s="100"/>
      <c r="N599" s="101"/>
      <c r="O599" s="91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</row>
    <row r="600">
      <c r="A600" s="91"/>
      <c r="B600" s="91"/>
      <c r="C600" s="91"/>
      <c r="D600" s="91"/>
      <c r="E600" s="91"/>
      <c r="F600" s="91"/>
      <c r="G600" s="91"/>
      <c r="H600" s="98"/>
      <c r="I600" s="91"/>
      <c r="J600" s="97"/>
      <c r="K600" s="97"/>
      <c r="L600" s="99"/>
      <c r="M600" s="100"/>
      <c r="N600" s="101"/>
      <c r="O600" s="91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</row>
    <row r="601">
      <c r="A601" s="91"/>
      <c r="B601" s="91"/>
      <c r="C601" s="91"/>
      <c r="D601" s="91"/>
      <c r="E601" s="91"/>
      <c r="F601" s="91"/>
      <c r="G601" s="91"/>
      <c r="H601" s="98"/>
      <c r="I601" s="91"/>
      <c r="J601" s="97"/>
      <c r="K601" s="97"/>
      <c r="L601" s="99"/>
      <c r="M601" s="100"/>
      <c r="N601" s="101"/>
      <c r="O601" s="91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</row>
    <row r="602">
      <c r="A602" s="91"/>
      <c r="B602" s="91"/>
      <c r="C602" s="91"/>
      <c r="D602" s="91"/>
      <c r="E602" s="91"/>
      <c r="F602" s="91"/>
      <c r="G602" s="91"/>
      <c r="H602" s="98"/>
      <c r="I602" s="91"/>
      <c r="J602" s="97"/>
      <c r="K602" s="97"/>
      <c r="L602" s="99"/>
      <c r="M602" s="100"/>
      <c r="N602" s="101"/>
      <c r="O602" s="91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</row>
    <row r="603">
      <c r="A603" s="91"/>
      <c r="B603" s="91"/>
      <c r="C603" s="91"/>
      <c r="D603" s="91"/>
      <c r="E603" s="91"/>
      <c r="F603" s="91"/>
      <c r="G603" s="91"/>
      <c r="H603" s="98"/>
      <c r="I603" s="91"/>
      <c r="J603" s="97"/>
      <c r="K603" s="97"/>
      <c r="L603" s="99"/>
      <c r="M603" s="100"/>
      <c r="N603" s="101"/>
      <c r="O603" s="91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</row>
    <row r="604">
      <c r="A604" s="91"/>
      <c r="B604" s="91"/>
      <c r="C604" s="91"/>
      <c r="D604" s="91"/>
      <c r="E604" s="91"/>
      <c r="F604" s="91"/>
      <c r="G604" s="91"/>
      <c r="H604" s="98"/>
      <c r="I604" s="91"/>
      <c r="J604" s="97"/>
      <c r="K604" s="97"/>
      <c r="L604" s="99"/>
      <c r="M604" s="100"/>
      <c r="N604" s="101"/>
      <c r="O604" s="91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</row>
    <row r="605">
      <c r="A605" s="91"/>
      <c r="B605" s="91"/>
      <c r="C605" s="91"/>
      <c r="D605" s="91"/>
      <c r="E605" s="91"/>
      <c r="F605" s="91"/>
      <c r="G605" s="91"/>
      <c r="H605" s="98"/>
      <c r="I605" s="91"/>
      <c r="J605" s="97"/>
      <c r="K605" s="97"/>
      <c r="L605" s="99"/>
      <c r="M605" s="100"/>
      <c r="N605" s="101"/>
      <c r="O605" s="91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</row>
    <row r="606">
      <c r="A606" s="91"/>
      <c r="B606" s="91"/>
      <c r="C606" s="91"/>
      <c r="D606" s="91"/>
      <c r="E606" s="91"/>
      <c r="F606" s="91"/>
      <c r="G606" s="91"/>
      <c r="H606" s="98"/>
      <c r="I606" s="91"/>
      <c r="J606" s="97"/>
      <c r="K606" s="97"/>
      <c r="L606" s="99"/>
      <c r="M606" s="100"/>
      <c r="N606" s="101"/>
      <c r="O606" s="91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</row>
    <row r="607">
      <c r="A607" s="91"/>
      <c r="B607" s="91"/>
      <c r="C607" s="91"/>
      <c r="D607" s="91"/>
      <c r="E607" s="91"/>
      <c r="F607" s="91"/>
      <c r="G607" s="91"/>
      <c r="H607" s="98"/>
      <c r="I607" s="91"/>
      <c r="J607" s="97"/>
      <c r="K607" s="97"/>
      <c r="L607" s="99"/>
      <c r="M607" s="100"/>
      <c r="N607" s="101"/>
      <c r="O607" s="91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</row>
    <row r="608">
      <c r="A608" s="91"/>
      <c r="B608" s="91"/>
      <c r="C608" s="91"/>
      <c r="D608" s="91"/>
      <c r="E608" s="91"/>
      <c r="F608" s="91"/>
      <c r="G608" s="91"/>
      <c r="H608" s="98"/>
      <c r="I608" s="91"/>
      <c r="J608" s="97"/>
      <c r="K608" s="97"/>
      <c r="L608" s="99"/>
      <c r="M608" s="100"/>
      <c r="N608" s="101"/>
      <c r="O608" s="91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</row>
    <row r="609">
      <c r="A609" s="91"/>
      <c r="B609" s="91"/>
      <c r="C609" s="91"/>
      <c r="D609" s="91"/>
      <c r="E609" s="91"/>
      <c r="F609" s="91"/>
      <c r="G609" s="91"/>
      <c r="H609" s="98"/>
      <c r="I609" s="91"/>
      <c r="J609" s="97"/>
      <c r="K609" s="97"/>
      <c r="L609" s="99"/>
      <c r="M609" s="100"/>
      <c r="N609" s="101"/>
      <c r="O609" s="91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</row>
    <row r="610">
      <c r="A610" s="91"/>
      <c r="B610" s="91"/>
      <c r="C610" s="91"/>
      <c r="D610" s="91"/>
      <c r="E610" s="91"/>
      <c r="F610" s="91"/>
      <c r="G610" s="91"/>
      <c r="H610" s="98"/>
      <c r="I610" s="91"/>
      <c r="J610" s="97"/>
      <c r="K610" s="97"/>
      <c r="L610" s="99"/>
      <c r="M610" s="100"/>
      <c r="N610" s="101"/>
      <c r="O610" s="91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</row>
    <row r="611">
      <c r="A611" s="91"/>
      <c r="B611" s="91"/>
      <c r="C611" s="91"/>
      <c r="D611" s="91"/>
      <c r="E611" s="91"/>
      <c r="F611" s="91"/>
      <c r="G611" s="91"/>
      <c r="H611" s="98"/>
      <c r="I611" s="91"/>
      <c r="J611" s="97"/>
      <c r="K611" s="97"/>
      <c r="L611" s="99"/>
      <c r="M611" s="100"/>
      <c r="N611" s="101"/>
      <c r="O611" s="91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</row>
    <row r="612">
      <c r="A612" s="91"/>
      <c r="B612" s="91"/>
      <c r="C612" s="91"/>
      <c r="D612" s="91"/>
      <c r="E612" s="91"/>
      <c r="F612" s="91"/>
      <c r="G612" s="91"/>
      <c r="H612" s="98"/>
      <c r="I612" s="91"/>
      <c r="J612" s="97"/>
      <c r="K612" s="97"/>
      <c r="L612" s="99"/>
      <c r="M612" s="100"/>
      <c r="N612" s="101"/>
      <c r="O612" s="91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</row>
    <row r="613">
      <c r="A613" s="91"/>
      <c r="B613" s="91"/>
      <c r="C613" s="91"/>
      <c r="D613" s="91"/>
      <c r="E613" s="91"/>
      <c r="F613" s="91"/>
      <c r="G613" s="91"/>
      <c r="H613" s="98"/>
      <c r="I613" s="91"/>
      <c r="J613" s="97"/>
      <c r="K613" s="97"/>
      <c r="L613" s="99"/>
      <c r="M613" s="100"/>
      <c r="N613" s="101"/>
      <c r="O613" s="91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</row>
    <row r="614">
      <c r="A614" s="91"/>
      <c r="B614" s="91"/>
      <c r="C614" s="91"/>
      <c r="D614" s="91"/>
      <c r="E614" s="91"/>
      <c r="F614" s="91"/>
      <c r="G614" s="91"/>
      <c r="H614" s="98"/>
      <c r="I614" s="91"/>
      <c r="J614" s="97"/>
      <c r="K614" s="97"/>
      <c r="L614" s="99"/>
      <c r="M614" s="100"/>
      <c r="N614" s="101"/>
      <c r="O614" s="91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</row>
    <row r="615">
      <c r="A615" s="91"/>
      <c r="B615" s="91"/>
      <c r="C615" s="91"/>
      <c r="D615" s="91"/>
      <c r="E615" s="91"/>
      <c r="F615" s="91"/>
      <c r="G615" s="91"/>
      <c r="H615" s="98"/>
      <c r="I615" s="91"/>
      <c r="J615" s="97"/>
      <c r="K615" s="97"/>
      <c r="L615" s="99"/>
      <c r="M615" s="100"/>
      <c r="N615" s="101"/>
      <c r="O615" s="91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</row>
    <row r="616">
      <c r="A616" s="91"/>
      <c r="B616" s="91"/>
      <c r="C616" s="91"/>
      <c r="D616" s="91"/>
      <c r="E616" s="91"/>
      <c r="F616" s="91"/>
      <c r="G616" s="91"/>
      <c r="H616" s="98"/>
      <c r="I616" s="91"/>
      <c r="J616" s="97"/>
      <c r="K616" s="97"/>
      <c r="L616" s="99"/>
      <c r="M616" s="100"/>
      <c r="N616" s="101"/>
      <c r="O616" s="91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</row>
    <row r="617">
      <c r="A617" s="91"/>
      <c r="B617" s="91"/>
      <c r="C617" s="91"/>
      <c r="D617" s="91"/>
      <c r="E617" s="91"/>
      <c r="F617" s="91"/>
      <c r="G617" s="91"/>
      <c r="H617" s="98"/>
      <c r="I617" s="91"/>
      <c r="J617" s="97"/>
      <c r="K617" s="97"/>
      <c r="L617" s="99"/>
      <c r="M617" s="100"/>
      <c r="N617" s="101"/>
      <c r="O617" s="91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</row>
    <row r="618">
      <c r="A618" s="91"/>
      <c r="B618" s="91"/>
      <c r="C618" s="91"/>
      <c r="D618" s="91"/>
      <c r="E618" s="91"/>
      <c r="F618" s="91"/>
      <c r="G618" s="91"/>
      <c r="H618" s="98"/>
      <c r="I618" s="91"/>
      <c r="J618" s="97"/>
      <c r="K618" s="97"/>
      <c r="L618" s="99"/>
      <c r="M618" s="100"/>
      <c r="N618" s="101"/>
      <c r="O618" s="91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</row>
    <row r="619">
      <c r="A619" s="91"/>
      <c r="B619" s="91"/>
      <c r="C619" s="91"/>
      <c r="D619" s="91"/>
      <c r="E619" s="91"/>
      <c r="F619" s="91"/>
      <c r="G619" s="91"/>
      <c r="H619" s="98"/>
      <c r="I619" s="91"/>
      <c r="J619" s="97"/>
      <c r="K619" s="97"/>
      <c r="L619" s="99"/>
      <c r="M619" s="100"/>
      <c r="N619" s="101"/>
      <c r="O619" s="91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</row>
    <row r="620">
      <c r="A620" s="91"/>
      <c r="B620" s="91"/>
      <c r="C620" s="91"/>
      <c r="D620" s="91"/>
      <c r="E620" s="91"/>
      <c r="F620" s="91"/>
      <c r="G620" s="91"/>
      <c r="H620" s="98"/>
      <c r="I620" s="91"/>
      <c r="J620" s="97"/>
      <c r="K620" s="97"/>
      <c r="L620" s="99"/>
      <c r="M620" s="100"/>
      <c r="N620" s="101"/>
      <c r="O620" s="91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</row>
    <row r="621">
      <c r="A621" s="91"/>
      <c r="B621" s="91"/>
      <c r="C621" s="91"/>
      <c r="D621" s="91"/>
      <c r="E621" s="91"/>
      <c r="F621" s="91"/>
      <c r="G621" s="91"/>
      <c r="H621" s="98"/>
      <c r="I621" s="91"/>
      <c r="J621" s="97"/>
      <c r="K621" s="97"/>
      <c r="L621" s="99"/>
      <c r="M621" s="100"/>
      <c r="N621" s="101"/>
      <c r="O621" s="91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</row>
    <row r="622">
      <c r="A622" s="91"/>
      <c r="B622" s="91"/>
      <c r="C622" s="91"/>
      <c r="D622" s="91"/>
      <c r="E622" s="91"/>
      <c r="F622" s="91"/>
      <c r="G622" s="91"/>
      <c r="H622" s="98"/>
      <c r="I622" s="91"/>
      <c r="J622" s="97"/>
      <c r="K622" s="97"/>
      <c r="L622" s="99"/>
      <c r="M622" s="100"/>
      <c r="N622" s="101"/>
      <c r="O622" s="91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</row>
    <row r="623">
      <c r="A623" s="91"/>
      <c r="B623" s="91"/>
      <c r="C623" s="91"/>
      <c r="D623" s="91"/>
      <c r="E623" s="91"/>
      <c r="F623" s="91"/>
      <c r="G623" s="91"/>
      <c r="H623" s="98"/>
      <c r="I623" s="91"/>
      <c r="J623" s="97"/>
      <c r="K623" s="97"/>
      <c r="L623" s="99"/>
      <c r="M623" s="100"/>
      <c r="N623" s="101"/>
      <c r="O623" s="91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</row>
    <row r="624">
      <c r="A624" s="91"/>
      <c r="B624" s="91"/>
      <c r="C624" s="91"/>
      <c r="D624" s="91"/>
      <c r="E624" s="91"/>
      <c r="F624" s="91"/>
      <c r="G624" s="91"/>
      <c r="H624" s="98"/>
      <c r="I624" s="91"/>
      <c r="J624" s="97"/>
      <c r="K624" s="97"/>
      <c r="L624" s="99"/>
      <c r="M624" s="100"/>
      <c r="N624" s="101"/>
      <c r="O624" s="91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</row>
    <row r="625">
      <c r="A625" s="91"/>
      <c r="B625" s="91"/>
      <c r="C625" s="91"/>
      <c r="D625" s="91"/>
      <c r="E625" s="91"/>
      <c r="F625" s="91"/>
      <c r="G625" s="91"/>
      <c r="H625" s="98"/>
      <c r="I625" s="91"/>
      <c r="J625" s="97"/>
      <c r="K625" s="97"/>
      <c r="L625" s="99"/>
      <c r="M625" s="100"/>
      <c r="N625" s="101"/>
      <c r="O625" s="91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</row>
    <row r="626">
      <c r="A626" s="91"/>
      <c r="B626" s="91"/>
      <c r="C626" s="91"/>
      <c r="D626" s="91"/>
      <c r="E626" s="91"/>
      <c r="F626" s="91"/>
      <c r="G626" s="91"/>
      <c r="H626" s="98"/>
      <c r="I626" s="91"/>
      <c r="J626" s="97"/>
      <c r="K626" s="97"/>
      <c r="L626" s="99"/>
      <c r="M626" s="100"/>
      <c r="N626" s="101"/>
      <c r="O626" s="91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</row>
    <row r="627">
      <c r="A627" s="91"/>
      <c r="B627" s="91"/>
      <c r="C627" s="91"/>
      <c r="D627" s="91"/>
      <c r="E627" s="91"/>
      <c r="F627" s="91"/>
      <c r="G627" s="91"/>
      <c r="H627" s="98"/>
      <c r="I627" s="91"/>
      <c r="J627" s="97"/>
      <c r="K627" s="97"/>
      <c r="L627" s="99"/>
      <c r="M627" s="100"/>
      <c r="N627" s="101"/>
      <c r="O627" s="91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</row>
    <row r="628">
      <c r="A628" s="91"/>
      <c r="B628" s="91"/>
      <c r="C628" s="91"/>
      <c r="D628" s="91"/>
      <c r="E628" s="91"/>
      <c r="F628" s="91"/>
      <c r="G628" s="91"/>
      <c r="H628" s="98"/>
      <c r="I628" s="91"/>
      <c r="J628" s="97"/>
      <c r="K628" s="97"/>
      <c r="L628" s="99"/>
      <c r="M628" s="100"/>
      <c r="N628" s="101"/>
      <c r="O628" s="91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</row>
    <row r="629">
      <c r="A629" s="91"/>
      <c r="B629" s="91"/>
      <c r="C629" s="91"/>
      <c r="D629" s="91"/>
      <c r="E629" s="91"/>
      <c r="F629" s="91"/>
      <c r="G629" s="91"/>
      <c r="H629" s="98"/>
      <c r="I629" s="91"/>
      <c r="J629" s="97"/>
      <c r="K629" s="97"/>
      <c r="L629" s="99"/>
      <c r="M629" s="100"/>
      <c r="N629" s="101"/>
      <c r="O629" s="91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</row>
    <row r="630">
      <c r="A630" s="91"/>
      <c r="B630" s="91"/>
      <c r="C630" s="91"/>
      <c r="D630" s="91"/>
      <c r="E630" s="91"/>
      <c r="F630" s="91"/>
      <c r="G630" s="91"/>
      <c r="H630" s="98"/>
      <c r="I630" s="91"/>
      <c r="J630" s="97"/>
      <c r="K630" s="97"/>
      <c r="L630" s="99"/>
      <c r="M630" s="100"/>
      <c r="N630" s="101"/>
      <c r="O630" s="91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</row>
    <row r="631">
      <c r="A631" s="91"/>
      <c r="B631" s="91"/>
      <c r="C631" s="91"/>
      <c r="D631" s="91"/>
      <c r="E631" s="91"/>
      <c r="F631" s="91"/>
      <c r="G631" s="91"/>
      <c r="H631" s="98"/>
      <c r="I631" s="91"/>
      <c r="J631" s="97"/>
      <c r="K631" s="97"/>
      <c r="L631" s="99"/>
      <c r="M631" s="100"/>
      <c r="N631" s="101"/>
      <c r="O631" s="91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</row>
    <row r="632">
      <c r="A632" s="91"/>
      <c r="B632" s="91"/>
      <c r="C632" s="91"/>
      <c r="D632" s="91"/>
      <c r="E632" s="91"/>
      <c r="F632" s="91"/>
      <c r="G632" s="91"/>
      <c r="H632" s="98"/>
      <c r="I632" s="91"/>
      <c r="J632" s="97"/>
      <c r="K632" s="97"/>
      <c r="L632" s="99"/>
      <c r="M632" s="100"/>
      <c r="N632" s="101"/>
      <c r="O632" s="91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</row>
    <row r="633">
      <c r="A633" s="91"/>
      <c r="B633" s="91"/>
      <c r="C633" s="91"/>
      <c r="D633" s="91"/>
      <c r="E633" s="91"/>
      <c r="F633" s="91"/>
      <c r="G633" s="91"/>
      <c r="H633" s="98"/>
      <c r="I633" s="91"/>
      <c r="J633" s="97"/>
      <c r="K633" s="97"/>
      <c r="L633" s="99"/>
      <c r="M633" s="100"/>
      <c r="N633" s="101"/>
      <c r="O633" s="91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</row>
    <row r="634">
      <c r="A634" s="91"/>
      <c r="B634" s="91"/>
      <c r="C634" s="91"/>
      <c r="D634" s="91"/>
      <c r="E634" s="91"/>
      <c r="F634" s="91"/>
      <c r="G634" s="91"/>
      <c r="H634" s="98"/>
      <c r="I634" s="91"/>
      <c r="J634" s="97"/>
      <c r="K634" s="97"/>
      <c r="L634" s="99"/>
      <c r="M634" s="100"/>
      <c r="N634" s="101"/>
      <c r="O634" s="91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</row>
    <row r="635">
      <c r="A635" s="91"/>
      <c r="B635" s="91"/>
      <c r="C635" s="91"/>
      <c r="D635" s="91"/>
      <c r="E635" s="91"/>
      <c r="F635" s="91"/>
      <c r="G635" s="91"/>
      <c r="H635" s="98"/>
      <c r="I635" s="91"/>
      <c r="J635" s="97"/>
      <c r="K635" s="97"/>
      <c r="L635" s="99"/>
      <c r="M635" s="100"/>
      <c r="N635" s="101"/>
      <c r="O635" s="91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</row>
    <row r="636">
      <c r="A636" s="91"/>
      <c r="B636" s="91"/>
      <c r="C636" s="91"/>
      <c r="D636" s="91"/>
      <c r="E636" s="91"/>
      <c r="F636" s="91"/>
      <c r="G636" s="91"/>
      <c r="H636" s="98"/>
      <c r="I636" s="91"/>
      <c r="J636" s="97"/>
      <c r="K636" s="97"/>
      <c r="L636" s="99"/>
      <c r="M636" s="100"/>
      <c r="N636" s="101"/>
      <c r="O636" s="91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</row>
    <row r="637">
      <c r="A637" s="91"/>
      <c r="B637" s="91"/>
      <c r="C637" s="91"/>
      <c r="D637" s="91"/>
      <c r="E637" s="91"/>
      <c r="F637" s="91"/>
      <c r="G637" s="91"/>
      <c r="H637" s="98"/>
      <c r="I637" s="91"/>
      <c r="J637" s="97"/>
      <c r="K637" s="97"/>
      <c r="L637" s="99"/>
      <c r="M637" s="100"/>
      <c r="N637" s="101"/>
      <c r="O637" s="91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</row>
    <row r="638">
      <c r="A638" s="91"/>
      <c r="B638" s="91"/>
      <c r="C638" s="91"/>
      <c r="D638" s="91"/>
      <c r="E638" s="91"/>
      <c r="F638" s="91"/>
      <c r="G638" s="91"/>
      <c r="H638" s="98"/>
      <c r="I638" s="91"/>
      <c r="J638" s="97"/>
      <c r="K638" s="97"/>
      <c r="L638" s="99"/>
      <c r="M638" s="100"/>
      <c r="N638" s="101"/>
      <c r="O638" s="91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</row>
    <row r="639">
      <c r="A639" s="91"/>
      <c r="B639" s="91"/>
      <c r="C639" s="91"/>
      <c r="D639" s="91"/>
      <c r="E639" s="91"/>
      <c r="F639" s="91"/>
      <c r="G639" s="91"/>
      <c r="H639" s="98"/>
      <c r="I639" s="91"/>
      <c r="J639" s="97"/>
      <c r="K639" s="97"/>
      <c r="L639" s="99"/>
      <c r="M639" s="100"/>
      <c r="N639" s="101"/>
      <c r="O639" s="91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</row>
    <row r="640">
      <c r="A640" s="91"/>
      <c r="B640" s="91"/>
      <c r="C640" s="91"/>
      <c r="D640" s="91"/>
      <c r="E640" s="91"/>
      <c r="F640" s="91"/>
      <c r="G640" s="91"/>
      <c r="H640" s="98"/>
      <c r="I640" s="91"/>
      <c r="J640" s="97"/>
      <c r="K640" s="97"/>
      <c r="L640" s="99"/>
      <c r="M640" s="100"/>
      <c r="N640" s="101"/>
      <c r="O640" s="91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</row>
    <row r="641">
      <c r="A641" s="91"/>
      <c r="B641" s="91"/>
      <c r="C641" s="91"/>
      <c r="D641" s="91"/>
      <c r="E641" s="91"/>
      <c r="F641" s="91"/>
      <c r="G641" s="91"/>
      <c r="H641" s="98"/>
      <c r="I641" s="91"/>
      <c r="J641" s="97"/>
      <c r="K641" s="97"/>
      <c r="L641" s="99"/>
      <c r="M641" s="100"/>
      <c r="N641" s="101"/>
      <c r="O641" s="91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</row>
    <row r="642">
      <c r="A642" s="91"/>
      <c r="B642" s="91"/>
      <c r="C642" s="91"/>
      <c r="D642" s="91"/>
      <c r="E642" s="91"/>
      <c r="F642" s="91"/>
      <c r="G642" s="91"/>
      <c r="H642" s="98"/>
      <c r="I642" s="91"/>
      <c r="J642" s="97"/>
      <c r="K642" s="97"/>
      <c r="L642" s="99"/>
      <c r="M642" s="100"/>
      <c r="N642" s="101"/>
      <c r="O642" s="91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</row>
    <row r="643">
      <c r="A643" s="91"/>
      <c r="B643" s="91"/>
      <c r="C643" s="91"/>
      <c r="D643" s="91"/>
      <c r="E643" s="91"/>
      <c r="F643" s="91"/>
      <c r="G643" s="91"/>
      <c r="H643" s="98"/>
      <c r="I643" s="91"/>
      <c r="J643" s="97"/>
      <c r="K643" s="97"/>
      <c r="L643" s="99"/>
      <c r="M643" s="100"/>
      <c r="N643" s="101"/>
      <c r="O643" s="91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</row>
    <row r="644">
      <c r="A644" s="91"/>
      <c r="B644" s="91"/>
      <c r="C644" s="91"/>
      <c r="D644" s="91"/>
      <c r="E644" s="91"/>
      <c r="F644" s="91"/>
      <c r="G644" s="91"/>
      <c r="H644" s="98"/>
      <c r="I644" s="91"/>
      <c r="J644" s="97"/>
      <c r="K644" s="97"/>
      <c r="L644" s="99"/>
      <c r="M644" s="100"/>
      <c r="N644" s="101"/>
      <c r="O644" s="91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</row>
    <row r="645">
      <c r="A645" s="91"/>
      <c r="B645" s="91"/>
      <c r="C645" s="91"/>
      <c r="D645" s="91"/>
      <c r="E645" s="91"/>
      <c r="F645" s="91"/>
      <c r="G645" s="91"/>
      <c r="H645" s="98"/>
      <c r="I645" s="91"/>
      <c r="J645" s="97"/>
      <c r="K645" s="97"/>
      <c r="L645" s="99"/>
      <c r="M645" s="100"/>
      <c r="N645" s="101"/>
      <c r="O645" s="91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</row>
    <row r="646">
      <c r="A646" s="91"/>
      <c r="B646" s="91"/>
      <c r="C646" s="91"/>
      <c r="D646" s="91"/>
      <c r="E646" s="91"/>
      <c r="F646" s="91"/>
      <c r="G646" s="91"/>
      <c r="H646" s="98"/>
      <c r="I646" s="91"/>
      <c r="J646" s="97"/>
      <c r="K646" s="97"/>
      <c r="L646" s="99"/>
      <c r="M646" s="100"/>
      <c r="N646" s="101"/>
      <c r="O646" s="91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</row>
    <row r="647">
      <c r="A647" s="91"/>
      <c r="B647" s="91"/>
      <c r="C647" s="91"/>
      <c r="D647" s="91"/>
      <c r="E647" s="91"/>
      <c r="F647" s="91"/>
      <c r="G647" s="91"/>
      <c r="H647" s="98"/>
      <c r="I647" s="91"/>
      <c r="J647" s="97"/>
      <c r="K647" s="97"/>
      <c r="L647" s="99"/>
      <c r="M647" s="100"/>
      <c r="N647" s="101"/>
      <c r="O647" s="91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</row>
    <row r="648">
      <c r="A648" s="91"/>
      <c r="B648" s="91"/>
      <c r="C648" s="91"/>
      <c r="D648" s="91"/>
      <c r="E648" s="91"/>
      <c r="F648" s="91"/>
      <c r="G648" s="91"/>
      <c r="H648" s="98"/>
      <c r="I648" s="91"/>
      <c r="J648" s="97"/>
      <c r="K648" s="97"/>
      <c r="L648" s="99"/>
      <c r="M648" s="100"/>
      <c r="N648" s="101"/>
      <c r="O648" s="91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</row>
    <row r="649">
      <c r="A649" s="91"/>
      <c r="B649" s="91"/>
      <c r="C649" s="91"/>
      <c r="D649" s="91"/>
      <c r="E649" s="91"/>
      <c r="F649" s="91"/>
      <c r="G649" s="91"/>
      <c r="H649" s="98"/>
      <c r="I649" s="91"/>
      <c r="J649" s="97"/>
      <c r="K649" s="97"/>
      <c r="L649" s="99"/>
      <c r="M649" s="100"/>
      <c r="N649" s="101"/>
      <c r="O649" s="91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</row>
    <row r="650">
      <c r="A650" s="91"/>
      <c r="B650" s="91"/>
      <c r="C650" s="91"/>
      <c r="D650" s="91"/>
      <c r="E650" s="91"/>
      <c r="F650" s="91"/>
      <c r="G650" s="91"/>
      <c r="H650" s="98"/>
      <c r="I650" s="91"/>
      <c r="J650" s="97"/>
      <c r="K650" s="97"/>
      <c r="L650" s="99"/>
      <c r="M650" s="100"/>
      <c r="N650" s="101"/>
      <c r="O650" s="91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</row>
    <row r="651">
      <c r="A651" s="91"/>
      <c r="B651" s="91"/>
      <c r="C651" s="91"/>
      <c r="D651" s="91"/>
      <c r="E651" s="91"/>
      <c r="F651" s="91"/>
      <c r="G651" s="91"/>
      <c r="H651" s="98"/>
      <c r="I651" s="91"/>
      <c r="J651" s="97"/>
      <c r="K651" s="97"/>
      <c r="L651" s="99"/>
      <c r="M651" s="100"/>
      <c r="N651" s="101"/>
      <c r="O651" s="91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</row>
    <row r="652">
      <c r="A652" s="91"/>
      <c r="B652" s="91"/>
      <c r="C652" s="91"/>
      <c r="D652" s="91"/>
      <c r="E652" s="91"/>
      <c r="F652" s="91"/>
      <c r="G652" s="91"/>
      <c r="H652" s="98"/>
      <c r="I652" s="91"/>
      <c r="J652" s="97"/>
      <c r="K652" s="97"/>
      <c r="L652" s="99"/>
      <c r="M652" s="100"/>
      <c r="N652" s="101"/>
      <c r="O652" s="91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</row>
    <row r="653">
      <c r="A653" s="91"/>
      <c r="B653" s="91"/>
      <c r="C653" s="91"/>
      <c r="D653" s="91"/>
      <c r="E653" s="91"/>
      <c r="F653" s="91"/>
      <c r="G653" s="91"/>
      <c r="H653" s="98"/>
      <c r="I653" s="91"/>
      <c r="J653" s="97"/>
      <c r="K653" s="97"/>
      <c r="L653" s="99"/>
      <c r="M653" s="100"/>
      <c r="N653" s="101"/>
      <c r="O653" s="91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</row>
    <row r="654">
      <c r="A654" s="91"/>
      <c r="B654" s="91"/>
      <c r="C654" s="91"/>
      <c r="D654" s="91"/>
      <c r="E654" s="91"/>
      <c r="F654" s="91"/>
      <c r="G654" s="91"/>
      <c r="H654" s="98"/>
      <c r="I654" s="91"/>
      <c r="J654" s="97"/>
      <c r="K654" s="97"/>
      <c r="L654" s="99"/>
      <c r="M654" s="100"/>
      <c r="N654" s="101"/>
      <c r="O654" s="91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</row>
    <row r="655">
      <c r="A655" s="91"/>
      <c r="B655" s="91"/>
      <c r="C655" s="91"/>
      <c r="D655" s="91"/>
      <c r="E655" s="91"/>
      <c r="F655" s="91"/>
      <c r="G655" s="91"/>
      <c r="H655" s="98"/>
      <c r="I655" s="91"/>
      <c r="J655" s="97"/>
      <c r="K655" s="97"/>
      <c r="L655" s="99"/>
      <c r="M655" s="100"/>
      <c r="N655" s="101"/>
      <c r="O655" s="91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</row>
    <row r="656">
      <c r="A656" s="91"/>
      <c r="B656" s="91"/>
      <c r="C656" s="91"/>
      <c r="D656" s="91"/>
      <c r="E656" s="91"/>
      <c r="F656" s="91"/>
      <c r="G656" s="91"/>
      <c r="H656" s="98"/>
      <c r="I656" s="91"/>
      <c r="J656" s="97"/>
      <c r="K656" s="97"/>
      <c r="L656" s="99"/>
      <c r="M656" s="100"/>
      <c r="N656" s="101"/>
      <c r="O656" s="91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</row>
    <row r="657">
      <c r="A657" s="91"/>
      <c r="B657" s="91"/>
      <c r="C657" s="91"/>
      <c r="D657" s="91"/>
      <c r="E657" s="91"/>
      <c r="F657" s="91"/>
      <c r="G657" s="91"/>
      <c r="H657" s="98"/>
      <c r="I657" s="91"/>
      <c r="J657" s="97"/>
      <c r="K657" s="97"/>
      <c r="L657" s="99"/>
      <c r="M657" s="100"/>
      <c r="N657" s="101"/>
      <c r="O657" s="91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</row>
    <row r="658">
      <c r="A658" s="91"/>
      <c r="B658" s="91"/>
      <c r="C658" s="91"/>
      <c r="D658" s="91"/>
      <c r="E658" s="91"/>
      <c r="F658" s="91"/>
      <c r="G658" s="91"/>
      <c r="H658" s="98"/>
      <c r="I658" s="91"/>
      <c r="J658" s="97"/>
      <c r="K658" s="97"/>
      <c r="L658" s="99"/>
      <c r="M658" s="100"/>
      <c r="N658" s="101"/>
      <c r="O658" s="91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</row>
    <row r="659">
      <c r="A659" s="91"/>
      <c r="B659" s="91"/>
      <c r="C659" s="91"/>
      <c r="D659" s="91"/>
      <c r="E659" s="91"/>
      <c r="F659" s="91"/>
      <c r="G659" s="91"/>
      <c r="H659" s="98"/>
      <c r="I659" s="91"/>
      <c r="J659" s="97"/>
      <c r="K659" s="97"/>
      <c r="L659" s="99"/>
      <c r="M659" s="100"/>
      <c r="N659" s="101"/>
      <c r="O659" s="91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</row>
    <row r="660">
      <c r="A660" s="91"/>
      <c r="B660" s="91"/>
      <c r="C660" s="91"/>
      <c r="D660" s="91"/>
      <c r="E660" s="91"/>
      <c r="F660" s="91"/>
      <c r="G660" s="91"/>
      <c r="H660" s="98"/>
      <c r="I660" s="91"/>
      <c r="J660" s="97"/>
      <c r="K660" s="97"/>
      <c r="L660" s="99"/>
      <c r="M660" s="100"/>
      <c r="N660" s="101"/>
      <c r="O660" s="91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</row>
    <row r="661">
      <c r="A661" s="91"/>
      <c r="B661" s="91"/>
      <c r="C661" s="91"/>
      <c r="D661" s="91"/>
      <c r="E661" s="91"/>
      <c r="F661" s="91"/>
      <c r="G661" s="91"/>
      <c r="H661" s="98"/>
      <c r="I661" s="91"/>
      <c r="J661" s="97"/>
      <c r="K661" s="97"/>
      <c r="L661" s="99"/>
      <c r="M661" s="100"/>
      <c r="N661" s="101"/>
      <c r="O661" s="91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</row>
    <row r="662">
      <c r="A662" s="91"/>
      <c r="B662" s="91"/>
      <c r="C662" s="91"/>
      <c r="D662" s="91"/>
      <c r="E662" s="91"/>
      <c r="F662" s="91"/>
      <c r="G662" s="91"/>
      <c r="H662" s="98"/>
      <c r="I662" s="91"/>
      <c r="J662" s="97"/>
      <c r="K662" s="97"/>
      <c r="L662" s="99"/>
      <c r="M662" s="100"/>
      <c r="N662" s="101"/>
      <c r="O662" s="91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</row>
    <row r="663">
      <c r="A663" s="91"/>
      <c r="B663" s="91"/>
      <c r="C663" s="91"/>
      <c r="D663" s="91"/>
      <c r="E663" s="91"/>
      <c r="F663" s="91"/>
      <c r="G663" s="91"/>
      <c r="H663" s="98"/>
      <c r="I663" s="91"/>
      <c r="J663" s="97"/>
      <c r="K663" s="97"/>
      <c r="L663" s="99"/>
      <c r="M663" s="100"/>
      <c r="N663" s="101"/>
      <c r="O663" s="91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</row>
    <row r="664">
      <c r="A664" s="91"/>
      <c r="B664" s="91"/>
      <c r="C664" s="91"/>
      <c r="D664" s="91"/>
      <c r="E664" s="91"/>
      <c r="F664" s="91"/>
      <c r="G664" s="91"/>
      <c r="H664" s="98"/>
      <c r="I664" s="91"/>
      <c r="J664" s="97"/>
      <c r="K664" s="97"/>
      <c r="L664" s="99"/>
      <c r="M664" s="100"/>
      <c r="N664" s="101"/>
      <c r="O664" s="91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</row>
    <row r="665">
      <c r="A665" s="91"/>
      <c r="B665" s="91"/>
      <c r="C665" s="91"/>
      <c r="D665" s="91"/>
      <c r="E665" s="91"/>
      <c r="F665" s="91"/>
      <c r="G665" s="91"/>
      <c r="H665" s="98"/>
      <c r="I665" s="91"/>
      <c r="J665" s="97"/>
      <c r="K665" s="97"/>
      <c r="L665" s="99"/>
      <c r="M665" s="100"/>
      <c r="N665" s="101"/>
      <c r="O665" s="91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</row>
    <row r="666">
      <c r="A666" s="91"/>
      <c r="B666" s="91"/>
      <c r="C666" s="91"/>
      <c r="D666" s="91"/>
      <c r="E666" s="91"/>
      <c r="F666" s="91"/>
      <c r="G666" s="91"/>
      <c r="H666" s="98"/>
      <c r="I666" s="91"/>
      <c r="J666" s="97"/>
      <c r="K666" s="97"/>
      <c r="L666" s="99"/>
      <c r="M666" s="100"/>
      <c r="N666" s="101"/>
      <c r="O666" s="91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</row>
    <row r="667">
      <c r="A667" s="91"/>
      <c r="B667" s="91"/>
      <c r="C667" s="91"/>
      <c r="D667" s="91"/>
      <c r="E667" s="91"/>
      <c r="F667" s="91"/>
      <c r="G667" s="91"/>
      <c r="H667" s="98"/>
      <c r="I667" s="91"/>
      <c r="J667" s="97"/>
      <c r="K667" s="97"/>
      <c r="L667" s="99"/>
      <c r="M667" s="100"/>
      <c r="N667" s="101"/>
      <c r="O667" s="91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</row>
    <row r="668">
      <c r="A668" s="91"/>
      <c r="B668" s="91"/>
      <c r="C668" s="91"/>
      <c r="D668" s="91"/>
      <c r="E668" s="91"/>
      <c r="F668" s="91"/>
      <c r="G668" s="91"/>
      <c r="H668" s="98"/>
      <c r="I668" s="91"/>
      <c r="J668" s="97"/>
      <c r="K668" s="97"/>
      <c r="L668" s="99"/>
      <c r="M668" s="100"/>
      <c r="N668" s="101"/>
      <c r="O668" s="91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</row>
    <row r="669">
      <c r="A669" s="91"/>
      <c r="B669" s="91"/>
      <c r="C669" s="91"/>
      <c r="D669" s="91"/>
      <c r="E669" s="91"/>
      <c r="F669" s="91"/>
      <c r="G669" s="91"/>
      <c r="H669" s="98"/>
      <c r="I669" s="91"/>
      <c r="J669" s="97"/>
      <c r="K669" s="97"/>
      <c r="L669" s="99"/>
      <c r="M669" s="100"/>
      <c r="N669" s="101"/>
      <c r="O669" s="91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</row>
    <row r="670">
      <c r="A670" s="91"/>
      <c r="B670" s="91"/>
      <c r="C670" s="91"/>
      <c r="D670" s="91"/>
      <c r="E670" s="91"/>
      <c r="F670" s="91"/>
      <c r="G670" s="91"/>
      <c r="H670" s="98"/>
      <c r="I670" s="91"/>
      <c r="J670" s="97"/>
      <c r="K670" s="97"/>
      <c r="L670" s="99"/>
      <c r="M670" s="100"/>
      <c r="N670" s="101"/>
      <c r="O670" s="91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</row>
    <row r="671">
      <c r="A671" s="91"/>
      <c r="B671" s="91"/>
      <c r="C671" s="91"/>
      <c r="D671" s="91"/>
      <c r="E671" s="91"/>
      <c r="F671" s="91"/>
      <c r="G671" s="91"/>
      <c r="H671" s="98"/>
      <c r="I671" s="91"/>
      <c r="J671" s="97"/>
      <c r="K671" s="97"/>
      <c r="L671" s="99"/>
      <c r="M671" s="100"/>
      <c r="N671" s="101"/>
      <c r="O671" s="91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</row>
    <row r="672">
      <c r="A672" s="91"/>
      <c r="B672" s="91"/>
      <c r="C672" s="91"/>
      <c r="D672" s="91"/>
      <c r="E672" s="91"/>
      <c r="F672" s="91"/>
      <c r="G672" s="91"/>
      <c r="H672" s="98"/>
      <c r="I672" s="91"/>
      <c r="J672" s="97"/>
      <c r="K672" s="97"/>
      <c r="L672" s="99"/>
      <c r="M672" s="100"/>
      <c r="N672" s="101"/>
      <c r="O672" s="91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</row>
    <row r="673">
      <c r="A673" s="91"/>
      <c r="B673" s="91"/>
      <c r="C673" s="91"/>
      <c r="D673" s="91"/>
      <c r="E673" s="91"/>
      <c r="F673" s="91"/>
      <c r="G673" s="91"/>
      <c r="H673" s="98"/>
      <c r="I673" s="91"/>
      <c r="J673" s="97"/>
      <c r="K673" s="97"/>
      <c r="L673" s="99"/>
      <c r="M673" s="100"/>
      <c r="N673" s="101"/>
      <c r="O673" s="91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</row>
    <row r="674">
      <c r="A674" s="91"/>
      <c r="B674" s="91"/>
      <c r="C674" s="91"/>
      <c r="D674" s="91"/>
      <c r="E674" s="91"/>
      <c r="F674" s="91"/>
      <c r="G674" s="91"/>
      <c r="H674" s="98"/>
      <c r="I674" s="91"/>
      <c r="J674" s="97"/>
      <c r="K674" s="97"/>
      <c r="L674" s="99"/>
      <c r="M674" s="100"/>
      <c r="N674" s="101"/>
      <c r="O674" s="91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</row>
    <row r="675">
      <c r="A675" s="91"/>
      <c r="B675" s="91"/>
      <c r="C675" s="91"/>
      <c r="D675" s="91"/>
      <c r="E675" s="91"/>
      <c r="F675" s="91"/>
      <c r="G675" s="91"/>
      <c r="H675" s="98"/>
      <c r="I675" s="91"/>
      <c r="J675" s="97"/>
      <c r="K675" s="97"/>
      <c r="L675" s="99"/>
      <c r="M675" s="100"/>
      <c r="N675" s="101"/>
      <c r="O675" s="91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</row>
    <row r="676">
      <c r="A676" s="91"/>
      <c r="B676" s="91"/>
      <c r="C676" s="91"/>
      <c r="D676" s="91"/>
      <c r="E676" s="91"/>
      <c r="F676" s="91"/>
      <c r="G676" s="91"/>
      <c r="H676" s="98"/>
      <c r="I676" s="91"/>
      <c r="J676" s="97"/>
      <c r="K676" s="97"/>
      <c r="L676" s="99"/>
      <c r="M676" s="100"/>
      <c r="N676" s="101"/>
      <c r="O676" s="91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</row>
    <row r="677">
      <c r="A677" s="91"/>
      <c r="B677" s="91"/>
      <c r="C677" s="91"/>
      <c r="D677" s="91"/>
      <c r="E677" s="91"/>
      <c r="F677" s="91"/>
      <c r="G677" s="91"/>
      <c r="H677" s="98"/>
      <c r="I677" s="91"/>
      <c r="J677" s="97"/>
      <c r="K677" s="97"/>
      <c r="L677" s="99"/>
      <c r="M677" s="100"/>
      <c r="N677" s="101"/>
      <c r="O677" s="91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</row>
    <row r="678">
      <c r="A678" s="91"/>
      <c r="B678" s="91"/>
      <c r="C678" s="91"/>
      <c r="D678" s="91"/>
      <c r="E678" s="91"/>
      <c r="F678" s="91"/>
      <c r="G678" s="91"/>
      <c r="H678" s="98"/>
      <c r="I678" s="91"/>
      <c r="J678" s="97"/>
      <c r="K678" s="97"/>
      <c r="L678" s="99"/>
      <c r="M678" s="100"/>
      <c r="N678" s="101"/>
      <c r="O678" s="91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</row>
    <row r="679">
      <c r="A679" s="91"/>
      <c r="B679" s="91"/>
      <c r="C679" s="91"/>
      <c r="D679" s="91"/>
      <c r="E679" s="91"/>
      <c r="F679" s="91"/>
      <c r="G679" s="91"/>
      <c r="H679" s="98"/>
      <c r="I679" s="91"/>
      <c r="J679" s="97"/>
      <c r="K679" s="97"/>
      <c r="L679" s="99"/>
      <c r="M679" s="100"/>
      <c r="N679" s="101"/>
      <c r="O679" s="91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</row>
    <row r="680">
      <c r="A680" s="91"/>
      <c r="B680" s="91"/>
      <c r="C680" s="91"/>
      <c r="D680" s="91"/>
      <c r="E680" s="91"/>
      <c r="F680" s="91"/>
      <c r="G680" s="91"/>
      <c r="H680" s="98"/>
      <c r="I680" s="91"/>
      <c r="J680" s="97"/>
      <c r="K680" s="97"/>
      <c r="L680" s="99"/>
      <c r="M680" s="100"/>
      <c r="N680" s="101"/>
      <c r="O680" s="91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</row>
    <row r="681">
      <c r="A681" s="91"/>
      <c r="B681" s="91"/>
      <c r="C681" s="91"/>
      <c r="D681" s="91"/>
      <c r="E681" s="91"/>
      <c r="F681" s="91"/>
      <c r="G681" s="91"/>
      <c r="H681" s="98"/>
      <c r="I681" s="91"/>
      <c r="J681" s="97"/>
      <c r="K681" s="97"/>
      <c r="L681" s="99"/>
      <c r="M681" s="100"/>
      <c r="N681" s="101"/>
      <c r="O681" s="91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</row>
    <row r="682">
      <c r="A682" s="91"/>
      <c r="B682" s="91"/>
      <c r="C682" s="91"/>
      <c r="D682" s="91"/>
      <c r="E682" s="91"/>
      <c r="F682" s="91"/>
      <c r="G682" s="91"/>
      <c r="H682" s="98"/>
      <c r="I682" s="91"/>
      <c r="J682" s="97"/>
      <c r="K682" s="97"/>
      <c r="L682" s="99"/>
      <c r="M682" s="100"/>
      <c r="N682" s="101"/>
      <c r="O682" s="91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</row>
    <row r="683">
      <c r="A683" s="91"/>
      <c r="B683" s="91"/>
      <c r="C683" s="91"/>
      <c r="D683" s="91"/>
      <c r="E683" s="91"/>
      <c r="F683" s="91"/>
      <c r="G683" s="91"/>
      <c r="H683" s="98"/>
      <c r="I683" s="91"/>
      <c r="J683" s="97"/>
      <c r="K683" s="97"/>
      <c r="L683" s="99"/>
      <c r="M683" s="100"/>
      <c r="N683" s="101"/>
      <c r="O683" s="91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</row>
    <row r="684">
      <c r="A684" s="91"/>
      <c r="B684" s="91"/>
      <c r="C684" s="91"/>
      <c r="D684" s="91"/>
      <c r="E684" s="91"/>
      <c r="F684" s="91"/>
      <c r="G684" s="91"/>
      <c r="H684" s="98"/>
      <c r="I684" s="91"/>
      <c r="J684" s="97"/>
      <c r="K684" s="97"/>
      <c r="L684" s="99"/>
      <c r="M684" s="100"/>
      <c r="N684" s="101"/>
      <c r="O684" s="91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</row>
    <row r="685">
      <c r="A685" s="91"/>
      <c r="B685" s="91"/>
      <c r="C685" s="91"/>
      <c r="D685" s="91"/>
      <c r="E685" s="91"/>
      <c r="F685" s="91"/>
      <c r="G685" s="91"/>
      <c r="H685" s="98"/>
      <c r="I685" s="91"/>
      <c r="J685" s="97"/>
      <c r="K685" s="97"/>
      <c r="L685" s="99"/>
      <c r="M685" s="100"/>
      <c r="N685" s="101"/>
      <c r="O685" s="91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</row>
    <row r="686">
      <c r="A686" s="91"/>
      <c r="B686" s="91"/>
      <c r="C686" s="91"/>
      <c r="D686" s="91"/>
      <c r="E686" s="91"/>
      <c r="F686" s="91"/>
      <c r="G686" s="91"/>
      <c r="H686" s="98"/>
      <c r="I686" s="91"/>
      <c r="J686" s="97"/>
      <c r="K686" s="97"/>
      <c r="L686" s="99"/>
      <c r="M686" s="100"/>
      <c r="N686" s="101"/>
      <c r="O686" s="91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</row>
    <row r="687">
      <c r="A687" s="91"/>
      <c r="B687" s="91"/>
      <c r="C687" s="91"/>
      <c r="D687" s="91"/>
      <c r="E687" s="91"/>
      <c r="F687" s="91"/>
      <c r="G687" s="91"/>
      <c r="H687" s="98"/>
      <c r="I687" s="91"/>
      <c r="J687" s="97"/>
      <c r="K687" s="97"/>
      <c r="L687" s="99"/>
      <c r="M687" s="100"/>
      <c r="N687" s="101"/>
      <c r="O687" s="91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</row>
    <row r="688">
      <c r="A688" s="91"/>
      <c r="B688" s="91"/>
      <c r="C688" s="91"/>
      <c r="D688" s="91"/>
      <c r="E688" s="91"/>
      <c r="F688" s="91"/>
      <c r="G688" s="91"/>
      <c r="H688" s="98"/>
      <c r="I688" s="91"/>
      <c r="J688" s="97"/>
      <c r="K688" s="97"/>
      <c r="L688" s="99"/>
      <c r="M688" s="100"/>
      <c r="N688" s="101"/>
      <c r="O688" s="91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</row>
    <row r="689">
      <c r="A689" s="91"/>
      <c r="B689" s="91"/>
      <c r="C689" s="91"/>
      <c r="D689" s="91"/>
      <c r="E689" s="91"/>
      <c r="F689" s="91"/>
      <c r="G689" s="91"/>
      <c r="H689" s="98"/>
      <c r="I689" s="91"/>
      <c r="J689" s="97"/>
      <c r="K689" s="97"/>
      <c r="L689" s="99"/>
      <c r="M689" s="100"/>
      <c r="N689" s="101"/>
      <c r="O689" s="91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</row>
    <row r="690">
      <c r="A690" s="91"/>
      <c r="B690" s="91"/>
      <c r="C690" s="91"/>
      <c r="D690" s="91"/>
      <c r="E690" s="91"/>
      <c r="F690" s="91"/>
      <c r="G690" s="91"/>
      <c r="H690" s="98"/>
      <c r="I690" s="91"/>
      <c r="J690" s="97"/>
      <c r="K690" s="97"/>
      <c r="L690" s="99"/>
      <c r="M690" s="100"/>
      <c r="N690" s="101"/>
      <c r="O690" s="91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</row>
    <row r="691">
      <c r="A691" s="91"/>
      <c r="B691" s="91"/>
      <c r="C691" s="91"/>
      <c r="D691" s="91"/>
      <c r="E691" s="91"/>
      <c r="F691" s="91"/>
      <c r="G691" s="91"/>
      <c r="H691" s="98"/>
      <c r="I691" s="91"/>
      <c r="J691" s="97"/>
      <c r="K691" s="97"/>
      <c r="L691" s="99"/>
      <c r="M691" s="100"/>
      <c r="N691" s="101"/>
      <c r="O691" s="91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</row>
    <row r="692">
      <c r="A692" s="91"/>
      <c r="B692" s="91"/>
      <c r="C692" s="91"/>
      <c r="D692" s="91"/>
      <c r="E692" s="91"/>
      <c r="F692" s="91"/>
      <c r="G692" s="91"/>
      <c r="H692" s="98"/>
      <c r="I692" s="91"/>
      <c r="J692" s="97"/>
      <c r="K692" s="97"/>
      <c r="L692" s="99"/>
      <c r="M692" s="100"/>
      <c r="N692" s="101"/>
      <c r="O692" s="91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</row>
    <row r="693">
      <c r="A693" s="91"/>
      <c r="B693" s="91"/>
      <c r="C693" s="91"/>
      <c r="D693" s="91"/>
      <c r="E693" s="91"/>
      <c r="F693" s="91"/>
      <c r="G693" s="91"/>
      <c r="H693" s="98"/>
      <c r="I693" s="91"/>
      <c r="J693" s="97"/>
      <c r="K693" s="97"/>
      <c r="L693" s="99"/>
      <c r="M693" s="100"/>
      <c r="N693" s="101"/>
      <c r="O693" s="91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</row>
    <row r="694">
      <c r="A694" s="91"/>
      <c r="B694" s="91"/>
      <c r="C694" s="91"/>
      <c r="D694" s="91"/>
      <c r="E694" s="91"/>
      <c r="F694" s="91"/>
      <c r="G694" s="91"/>
      <c r="H694" s="98"/>
      <c r="I694" s="91"/>
      <c r="J694" s="97"/>
      <c r="K694" s="97"/>
      <c r="L694" s="99"/>
      <c r="M694" s="100"/>
      <c r="N694" s="101"/>
      <c r="O694" s="91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</row>
    <row r="695">
      <c r="A695" s="91"/>
      <c r="B695" s="91"/>
      <c r="C695" s="91"/>
      <c r="D695" s="91"/>
      <c r="E695" s="91"/>
      <c r="F695" s="91"/>
      <c r="G695" s="91"/>
      <c r="H695" s="98"/>
      <c r="I695" s="91"/>
      <c r="J695" s="97"/>
      <c r="K695" s="97"/>
      <c r="L695" s="99"/>
      <c r="M695" s="100"/>
      <c r="N695" s="101"/>
      <c r="O695" s="91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</row>
    <row r="696">
      <c r="A696" s="91"/>
      <c r="B696" s="91"/>
      <c r="C696" s="91"/>
      <c r="D696" s="91"/>
      <c r="E696" s="91"/>
      <c r="F696" s="91"/>
      <c r="G696" s="91"/>
      <c r="H696" s="98"/>
      <c r="I696" s="91"/>
      <c r="J696" s="97"/>
      <c r="K696" s="97"/>
      <c r="L696" s="99"/>
      <c r="M696" s="100"/>
      <c r="N696" s="101"/>
      <c r="O696" s="91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</row>
    <row r="697">
      <c r="A697" s="91"/>
      <c r="B697" s="91"/>
      <c r="C697" s="91"/>
      <c r="D697" s="91"/>
      <c r="E697" s="91"/>
      <c r="F697" s="91"/>
      <c r="G697" s="91"/>
      <c r="H697" s="98"/>
      <c r="I697" s="91"/>
      <c r="J697" s="97"/>
      <c r="K697" s="97"/>
      <c r="L697" s="99"/>
      <c r="M697" s="100"/>
      <c r="N697" s="101"/>
      <c r="O697" s="91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</row>
    <row r="698">
      <c r="A698" s="91"/>
      <c r="B698" s="91"/>
      <c r="C698" s="91"/>
      <c r="D698" s="91"/>
      <c r="E698" s="91"/>
      <c r="F698" s="91"/>
      <c r="G698" s="91"/>
      <c r="H698" s="98"/>
      <c r="I698" s="91"/>
      <c r="J698" s="97"/>
      <c r="K698" s="97"/>
      <c r="L698" s="99"/>
      <c r="M698" s="100"/>
      <c r="N698" s="101"/>
      <c r="O698" s="91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</row>
    <row r="699">
      <c r="A699" s="91"/>
      <c r="B699" s="91"/>
      <c r="C699" s="91"/>
      <c r="D699" s="91"/>
      <c r="E699" s="91"/>
      <c r="F699" s="91"/>
      <c r="G699" s="91"/>
      <c r="H699" s="98"/>
      <c r="I699" s="91"/>
      <c r="J699" s="97"/>
      <c r="K699" s="97"/>
      <c r="L699" s="99"/>
      <c r="M699" s="100"/>
      <c r="N699" s="101"/>
      <c r="O699" s="91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</row>
    <row r="700">
      <c r="A700" s="91"/>
      <c r="B700" s="91"/>
      <c r="C700" s="91"/>
      <c r="D700" s="91"/>
      <c r="E700" s="91"/>
      <c r="F700" s="91"/>
      <c r="G700" s="91"/>
      <c r="H700" s="98"/>
      <c r="I700" s="91"/>
      <c r="J700" s="97"/>
      <c r="K700" s="97"/>
      <c r="L700" s="99"/>
      <c r="M700" s="100"/>
      <c r="N700" s="101"/>
      <c r="O700" s="91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</row>
    <row r="701">
      <c r="A701" s="91"/>
      <c r="B701" s="91"/>
      <c r="C701" s="91"/>
      <c r="D701" s="91"/>
      <c r="E701" s="91"/>
      <c r="F701" s="91"/>
      <c r="G701" s="91"/>
      <c r="H701" s="98"/>
      <c r="I701" s="91"/>
      <c r="J701" s="97"/>
      <c r="K701" s="97"/>
      <c r="L701" s="99"/>
      <c r="M701" s="100"/>
      <c r="N701" s="101"/>
      <c r="O701" s="91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</row>
    <row r="702">
      <c r="A702" s="91"/>
      <c r="B702" s="91"/>
      <c r="C702" s="91"/>
      <c r="D702" s="91"/>
      <c r="E702" s="91"/>
      <c r="F702" s="91"/>
      <c r="G702" s="91"/>
      <c r="H702" s="98"/>
      <c r="I702" s="91"/>
      <c r="J702" s="97"/>
      <c r="K702" s="97"/>
      <c r="L702" s="99"/>
      <c r="M702" s="100"/>
      <c r="N702" s="101"/>
      <c r="O702" s="91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</row>
    <row r="703">
      <c r="A703" s="91"/>
      <c r="B703" s="91"/>
      <c r="C703" s="91"/>
      <c r="D703" s="91"/>
      <c r="E703" s="91"/>
      <c r="F703" s="91"/>
      <c r="G703" s="91"/>
      <c r="H703" s="98"/>
      <c r="I703" s="91"/>
      <c r="J703" s="97"/>
      <c r="K703" s="97"/>
      <c r="L703" s="99"/>
      <c r="M703" s="100"/>
      <c r="N703" s="101"/>
      <c r="O703" s="91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</row>
    <row r="704">
      <c r="A704" s="91"/>
      <c r="B704" s="91"/>
      <c r="C704" s="91"/>
      <c r="D704" s="91"/>
      <c r="E704" s="91"/>
      <c r="F704" s="91"/>
      <c r="G704" s="91"/>
      <c r="H704" s="98"/>
      <c r="I704" s="91"/>
      <c r="J704" s="97"/>
      <c r="K704" s="97"/>
      <c r="L704" s="99"/>
      <c r="M704" s="100"/>
      <c r="N704" s="101"/>
      <c r="O704" s="91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</row>
    <row r="705">
      <c r="A705" s="91"/>
      <c r="B705" s="91"/>
      <c r="C705" s="91"/>
      <c r="D705" s="91"/>
      <c r="E705" s="91"/>
      <c r="F705" s="91"/>
      <c r="G705" s="91"/>
      <c r="H705" s="98"/>
      <c r="I705" s="91"/>
      <c r="J705" s="97"/>
      <c r="K705" s="97"/>
      <c r="L705" s="99"/>
      <c r="M705" s="100"/>
      <c r="N705" s="101"/>
      <c r="O705" s="91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</row>
    <row r="706">
      <c r="A706" s="91"/>
      <c r="B706" s="91"/>
      <c r="C706" s="91"/>
      <c r="D706" s="91"/>
      <c r="E706" s="91"/>
      <c r="F706" s="91"/>
      <c r="G706" s="91"/>
      <c r="H706" s="98"/>
      <c r="I706" s="91"/>
      <c r="J706" s="97"/>
      <c r="K706" s="97"/>
      <c r="L706" s="99"/>
      <c r="M706" s="100"/>
      <c r="N706" s="101"/>
      <c r="O706" s="91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</row>
    <row r="707">
      <c r="A707" s="91"/>
      <c r="B707" s="91"/>
      <c r="C707" s="91"/>
      <c r="D707" s="91"/>
      <c r="E707" s="91"/>
      <c r="F707" s="91"/>
      <c r="G707" s="91"/>
      <c r="H707" s="98"/>
      <c r="I707" s="91"/>
      <c r="J707" s="97"/>
      <c r="K707" s="97"/>
      <c r="L707" s="99"/>
      <c r="M707" s="100"/>
      <c r="N707" s="101"/>
      <c r="O707" s="91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</row>
    <row r="708">
      <c r="A708" s="91"/>
      <c r="B708" s="91"/>
      <c r="C708" s="91"/>
      <c r="D708" s="91"/>
      <c r="E708" s="91"/>
      <c r="F708" s="91"/>
      <c r="G708" s="91"/>
      <c r="H708" s="98"/>
      <c r="I708" s="91"/>
      <c r="J708" s="97"/>
      <c r="K708" s="97"/>
      <c r="L708" s="99"/>
      <c r="M708" s="100"/>
      <c r="N708" s="101"/>
      <c r="O708" s="91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</row>
    <row r="709">
      <c r="A709" s="91"/>
      <c r="B709" s="91"/>
      <c r="C709" s="91"/>
      <c r="D709" s="91"/>
      <c r="E709" s="91"/>
      <c r="F709" s="91"/>
      <c r="G709" s="91"/>
      <c r="H709" s="98"/>
      <c r="I709" s="91"/>
      <c r="J709" s="97"/>
      <c r="K709" s="97"/>
      <c r="L709" s="99"/>
      <c r="M709" s="100"/>
      <c r="N709" s="101"/>
      <c r="O709" s="91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</row>
    <row r="710">
      <c r="A710" s="91"/>
      <c r="B710" s="91"/>
      <c r="C710" s="91"/>
      <c r="D710" s="91"/>
      <c r="E710" s="91"/>
      <c r="F710" s="91"/>
      <c r="G710" s="91"/>
      <c r="H710" s="98"/>
      <c r="I710" s="91"/>
      <c r="J710" s="97"/>
      <c r="K710" s="97"/>
      <c r="L710" s="99"/>
      <c r="M710" s="100"/>
      <c r="N710" s="101"/>
      <c r="O710" s="91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</row>
    <row r="711">
      <c r="A711" s="91"/>
      <c r="B711" s="91"/>
      <c r="C711" s="91"/>
      <c r="D711" s="91"/>
      <c r="E711" s="91"/>
      <c r="F711" s="91"/>
      <c r="G711" s="91"/>
      <c r="H711" s="98"/>
      <c r="I711" s="91"/>
      <c r="J711" s="97"/>
      <c r="K711" s="97"/>
      <c r="L711" s="99"/>
      <c r="M711" s="100"/>
      <c r="N711" s="101"/>
      <c r="O711" s="91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</row>
    <row r="712">
      <c r="A712" s="91"/>
      <c r="B712" s="91"/>
      <c r="C712" s="91"/>
      <c r="D712" s="91"/>
      <c r="E712" s="91"/>
      <c r="F712" s="91"/>
      <c r="G712" s="91"/>
      <c r="H712" s="98"/>
      <c r="I712" s="91"/>
      <c r="J712" s="97"/>
      <c r="K712" s="97"/>
      <c r="L712" s="99"/>
      <c r="M712" s="100"/>
      <c r="N712" s="101"/>
      <c r="O712" s="91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</row>
    <row r="713">
      <c r="A713" s="91"/>
      <c r="B713" s="91"/>
      <c r="C713" s="91"/>
      <c r="D713" s="91"/>
      <c r="E713" s="91"/>
      <c r="F713" s="91"/>
      <c r="G713" s="91"/>
      <c r="H713" s="98"/>
      <c r="I713" s="91"/>
      <c r="J713" s="97"/>
      <c r="K713" s="97"/>
      <c r="L713" s="99"/>
      <c r="M713" s="100"/>
      <c r="N713" s="101"/>
      <c r="O713" s="91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</row>
    <row r="714">
      <c r="A714" s="91"/>
      <c r="B714" s="91"/>
      <c r="C714" s="91"/>
      <c r="D714" s="91"/>
      <c r="E714" s="91"/>
      <c r="F714" s="91"/>
      <c r="G714" s="91"/>
      <c r="H714" s="98"/>
      <c r="I714" s="91"/>
      <c r="J714" s="97"/>
      <c r="K714" s="97"/>
      <c r="L714" s="99"/>
      <c r="M714" s="100"/>
      <c r="N714" s="101"/>
      <c r="O714" s="91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</row>
    <row r="715">
      <c r="A715" s="91"/>
      <c r="B715" s="91"/>
      <c r="C715" s="91"/>
      <c r="D715" s="91"/>
      <c r="E715" s="91"/>
      <c r="F715" s="91"/>
      <c r="G715" s="91"/>
      <c r="H715" s="98"/>
      <c r="I715" s="91"/>
      <c r="J715" s="97"/>
      <c r="K715" s="97"/>
      <c r="L715" s="99"/>
      <c r="M715" s="100"/>
      <c r="N715" s="101"/>
      <c r="O715" s="91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</row>
    <row r="716">
      <c r="A716" s="91"/>
      <c r="B716" s="91"/>
      <c r="C716" s="91"/>
      <c r="D716" s="91"/>
      <c r="E716" s="91"/>
      <c r="F716" s="91"/>
      <c r="G716" s="91"/>
      <c r="H716" s="98"/>
      <c r="I716" s="91"/>
      <c r="J716" s="97"/>
      <c r="K716" s="97"/>
      <c r="L716" s="99"/>
      <c r="M716" s="100"/>
      <c r="N716" s="101"/>
      <c r="O716" s="91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</row>
    <row r="717">
      <c r="A717" s="91"/>
      <c r="B717" s="91"/>
      <c r="C717" s="91"/>
      <c r="D717" s="91"/>
      <c r="E717" s="91"/>
      <c r="F717" s="91"/>
      <c r="G717" s="91"/>
      <c r="H717" s="98"/>
      <c r="I717" s="91"/>
      <c r="J717" s="97"/>
      <c r="K717" s="97"/>
      <c r="L717" s="99"/>
      <c r="M717" s="100"/>
      <c r="N717" s="101"/>
      <c r="O717" s="91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</row>
    <row r="718">
      <c r="A718" s="91"/>
      <c r="B718" s="91"/>
      <c r="C718" s="91"/>
      <c r="D718" s="91"/>
      <c r="E718" s="91"/>
      <c r="F718" s="91"/>
      <c r="G718" s="91"/>
      <c r="H718" s="98"/>
      <c r="I718" s="91"/>
      <c r="J718" s="97"/>
      <c r="K718" s="97"/>
      <c r="L718" s="99"/>
      <c r="M718" s="100"/>
      <c r="N718" s="101"/>
      <c r="O718" s="91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</row>
    <row r="719">
      <c r="A719" s="91"/>
      <c r="B719" s="91"/>
      <c r="C719" s="91"/>
      <c r="D719" s="91"/>
      <c r="E719" s="91"/>
      <c r="F719" s="91"/>
      <c r="G719" s="91"/>
      <c r="H719" s="98"/>
      <c r="I719" s="91"/>
      <c r="J719" s="97"/>
      <c r="K719" s="97"/>
      <c r="L719" s="99"/>
      <c r="M719" s="100"/>
      <c r="N719" s="101"/>
      <c r="O719" s="91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</row>
    <row r="720">
      <c r="A720" s="91"/>
      <c r="B720" s="91"/>
      <c r="C720" s="91"/>
      <c r="D720" s="91"/>
      <c r="E720" s="91"/>
      <c r="F720" s="91"/>
      <c r="G720" s="91"/>
      <c r="H720" s="98"/>
      <c r="I720" s="91"/>
      <c r="J720" s="97"/>
      <c r="K720" s="97"/>
      <c r="L720" s="99"/>
      <c r="M720" s="100"/>
      <c r="N720" s="101"/>
      <c r="O720" s="91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</row>
    <row r="721">
      <c r="A721" s="91"/>
      <c r="B721" s="91"/>
      <c r="C721" s="91"/>
      <c r="D721" s="91"/>
      <c r="E721" s="91"/>
      <c r="F721" s="91"/>
      <c r="G721" s="91"/>
      <c r="H721" s="98"/>
      <c r="I721" s="91"/>
      <c r="J721" s="97"/>
      <c r="K721" s="97"/>
      <c r="L721" s="99"/>
      <c r="M721" s="100"/>
      <c r="N721" s="101"/>
      <c r="O721" s="91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</row>
    <row r="722">
      <c r="A722" s="91"/>
      <c r="B722" s="91"/>
      <c r="C722" s="91"/>
      <c r="D722" s="91"/>
      <c r="E722" s="91"/>
      <c r="F722" s="91"/>
      <c r="G722" s="91"/>
      <c r="H722" s="98"/>
      <c r="I722" s="91"/>
      <c r="J722" s="97"/>
      <c r="K722" s="97"/>
      <c r="L722" s="99"/>
      <c r="M722" s="100"/>
      <c r="N722" s="101"/>
      <c r="O722" s="91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</row>
    <row r="723">
      <c r="A723" s="91"/>
      <c r="B723" s="91"/>
      <c r="C723" s="91"/>
      <c r="D723" s="91"/>
      <c r="E723" s="91"/>
      <c r="F723" s="91"/>
      <c r="G723" s="91"/>
      <c r="H723" s="98"/>
      <c r="I723" s="91"/>
      <c r="J723" s="97"/>
      <c r="K723" s="97"/>
      <c r="L723" s="99"/>
      <c r="M723" s="100"/>
      <c r="N723" s="101"/>
      <c r="O723" s="91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</row>
    <row r="724">
      <c r="A724" s="91"/>
      <c r="B724" s="91"/>
      <c r="C724" s="91"/>
      <c r="D724" s="91"/>
      <c r="E724" s="91"/>
      <c r="F724" s="91"/>
      <c r="G724" s="91"/>
      <c r="H724" s="98"/>
      <c r="I724" s="91"/>
      <c r="J724" s="97"/>
      <c r="K724" s="97"/>
      <c r="L724" s="99"/>
      <c r="M724" s="100"/>
      <c r="N724" s="101"/>
      <c r="O724" s="91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</row>
    <row r="725">
      <c r="A725" s="91"/>
      <c r="B725" s="91"/>
      <c r="C725" s="91"/>
      <c r="D725" s="91"/>
      <c r="E725" s="91"/>
      <c r="F725" s="91"/>
      <c r="G725" s="91"/>
      <c r="H725" s="98"/>
      <c r="I725" s="91"/>
      <c r="J725" s="97"/>
      <c r="K725" s="97"/>
      <c r="L725" s="99"/>
      <c r="M725" s="100"/>
      <c r="N725" s="101"/>
      <c r="O725" s="91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</row>
    <row r="726">
      <c r="A726" s="91"/>
      <c r="B726" s="91"/>
      <c r="C726" s="91"/>
      <c r="D726" s="91"/>
      <c r="E726" s="91"/>
      <c r="F726" s="91"/>
      <c r="G726" s="91"/>
      <c r="H726" s="98"/>
      <c r="I726" s="91"/>
      <c r="J726" s="97"/>
      <c r="K726" s="97"/>
      <c r="L726" s="99"/>
      <c r="M726" s="100"/>
      <c r="N726" s="101"/>
      <c r="O726" s="91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</row>
    <row r="727">
      <c r="A727" s="91"/>
      <c r="B727" s="91"/>
      <c r="C727" s="91"/>
      <c r="D727" s="91"/>
      <c r="E727" s="91"/>
      <c r="F727" s="91"/>
      <c r="G727" s="91"/>
      <c r="H727" s="98"/>
      <c r="I727" s="91"/>
      <c r="J727" s="97"/>
      <c r="K727" s="97"/>
      <c r="L727" s="99"/>
      <c r="M727" s="100"/>
      <c r="N727" s="101"/>
      <c r="O727" s="91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</row>
    <row r="728">
      <c r="A728" s="91"/>
      <c r="B728" s="91"/>
      <c r="C728" s="91"/>
      <c r="D728" s="91"/>
      <c r="E728" s="91"/>
      <c r="F728" s="91"/>
      <c r="G728" s="91"/>
      <c r="H728" s="98"/>
      <c r="I728" s="91"/>
      <c r="J728" s="97"/>
      <c r="K728" s="97"/>
      <c r="L728" s="99"/>
      <c r="M728" s="100"/>
      <c r="N728" s="101"/>
      <c r="O728" s="91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</row>
    <row r="729">
      <c r="A729" s="91"/>
      <c r="B729" s="91"/>
      <c r="C729" s="91"/>
      <c r="D729" s="91"/>
      <c r="E729" s="91"/>
      <c r="F729" s="91"/>
      <c r="G729" s="91"/>
      <c r="H729" s="98"/>
      <c r="I729" s="91"/>
      <c r="J729" s="97"/>
      <c r="K729" s="97"/>
      <c r="L729" s="99"/>
      <c r="M729" s="100"/>
      <c r="N729" s="101"/>
      <c r="O729" s="91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</row>
    <row r="730">
      <c r="A730" s="91"/>
      <c r="B730" s="91"/>
      <c r="C730" s="91"/>
      <c r="D730" s="91"/>
      <c r="E730" s="91"/>
      <c r="F730" s="91"/>
      <c r="G730" s="91"/>
      <c r="H730" s="98"/>
      <c r="I730" s="91"/>
      <c r="J730" s="97"/>
      <c r="K730" s="97"/>
      <c r="L730" s="99"/>
      <c r="M730" s="100"/>
      <c r="N730" s="101"/>
      <c r="O730" s="91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</row>
    <row r="731">
      <c r="A731" s="91"/>
      <c r="B731" s="91"/>
      <c r="C731" s="91"/>
      <c r="D731" s="91"/>
      <c r="E731" s="91"/>
      <c r="F731" s="91"/>
      <c r="G731" s="91"/>
      <c r="H731" s="98"/>
      <c r="I731" s="91"/>
      <c r="J731" s="97"/>
      <c r="K731" s="97"/>
      <c r="L731" s="99"/>
      <c r="M731" s="100"/>
      <c r="N731" s="101"/>
      <c r="O731" s="91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</row>
    <row r="732">
      <c r="A732" s="91"/>
      <c r="B732" s="91"/>
      <c r="C732" s="91"/>
      <c r="D732" s="91"/>
      <c r="E732" s="91"/>
      <c r="F732" s="91"/>
      <c r="G732" s="91"/>
      <c r="H732" s="98"/>
      <c r="I732" s="91"/>
      <c r="J732" s="97"/>
      <c r="K732" s="97"/>
      <c r="L732" s="99"/>
      <c r="M732" s="100"/>
      <c r="N732" s="101"/>
      <c r="O732" s="91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</row>
    <row r="733">
      <c r="A733" s="91"/>
      <c r="B733" s="91"/>
      <c r="C733" s="91"/>
      <c r="D733" s="91"/>
      <c r="E733" s="91"/>
      <c r="F733" s="91"/>
      <c r="G733" s="91"/>
      <c r="H733" s="98"/>
      <c r="I733" s="91"/>
      <c r="J733" s="97"/>
      <c r="K733" s="97"/>
      <c r="L733" s="99"/>
      <c r="M733" s="100"/>
      <c r="N733" s="101"/>
      <c r="O733" s="91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</row>
    <row r="734">
      <c r="A734" s="91"/>
      <c r="B734" s="91"/>
      <c r="C734" s="91"/>
      <c r="D734" s="91"/>
      <c r="E734" s="91"/>
      <c r="F734" s="91"/>
      <c r="G734" s="91"/>
      <c r="H734" s="98"/>
      <c r="I734" s="91"/>
      <c r="J734" s="97"/>
      <c r="K734" s="97"/>
      <c r="L734" s="99"/>
      <c r="M734" s="100"/>
      <c r="N734" s="101"/>
      <c r="O734" s="91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</row>
    <row r="735">
      <c r="A735" s="91"/>
      <c r="B735" s="91"/>
      <c r="C735" s="91"/>
      <c r="D735" s="91"/>
      <c r="E735" s="91"/>
      <c r="F735" s="91"/>
      <c r="G735" s="91"/>
      <c r="H735" s="98"/>
      <c r="I735" s="91"/>
      <c r="J735" s="97"/>
      <c r="K735" s="97"/>
      <c r="L735" s="99"/>
      <c r="M735" s="100"/>
      <c r="N735" s="101"/>
      <c r="O735" s="91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</row>
    <row r="736">
      <c r="A736" s="91"/>
      <c r="B736" s="91"/>
      <c r="C736" s="91"/>
      <c r="D736" s="91"/>
      <c r="E736" s="91"/>
      <c r="F736" s="91"/>
      <c r="G736" s="91"/>
      <c r="H736" s="98"/>
      <c r="I736" s="91"/>
      <c r="J736" s="97"/>
      <c r="K736" s="97"/>
      <c r="L736" s="99"/>
      <c r="M736" s="100"/>
      <c r="N736" s="101"/>
      <c r="O736" s="91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</row>
    <row r="737">
      <c r="A737" s="91"/>
      <c r="B737" s="91"/>
      <c r="C737" s="91"/>
      <c r="D737" s="91"/>
      <c r="E737" s="91"/>
      <c r="F737" s="91"/>
      <c r="G737" s="91"/>
      <c r="H737" s="98"/>
      <c r="I737" s="91"/>
      <c r="J737" s="97"/>
      <c r="K737" s="97"/>
      <c r="L737" s="99"/>
      <c r="M737" s="100"/>
      <c r="N737" s="101"/>
      <c r="O737" s="91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</row>
    <row r="738">
      <c r="A738" s="91"/>
      <c r="B738" s="91"/>
      <c r="C738" s="91"/>
      <c r="D738" s="91"/>
      <c r="E738" s="91"/>
      <c r="F738" s="91"/>
      <c r="G738" s="91"/>
      <c r="H738" s="98"/>
      <c r="I738" s="91"/>
      <c r="J738" s="97"/>
      <c r="K738" s="97"/>
      <c r="L738" s="99"/>
      <c r="M738" s="100"/>
      <c r="N738" s="101"/>
      <c r="O738" s="91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</row>
    <row r="739">
      <c r="A739" s="91"/>
      <c r="B739" s="91"/>
      <c r="C739" s="91"/>
      <c r="D739" s="91"/>
      <c r="E739" s="91"/>
      <c r="F739" s="91"/>
      <c r="G739" s="91"/>
      <c r="H739" s="98"/>
      <c r="I739" s="91"/>
      <c r="J739" s="97"/>
      <c r="K739" s="97"/>
      <c r="L739" s="99"/>
      <c r="M739" s="100"/>
      <c r="N739" s="101"/>
      <c r="O739" s="91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</row>
    <row r="740">
      <c r="A740" s="91"/>
      <c r="B740" s="91"/>
      <c r="C740" s="91"/>
      <c r="D740" s="91"/>
      <c r="E740" s="91"/>
      <c r="F740" s="91"/>
      <c r="G740" s="91"/>
      <c r="H740" s="98"/>
      <c r="I740" s="91"/>
      <c r="J740" s="97"/>
      <c r="K740" s="97"/>
      <c r="L740" s="99"/>
      <c r="M740" s="100"/>
      <c r="N740" s="101"/>
      <c r="O740" s="91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</row>
    <row r="741">
      <c r="A741" s="91"/>
      <c r="B741" s="91"/>
      <c r="C741" s="91"/>
      <c r="D741" s="91"/>
      <c r="E741" s="91"/>
      <c r="F741" s="91"/>
      <c r="G741" s="91"/>
      <c r="H741" s="98"/>
      <c r="I741" s="91"/>
      <c r="J741" s="97"/>
      <c r="K741" s="97"/>
      <c r="L741" s="99"/>
      <c r="M741" s="100"/>
      <c r="N741" s="101"/>
      <c r="O741" s="91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</row>
    <row r="742">
      <c r="A742" s="91"/>
      <c r="B742" s="91"/>
      <c r="C742" s="91"/>
      <c r="D742" s="91"/>
      <c r="E742" s="91"/>
      <c r="F742" s="91"/>
      <c r="G742" s="91"/>
      <c r="H742" s="98"/>
      <c r="I742" s="91"/>
      <c r="J742" s="97"/>
      <c r="K742" s="97"/>
      <c r="L742" s="99"/>
      <c r="M742" s="100"/>
      <c r="N742" s="101"/>
      <c r="O742" s="91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</row>
    <row r="743">
      <c r="A743" s="91"/>
      <c r="B743" s="91"/>
      <c r="C743" s="91"/>
      <c r="D743" s="91"/>
      <c r="E743" s="91"/>
      <c r="F743" s="91"/>
      <c r="G743" s="91"/>
      <c r="H743" s="98"/>
      <c r="I743" s="91"/>
      <c r="J743" s="97"/>
      <c r="K743" s="97"/>
      <c r="L743" s="99"/>
      <c r="M743" s="100"/>
      <c r="N743" s="101"/>
      <c r="O743" s="91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</row>
    <row r="744">
      <c r="A744" s="91"/>
      <c r="B744" s="91"/>
      <c r="C744" s="91"/>
      <c r="D744" s="91"/>
      <c r="E744" s="91"/>
      <c r="F744" s="91"/>
      <c r="G744" s="91"/>
      <c r="H744" s="98"/>
      <c r="I744" s="91"/>
      <c r="J744" s="97"/>
      <c r="K744" s="97"/>
      <c r="L744" s="99"/>
      <c r="M744" s="100"/>
      <c r="N744" s="101"/>
      <c r="O744" s="91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</row>
    <row r="745">
      <c r="A745" s="91"/>
      <c r="B745" s="91"/>
      <c r="C745" s="91"/>
      <c r="D745" s="91"/>
      <c r="E745" s="91"/>
      <c r="F745" s="91"/>
      <c r="G745" s="91"/>
      <c r="H745" s="98"/>
      <c r="I745" s="91"/>
      <c r="J745" s="97"/>
      <c r="K745" s="97"/>
      <c r="L745" s="99"/>
      <c r="M745" s="100"/>
      <c r="N745" s="101"/>
      <c r="O745" s="91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</row>
    <row r="746">
      <c r="A746" s="91"/>
      <c r="B746" s="91"/>
      <c r="C746" s="91"/>
      <c r="D746" s="91"/>
      <c r="E746" s="91"/>
      <c r="F746" s="91"/>
      <c r="G746" s="91"/>
      <c r="H746" s="98"/>
      <c r="I746" s="91"/>
      <c r="J746" s="97"/>
      <c r="K746" s="97"/>
      <c r="L746" s="99"/>
      <c r="M746" s="100"/>
      <c r="N746" s="101"/>
      <c r="O746" s="91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</row>
    <row r="747">
      <c r="A747" s="91"/>
      <c r="B747" s="91"/>
      <c r="C747" s="91"/>
      <c r="D747" s="91"/>
      <c r="E747" s="91"/>
      <c r="F747" s="91"/>
      <c r="G747" s="91"/>
      <c r="H747" s="98"/>
      <c r="I747" s="91"/>
      <c r="J747" s="97"/>
      <c r="K747" s="97"/>
      <c r="L747" s="99"/>
      <c r="M747" s="100"/>
      <c r="N747" s="101"/>
      <c r="O747" s="91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</row>
    <row r="748">
      <c r="A748" s="91"/>
      <c r="B748" s="91"/>
      <c r="C748" s="91"/>
      <c r="D748" s="91"/>
      <c r="E748" s="91"/>
      <c r="F748" s="91"/>
      <c r="G748" s="91"/>
      <c r="H748" s="98"/>
      <c r="I748" s="91"/>
      <c r="J748" s="97"/>
      <c r="K748" s="97"/>
      <c r="L748" s="99"/>
      <c r="M748" s="100"/>
      <c r="N748" s="101"/>
      <c r="O748" s="91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</row>
    <row r="749">
      <c r="A749" s="91"/>
      <c r="B749" s="91"/>
      <c r="C749" s="91"/>
      <c r="D749" s="91"/>
      <c r="E749" s="91"/>
      <c r="F749" s="91"/>
      <c r="G749" s="91"/>
      <c r="H749" s="98"/>
      <c r="I749" s="91"/>
      <c r="J749" s="97"/>
      <c r="K749" s="97"/>
      <c r="L749" s="99"/>
      <c r="M749" s="100"/>
      <c r="N749" s="101"/>
      <c r="O749" s="91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</row>
    <row r="750">
      <c r="A750" s="91"/>
      <c r="B750" s="91"/>
      <c r="C750" s="91"/>
      <c r="D750" s="91"/>
      <c r="E750" s="91"/>
      <c r="F750" s="91"/>
      <c r="G750" s="91"/>
      <c r="H750" s="98"/>
      <c r="I750" s="91"/>
      <c r="J750" s="97"/>
      <c r="K750" s="97"/>
      <c r="L750" s="99"/>
      <c r="M750" s="100"/>
      <c r="N750" s="101"/>
      <c r="O750" s="91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</row>
    <row r="751">
      <c r="A751" s="91"/>
      <c r="B751" s="91"/>
      <c r="C751" s="91"/>
      <c r="D751" s="91"/>
      <c r="E751" s="91"/>
      <c r="F751" s="91"/>
      <c r="G751" s="91"/>
      <c r="H751" s="98"/>
      <c r="I751" s="91"/>
      <c r="J751" s="97"/>
      <c r="K751" s="97"/>
      <c r="L751" s="99"/>
      <c r="M751" s="100"/>
      <c r="N751" s="101"/>
      <c r="O751" s="91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</row>
    <row r="752">
      <c r="A752" s="91"/>
      <c r="B752" s="91"/>
      <c r="C752" s="91"/>
      <c r="D752" s="91"/>
      <c r="E752" s="91"/>
      <c r="F752" s="91"/>
      <c r="G752" s="91"/>
      <c r="H752" s="98"/>
      <c r="I752" s="91"/>
      <c r="J752" s="97"/>
      <c r="K752" s="97"/>
      <c r="L752" s="99"/>
      <c r="M752" s="100"/>
      <c r="N752" s="101"/>
      <c r="O752" s="91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</row>
    <row r="753">
      <c r="A753" s="91"/>
      <c r="B753" s="91"/>
      <c r="C753" s="91"/>
      <c r="D753" s="91"/>
      <c r="E753" s="91"/>
      <c r="F753" s="91"/>
      <c r="G753" s="91"/>
      <c r="H753" s="98"/>
      <c r="I753" s="91"/>
      <c r="J753" s="97"/>
      <c r="K753" s="97"/>
      <c r="L753" s="99"/>
      <c r="M753" s="100"/>
      <c r="N753" s="101"/>
      <c r="O753" s="91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</row>
    <row r="754">
      <c r="A754" s="91"/>
      <c r="B754" s="91"/>
      <c r="C754" s="91"/>
      <c r="D754" s="91"/>
      <c r="E754" s="91"/>
      <c r="F754" s="91"/>
      <c r="G754" s="91"/>
      <c r="H754" s="98"/>
      <c r="I754" s="91"/>
      <c r="J754" s="97"/>
      <c r="K754" s="97"/>
      <c r="L754" s="99"/>
      <c r="M754" s="100"/>
      <c r="N754" s="101"/>
      <c r="O754" s="91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</row>
    <row r="755">
      <c r="A755" s="91"/>
      <c r="B755" s="91"/>
      <c r="C755" s="91"/>
      <c r="D755" s="91"/>
      <c r="E755" s="91"/>
      <c r="F755" s="91"/>
      <c r="G755" s="91"/>
      <c r="H755" s="98"/>
      <c r="I755" s="91"/>
      <c r="J755" s="97"/>
      <c r="K755" s="97"/>
      <c r="L755" s="99"/>
      <c r="M755" s="100"/>
      <c r="N755" s="101"/>
      <c r="O755" s="91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</row>
    <row r="756">
      <c r="A756" s="91"/>
      <c r="B756" s="91"/>
      <c r="C756" s="91"/>
      <c r="D756" s="91"/>
      <c r="E756" s="91"/>
      <c r="F756" s="91"/>
      <c r="G756" s="91"/>
      <c r="H756" s="98"/>
      <c r="I756" s="91"/>
      <c r="J756" s="97"/>
      <c r="K756" s="97"/>
      <c r="L756" s="99"/>
      <c r="M756" s="100"/>
      <c r="N756" s="101"/>
      <c r="O756" s="91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</row>
    <row r="757">
      <c r="A757" s="91"/>
      <c r="B757" s="91"/>
      <c r="C757" s="91"/>
      <c r="D757" s="91"/>
      <c r="E757" s="91"/>
      <c r="F757" s="91"/>
      <c r="G757" s="91"/>
      <c r="H757" s="98"/>
      <c r="I757" s="91"/>
      <c r="J757" s="97"/>
      <c r="K757" s="97"/>
      <c r="L757" s="99"/>
      <c r="M757" s="100"/>
      <c r="N757" s="101"/>
      <c r="O757" s="91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</row>
    <row r="758">
      <c r="A758" s="91"/>
      <c r="B758" s="91"/>
      <c r="C758" s="91"/>
      <c r="D758" s="91"/>
      <c r="E758" s="91"/>
      <c r="F758" s="91"/>
      <c r="G758" s="91"/>
      <c r="H758" s="98"/>
      <c r="I758" s="91"/>
      <c r="J758" s="97"/>
      <c r="K758" s="97"/>
      <c r="L758" s="99"/>
      <c r="M758" s="100"/>
      <c r="N758" s="101"/>
      <c r="O758" s="91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</row>
    <row r="759">
      <c r="A759" s="91"/>
      <c r="B759" s="91"/>
      <c r="C759" s="91"/>
      <c r="D759" s="91"/>
      <c r="E759" s="91"/>
      <c r="F759" s="91"/>
      <c r="G759" s="91"/>
      <c r="H759" s="98"/>
      <c r="I759" s="91"/>
      <c r="J759" s="97"/>
      <c r="K759" s="97"/>
      <c r="L759" s="99"/>
      <c r="M759" s="100"/>
      <c r="N759" s="101"/>
      <c r="O759" s="91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</row>
    <row r="760">
      <c r="A760" s="91"/>
      <c r="B760" s="91"/>
      <c r="C760" s="91"/>
      <c r="D760" s="91"/>
      <c r="E760" s="91"/>
      <c r="F760" s="91"/>
      <c r="G760" s="91"/>
      <c r="H760" s="98"/>
      <c r="I760" s="91"/>
      <c r="J760" s="97"/>
      <c r="K760" s="97"/>
      <c r="L760" s="99"/>
      <c r="M760" s="100"/>
      <c r="N760" s="101"/>
      <c r="O760" s="91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</row>
    <row r="761">
      <c r="A761" s="91"/>
      <c r="B761" s="91"/>
      <c r="C761" s="91"/>
      <c r="D761" s="91"/>
      <c r="E761" s="91"/>
      <c r="F761" s="91"/>
      <c r="G761" s="91"/>
      <c r="H761" s="98"/>
      <c r="I761" s="91"/>
      <c r="J761" s="97"/>
      <c r="K761" s="97"/>
      <c r="L761" s="99"/>
      <c r="M761" s="100"/>
      <c r="N761" s="101"/>
      <c r="O761" s="91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</row>
    <row r="762">
      <c r="A762" s="91"/>
      <c r="B762" s="91"/>
      <c r="C762" s="91"/>
      <c r="D762" s="91"/>
      <c r="E762" s="91"/>
      <c r="F762" s="91"/>
      <c r="G762" s="91"/>
      <c r="H762" s="98"/>
      <c r="I762" s="91"/>
      <c r="J762" s="97"/>
      <c r="K762" s="97"/>
      <c r="L762" s="99"/>
      <c r="M762" s="100"/>
      <c r="N762" s="101"/>
      <c r="O762" s="91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</row>
    <row r="763">
      <c r="A763" s="91"/>
      <c r="B763" s="91"/>
      <c r="C763" s="91"/>
      <c r="D763" s="91"/>
      <c r="E763" s="91"/>
      <c r="F763" s="91"/>
      <c r="G763" s="91"/>
      <c r="H763" s="98"/>
      <c r="I763" s="91"/>
      <c r="J763" s="97"/>
      <c r="K763" s="97"/>
      <c r="L763" s="99"/>
      <c r="M763" s="100"/>
      <c r="N763" s="101"/>
      <c r="O763" s="91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</row>
    <row r="764">
      <c r="A764" s="91"/>
      <c r="B764" s="91"/>
      <c r="C764" s="91"/>
      <c r="D764" s="91"/>
      <c r="E764" s="91"/>
      <c r="F764" s="91"/>
      <c r="G764" s="91"/>
      <c r="H764" s="98"/>
      <c r="I764" s="91"/>
      <c r="J764" s="97"/>
      <c r="K764" s="97"/>
      <c r="L764" s="99"/>
      <c r="M764" s="100"/>
      <c r="N764" s="101"/>
      <c r="O764" s="91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</row>
    <row r="765">
      <c r="A765" s="91"/>
      <c r="B765" s="91"/>
      <c r="C765" s="91"/>
      <c r="D765" s="91"/>
      <c r="E765" s="91"/>
      <c r="F765" s="91"/>
      <c r="G765" s="91"/>
      <c r="H765" s="98"/>
      <c r="I765" s="91"/>
      <c r="J765" s="97"/>
      <c r="K765" s="97"/>
      <c r="L765" s="99"/>
      <c r="M765" s="100"/>
      <c r="N765" s="101"/>
      <c r="O765" s="91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</row>
    <row r="766">
      <c r="A766" s="91"/>
      <c r="B766" s="91"/>
      <c r="C766" s="91"/>
      <c r="D766" s="91"/>
      <c r="E766" s="91"/>
      <c r="F766" s="91"/>
      <c r="G766" s="91"/>
      <c r="H766" s="98"/>
      <c r="I766" s="91"/>
      <c r="J766" s="97"/>
      <c r="K766" s="97"/>
      <c r="L766" s="99"/>
      <c r="M766" s="100"/>
      <c r="N766" s="101"/>
      <c r="O766" s="91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</row>
    <row r="767">
      <c r="A767" s="91"/>
      <c r="B767" s="91"/>
      <c r="C767" s="91"/>
      <c r="D767" s="91"/>
      <c r="E767" s="91"/>
      <c r="F767" s="91"/>
      <c r="G767" s="91"/>
      <c r="H767" s="98"/>
      <c r="I767" s="91"/>
      <c r="J767" s="97"/>
      <c r="K767" s="97"/>
      <c r="L767" s="99"/>
      <c r="M767" s="100"/>
      <c r="N767" s="101"/>
      <c r="O767" s="91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</row>
    <row r="768">
      <c r="A768" s="91"/>
      <c r="B768" s="91"/>
      <c r="C768" s="91"/>
      <c r="D768" s="91"/>
      <c r="E768" s="91"/>
      <c r="F768" s="91"/>
      <c r="G768" s="91"/>
      <c r="H768" s="98"/>
      <c r="I768" s="91"/>
      <c r="J768" s="97"/>
      <c r="K768" s="97"/>
      <c r="L768" s="99"/>
      <c r="M768" s="100"/>
      <c r="N768" s="101"/>
      <c r="O768" s="91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</row>
    <row r="769">
      <c r="A769" s="91"/>
      <c r="B769" s="91"/>
      <c r="C769" s="91"/>
      <c r="D769" s="91"/>
      <c r="E769" s="91"/>
      <c r="F769" s="91"/>
      <c r="G769" s="91"/>
      <c r="H769" s="98"/>
      <c r="I769" s="91"/>
      <c r="J769" s="97"/>
      <c r="K769" s="97"/>
      <c r="L769" s="99"/>
      <c r="M769" s="100"/>
      <c r="N769" s="101"/>
      <c r="O769" s="91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</row>
    <row r="770">
      <c r="A770" s="91"/>
      <c r="B770" s="91"/>
      <c r="C770" s="91"/>
      <c r="D770" s="91"/>
      <c r="E770" s="91"/>
      <c r="F770" s="91"/>
      <c r="G770" s="91"/>
      <c r="H770" s="98"/>
      <c r="I770" s="91"/>
      <c r="J770" s="97"/>
      <c r="K770" s="97"/>
      <c r="L770" s="99"/>
      <c r="M770" s="100"/>
      <c r="N770" s="101"/>
      <c r="O770" s="91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</row>
    <row r="771">
      <c r="A771" s="91"/>
      <c r="B771" s="91"/>
      <c r="C771" s="91"/>
      <c r="D771" s="91"/>
      <c r="E771" s="91"/>
      <c r="F771" s="91"/>
      <c r="G771" s="91"/>
      <c r="H771" s="98"/>
      <c r="I771" s="91"/>
      <c r="J771" s="97"/>
      <c r="K771" s="97"/>
      <c r="L771" s="99"/>
      <c r="M771" s="100"/>
      <c r="N771" s="101"/>
      <c r="O771" s="91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</row>
    <row r="772">
      <c r="A772" s="91"/>
      <c r="B772" s="91"/>
      <c r="C772" s="91"/>
      <c r="D772" s="91"/>
      <c r="E772" s="91"/>
      <c r="F772" s="91"/>
      <c r="G772" s="91"/>
      <c r="H772" s="98"/>
      <c r="I772" s="91"/>
      <c r="J772" s="97"/>
      <c r="K772" s="97"/>
      <c r="L772" s="99"/>
      <c r="M772" s="100"/>
      <c r="N772" s="101"/>
      <c r="O772" s="91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</row>
    <row r="773">
      <c r="A773" s="91"/>
      <c r="B773" s="91"/>
      <c r="C773" s="91"/>
      <c r="D773" s="91"/>
      <c r="E773" s="91"/>
      <c r="F773" s="91"/>
      <c r="G773" s="91"/>
      <c r="H773" s="98"/>
      <c r="I773" s="91"/>
      <c r="J773" s="97"/>
      <c r="K773" s="97"/>
      <c r="L773" s="99"/>
      <c r="M773" s="100"/>
      <c r="N773" s="101"/>
      <c r="O773" s="91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</row>
    <row r="774">
      <c r="A774" s="91"/>
      <c r="B774" s="91"/>
      <c r="C774" s="91"/>
      <c r="D774" s="91"/>
      <c r="E774" s="91"/>
      <c r="F774" s="91"/>
      <c r="G774" s="91"/>
      <c r="H774" s="98"/>
      <c r="I774" s="91"/>
      <c r="J774" s="97"/>
      <c r="K774" s="97"/>
      <c r="L774" s="99"/>
      <c r="M774" s="100"/>
      <c r="N774" s="101"/>
      <c r="O774" s="91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</row>
    <row r="775">
      <c r="A775" s="91"/>
      <c r="B775" s="91"/>
      <c r="C775" s="91"/>
      <c r="D775" s="91"/>
      <c r="E775" s="91"/>
      <c r="F775" s="91"/>
      <c r="G775" s="91"/>
      <c r="H775" s="98"/>
      <c r="I775" s="91"/>
      <c r="J775" s="97"/>
      <c r="K775" s="97"/>
      <c r="L775" s="99"/>
      <c r="M775" s="100"/>
      <c r="N775" s="101"/>
      <c r="O775" s="91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</row>
    <row r="776">
      <c r="A776" s="91"/>
      <c r="B776" s="91"/>
      <c r="C776" s="91"/>
      <c r="D776" s="91"/>
      <c r="E776" s="91"/>
      <c r="F776" s="91"/>
      <c r="G776" s="91"/>
      <c r="H776" s="98"/>
      <c r="I776" s="91"/>
      <c r="J776" s="97"/>
      <c r="K776" s="97"/>
      <c r="L776" s="99"/>
      <c r="M776" s="100"/>
      <c r="N776" s="101"/>
      <c r="O776" s="91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</row>
    <row r="777">
      <c r="A777" s="91"/>
      <c r="B777" s="91"/>
      <c r="C777" s="91"/>
      <c r="D777" s="91"/>
      <c r="E777" s="91"/>
      <c r="F777" s="91"/>
      <c r="G777" s="91"/>
      <c r="H777" s="98"/>
      <c r="I777" s="91"/>
      <c r="J777" s="97"/>
      <c r="K777" s="97"/>
      <c r="L777" s="99"/>
      <c r="M777" s="100"/>
      <c r="N777" s="101"/>
      <c r="O777" s="91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</row>
    <row r="778">
      <c r="A778" s="91"/>
      <c r="B778" s="91"/>
      <c r="C778" s="91"/>
      <c r="D778" s="91"/>
      <c r="E778" s="91"/>
      <c r="F778" s="91"/>
      <c r="G778" s="91"/>
      <c r="H778" s="98"/>
      <c r="I778" s="91"/>
      <c r="J778" s="97"/>
      <c r="K778" s="97"/>
      <c r="L778" s="99"/>
      <c r="M778" s="100"/>
      <c r="N778" s="101"/>
      <c r="O778" s="91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</row>
    <row r="779">
      <c r="A779" s="91"/>
      <c r="B779" s="91"/>
      <c r="C779" s="91"/>
      <c r="D779" s="91"/>
      <c r="E779" s="91"/>
      <c r="F779" s="91"/>
      <c r="G779" s="91"/>
      <c r="H779" s="98"/>
      <c r="I779" s="91"/>
      <c r="J779" s="97"/>
      <c r="K779" s="97"/>
      <c r="L779" s="99"/>
      <c r="M779" s="100"/>
      <c r="N779" s="101"/>
      <c r="O779" s="91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</row>
    <row r="780">
      <c r="A780" s="91"/>
      <c r="B780" s="91"/>
      <c r="C780" s="91"/>
      <c r="D780" s="91"/>
      <c r="E780" s="91"/>
      <c r="F780" s="91"/>
      <c r="G780" s="91"/>
      <c r="H780" s="98"/>
      <c r="I780" s="91"/>
      <c r="J780" s="97"/>
      <c r="K780" s="97"/>
      <c r="L780" s="99"/>
      <c r="M780" s="100"/>
      <c r="N780" s="101"/>
      <c r="O780" s="91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</row>
    <row r="781">
      <c r="A781" s="91"/>
      <c r="B781" s="91"/>
      <c r="C781" s="91"/>
      <c r="D781" s="91"/>
      <c r="E781" s="91"/>
      <c r="F781" s="91"/>
      <c r="G781" s="91"/>
      <c r="H781" s="98"/>
      <c r="I781" s="91"/>
      <c r="J781" s="97"/>
      <c r="K781" s="97"/>
      <c r="L781" s="99"/>
      <c r="M781" s="100"/>
      <c r="N781" s="101"/>
      <c r="O781" s="91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</row>
    <row r="782">
      <c r="A782" s="91"/>
      <c r="B782" s="91"/>
      <c r="C782" s="91"/>
      <c r="D782" s="91"/>
      <c r="E782" s="91"/>
      <c r="F782" s="91"/>
      <c r="G782" s="91"/>
      <c r="H782" s="98"/>
      <c r="I782" s="91"/>
      <c r="J782" s="97"/>
      <c r="K782" s="97"/>
      <c r="L782" s="99"/>
      <c r="M782" s="100"/>
      <c r="N782" s="101"/>
      <c r="O782" s="91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</row>
    <row r="783">
      <c r="A783" s="91"/>
      <c r="B783" s="91"/>
      <c r="C783" s="91"/>
      <c r="D783" s="91"/>
      <c r="E783" s="91"/>
      <c r="F783" s="91"/>
      <c r="G783" s="91"/>
      <c r="H783" s="98"/>
      <c r="I783" s="91"/>
      <c r="J783" s="97"/>
      <c r="K783" s="97"/>
      <c r="L783" s="99"/>
      <c r="M783" s="100"/>
      <c r="N783" s="101"/>
      <c r="O783" s="91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</row>
    <row r="784">
      <c r="A784" s="91"/>
      <c r="B784" s="91"/>
      <c r="C784" s="91"/>
      <c r="D784" s="91"/>
      <c r="E784" s="91"/>
      <c r="F784" s="91"/>
      <c r="G784" s="91"/>
      <c r="H784" s="98"/>
      <c r="I784" s="91"/>
      <c r="J784" s="97"/>
      <c r="K784" s="97"/>
      <c r="L784" s="99"/>
      <c r="M784" s="100"/>
      <c r="N784" s="101"/>
      <c r="O784" s="91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</row>
    <row r="785">
      <c r="A785" s="91"/>
      <c r="B785" s="91"/>
      <c r="C785" s="91"/>
      <c r="D785" s="91"/>
      <c r="E785" s="91"/>
      <c r="F785" s="91"/>
      <c r="G785" s="91"/>
      <c r="H785" s="98"/>
      <c r="I785" s="91"/>
      <c r="J785" s="97"/>
      <c r="K785" s="97"/>
      <c r="L785" s="99"/>
      <c r="M785" s="100"/>
      <c r="N785" s="101"/>
      <c r="O785" s="91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</row>
    <row r="786">
      <c r="A786" s="91"/>
      <c r="B786" s="91"/>
      <c r="C786" s="91"/>
      <c r="D786" s="91"/>
      <c r="E786" s="91"/>
      <c r="F786" s="91"/>
      <c r="G786" s="91"/>
      <c r="H786" s="98"/>
      <c r="I786" s="91"/>
      <c r="J786" s="97"/>
      <c r="K786" s="97"/>
      <c r="L786" s="99"/>
      <c r="M786" s="100"/>
      <c r="N786" s="101"/>
      <c r="O786" s="91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</row>
    <row r="787">
      <c r="A787" s="91"/>
      <c r="B787" s="91"/>
      <c r="C787" s="91"/>
      <c r="D787" s="91"/>
      <c r="E787" s="91"/>
      <c r="F787" s="91"/>
      <c r="G787" s="91"/>
      <c r="H787" s="98"/>
      <c r="I787" s="91"/>
      <c r="J787" s="97"/>
      <c r="K787" s="97"/>
      <c r="L787" s="99"/>
      <c r="M787" s="100"/>
      <c r="N787" s="101"/>
      <c r="O787" s="91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</row>
    <row r="788">
      <c r="A788" s="91"/>
      <c r="B788" s="91"/>
      <c r="C788" s="91"/>
      <c r="D788" s="91"/>
      <c r="E788" s="91"/>
      <c r="F788" s="91"/>
      <c r="G788" s="91"/>
      <c r="H788" s="98"/>
      <c r="I788" s="91"/>
      <c r="J788" s="97"/>
      <c r="K788" s="97"/>
      <c r="L788" s="99"/>
      <c r="M788" s="100"/>
      <c r="N788" s="101"/>
      <c r="O788" s="91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</row>
    <row r="789">
      <c r="A789" s="91"/>
      <c r="B789" s="91"/>
      <c r="C789" s="91"/>
      <c r="D789" s="91"/>
      <c r="E789" s="91"/>
      <c r="F789" s="91"/>
      <c r="G789" s="91"/>
      <c r="H789" s="98"/>
      <c r="I789" s="91"/>
      <c r="J789" s="97"/>
      <c r="K789" s="97"/>
      <c r="L789" s="99"/>
      <c r="M789" s="100"/>
      <c r="N789" s="101"/>
      <c r="O789" s="91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</row>
    <row r="790">
      <c r="A790" s="91"/>
      <c r="B790" s="91"/>
      <c r="C790" s="91"/>
      <c r="D790" s="91"/>
      <c r="E790" s="91"/>
      <c r="F790" s="91"/>
      <c r="G790" s="91"/>
      <c r="H790" s="98"/>
      <c r="I790" s="91"/>
      <c r="J790" s="97"/>
      <c r="K790" s="97"/>
      <c r="L790" s="99"/>
      <c r="M790" s="100"/>
      <c r="N790" s="101"/>
      <c r="O790" s="91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</row>
    <row r="791">
      <c r="A791" s="91"/>
      <c r="B791" s="91"/>
      <c r="C791" s="91"/>
      <c r="D791" s="91"/>
      <c r="E791" s="91"/>
      <c r="F791" s="91"/>
      <c r="G791" s="91"/>
      <c r="H791" s="98"/>
      <c r="I791" s="91"/>
      <c r="J791" s="97"/>
      <c r="K791" s="97"/>
      <c r="L791" s="99"/>
      <c r="M791" s="100"/>
      <c r="N791" s="101"/>
      <c r="O791" s="91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</row>
    <row r="792">
      <c r="A792" s="91"/>
      <c r="B792" s="91"/>
      <c r="C792" s="91"/>
      <c r="D792" s="91"/>
      <c r="E792" s="91"/>
      <c r="F792" s="91"/>
      <c r="G792" s="91"/>
      <c r="H792" s="98"/>
      <c r="I792" s="91"/>
      <c r="J792" s="97"/>
      <c r="K792" s="97"/>
      <c r="L792" s="99"/>
      <c r="M792" s="100"/>
      <c r="N792" s="101"/>
      <c r="O792" s="91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</row>
    <row r="793">
      <c r="A793" s="91"/>
      <c r="B793" s="91"/>
      <c r="C793" s="91"/>
      <c r="D793" s="91"/>
      <c r="E793" s="91"/>
      <c r="F793" s="91"/>
      <c r="G793" s="91"/>
      <c r="H793" s="98"/>
      <c r="I793" s="91"/>
      <c r="J793" s="97"/>
      <c r="K793" s="97"/>
      <c r="L793" s="99"/>
      <c r="M793" s="100"/>
      <c r="N793" s="101"/>
      <c r="O793" s="91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</row>
    <row r="794">
      <c r="A794" s="91"/>
      <c r="B794" s="91"/>
      <c r="C794" s="91"/>
      <c r="D794" s="91"/>
      <c r="E794" s="91"/>
      <c r="F794" s="91"/>
      <c r="G794" s="91"/>
      <c r="H794" s="98"/>
      <c r="I794" s="91"/>
      <c r="J794" s="97"/>
      <c r="K794" s="97"/>
      <c r="L794" s="99"/>
      <c r="M794" s="100"/>
      <c r="N794" s="101"/>
      <c r="O794" s="91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</row>
    <row r="795">
      <c r="A795" s="91"/>
      <c r="B795" s="91"/>
      <c r="C795" s="91"/>
      <c r="D795" s="91"/>
      <c r="E795" s="91"/>
      <c r="F795" s="91"/>
      <c r="G795" s="91"/>
      <c r="H795" s="98"/>
      <c r="I795" s="91"/>
      <c r="J795" s="97"/>
      <c r="K795" s="97"/>
      <c r="L795" s="99"/>
      <c r="M795" s="100"/>
      <c r="N795" s="101"/>
      <c r="O795" s="91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</row>
    <row r="796">
      <c r="A796" s="91"/>
      <c r="B796" s="91"/>
      <c r="C796" s="91"/>
      <c r="D796" s="91"/>
      <c r="E796" s="91"/>
      <c r="F796" s="91"/>
      <c r="G796" s="91"/>
      <c r="H796" s="98"/>
      <c r="I796" s="91"/>
      <c r="J796" s="97"/>
      <c r="K796" s="97"/>
      <c r="L796" s="99"/>
      <c r="M796" s="100"/>
      <c r="N796" s="101"/>
      <c r="O796" s="91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</row>
    <row r="797">
      <c r="A797" s="91"/>
      <c r="B797" s="91"/>
      <c r="C797" s="91"/>
      <c r="D797" s="91"/>
      <c r="E797" s="91"/>
      <c r="F797" s="91"/>
      <c r="G797" s="91"/>
      <c r="H797" s="98"/>
      <c r="I797" s="91"/>
      <c r="J797" s="97"/>
      <c r="K797" s="97"/>
      <c r="L797" s="99"/>
      <c r="M797" s="100"/>
      <c r="N797" s="101"/>
      <c r="O797" s="91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</row>
    <row r="798">
      <c r="A798" s="91"/>
      <c r="B798" s="91"/>
      <c r="C798" s="91"/>
      <c r="D798" s="91"/>
      <c r="E798" s="91"/>
      <c r="F798" s="91"/>
      <c r="G798" s="91"/>
      <c r="H798" s="98"/>
      <c r="I798" s="91"/>
      <c r="J798" s="97"/>
      <c r="K798" s="97"/>
      <c r="L798" s="99"/>
      <c r="M798" s="100"/>
      <c r="N798" s="101"/>
      <c r="O798" s="91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</row>
    <row r="799">
      <c r="A799" s="91"/>
      <c r="B799" s="91"/>
      <c r="C799" s="91"/>
      <c r="D799" s="91"/>
      <c r="E799" s="91"/>
      <c r="F799" s="91"/>
      <c r="G799" s="91"/>
      <c r="H799" s="98"/>
      <c r="I799" s="91"/>
      <c r="J799" s="97"/>
      <c r="K799" s="97"/>
      <c r="L799" s="99"/>
      <c r="M799" s="100"/>
      <c r="N799" s="101"/>
      <c r="O799" s="91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</row>
    <row r="800">
      <c r="A800" s="91"/>
      <c r="B800" s="91"/>
      <c r="C800" s="91"/>
      <c r="D800" s="91"/>
      <c r="E800" s="91"/>
      <c r="F800" s="91"/>
      <c r="G800" s="91"/>
      <c r="H800" s="98"/>
      <c r="I800" s="91"/>
      <c r="J800" s="97"/>
      <c r="K800" s="97"/>
      <c r="L800" s="99"/>
      <c r="M800" s="100"/>
      <c r="N800" s="101"/>
      <c r="O800" s="91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</row>
    <row r="801">
      <c r="A801" s="91"/>
      <c r="B801" s="91"/>
      <c r="C801" s="91"/>
      <c r="D801" s="91"/>
      <c r="E801" s="91"/>
      <c r="F801" s="91"/>
      <c r="G801" s="91"/>
      <c r="H801" s="98"/>
      <c r="I801" s="91"/>
      <c r="J801" s="97"/>
      <c r="K801" s="97"/>
      <c r="L801" s="99"/>
      <c r="M801" s="100"/>
      <c r="N801" s="101"/>
      <c r="O801" s="91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</row>
    <row r="802">
      <c r="A802" s="91"/>
      <c r="B802" s="91"/>
      <c r="C802" s="91"/>
      <c r="D802" s="91"/>
      <c r="E802" s="91"/>
      <c r="F802" s="91"/>
      <c r="G802" s="91"/>
      <c r="H802" s="98"/>
      <c r="I802" s="91"/>
      <c r="J802" s="97"/>
      <c r="K802" s="97"/>
      <c r="L802" s="99"/>
      <c r="M802" s="100"/>
      <c r="N802" s="101"/>
      <c r="O802" s="91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</row>
    <row r="803">
      <c r="A803" s="91"/>
      <c r="B803" s="91"/>
      <c r="C803" s="91"/>
      <c r="D803" s="91"/>
      <c r="E803" s="91"/>
      <c r="F803" s="91"/>
      <c r="G803" s="91"/>
      <c r="H803" s="98"/>
      <c r="I803" s="91"/>
      <c r="J803" s="97"/>
      <c r="K803" s="97"/>
      <c r="L803" s="99"/>
      <c r="M803" s="100"/>
      <c r="N803" s="101"/>
      <c r="O803" s="91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</row>
    <row r="804">
      <c r="A804" s="91"/>
      <c r="B804" s="91"/>
      <c r="C804" s="91"/>
      <c r="D804" s="91"/>
      <c r="E804" s="91"/>
      <c r="F804" s="91"/>
      <c r="G804" s="91"/>
      <c r="H804" s="98"/>
      <c r="I804" s="91"/>
      <c r="J804" s="97"/>
      <c r="K804" s="97"/>
      <c r="L804" s="99"/>
      <c r="M804" s="100"/>
      <c r="N804" s="101"/>
      <c r="O804" s="91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</row>
    <row r="805">
      <c r="A805" s="91"/>
      <c r="B805" s="91"/>
      <c r="C805" s="91"/>
      <c r="D805" s="91"/>
      <c r="E805" s="91"/>
      <c r="F805" s="91"/>
      <c r="G805" s="91"/>
      <c r="H805" s="98"/>
      <c r="I805" s="91"/>
      <c r="J805" s="97"/>
      <c r="K805" s="97"/>
      <c r="L805" s="99"/>
      <c r="M805" s="100"/>
      <c r="N805" s="101"/>
      <c r="O805" s="91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</row>
    <row r="806">
      <c r="A806" s="91"/>
      <c r="B806" s="91"/>
      <c r="C806" s="91"/>
      <c r="D806" s="91"/>
      <c r="E806" s="91"/>
      <c r="F806" s="91"/>
      <c r="G806" s="91"/>
      <c r="H806" s="98"/>
      <c r="I806" s="91"/>
      <c r="J806" s="97"/>
      <c r="K806" s="97"/>
      <c r="L806" s="99"/>
      <c r="M806" s="100"/>
      <c r="N806" s="101"/>
      <c r="O806" s="91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</row>
    <row r="807">
      <c r="A807" s="91"/>
      <c r="B807" s="91"/>
      <c r="C807" s="91"/>
      <c r="D807" s="91"/>
      <c r="E807" s="91"/>
      <c r="F807" s="91"/>
      <c r="G807" s="91"/>
      <c r="H807" s="98"/>
      <c r="I807" s="91"/>
      <c r="J807" s="97"/>
      <c r="K807" s="97"/>
      <c r="L807" s="99"/>
      <c r="M807" s="100"/>
      <c r="N807" s="101"/>
      <c r="O807" s="91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</row>
    <row r="808">
      <c r="A808" s="91"/>
      <c r="B808" s="91"/>
      <c r="C808" s="91"/>
      <c r="D808" s="91"/>
      <c r="E808" s="91"/>
      <c r="F808" s="91"/>
      <c r="G808" s="91"/>
      <c r="H808" s="98"/>
      <c r="I808" s="91"/>
      <c r="J808" s="97"/>
      <c r="K808" s="97"/>
      <c r="L808" s="99"/>
      <c r="M808" s="100"/>
      <c r="N808" s="101"/>
      <c r="O808" s="91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</row>
    <row r="809">
      <c r="A809" s="91"/>
      <c r="B809" s="91"/>
      <c r="C809" s="91"/>
      <c r="D809" s="91"/>
      <c r="E809" s="91"/>
      <c r="F809" s="91"/>
      <c r="G809" s="91"/>
      <c r="H809" s="98"/>
      <c r="I809" s="91"/>
      <c r="J809" s="97"/>
      <c r="K809" s="97"/>
      <c r="L809" s="99"/>
      <c r="M809" s="100"/>
      <c r="N809" s="101"/>
      <c r="O809" s="91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</row>
    <row r="810">
      <c r="A810" s="91"/>
      <c r="B810" s="91"/>
      <c r="C810" s="91"/>
      <c r="D810" s="91"/>
      <c r="E810" s="91"/>
      <c r="F810" s="91"/>
      <c r="G810" s="91"/>
      <c r="H810" s="98"/>
      <c r="I810" s="91"/>
      <c r="J810" s="97"/>
      <c r="K810" s="97"/>
      <c r="L810" s="99"/>
      <c r="M810" s="100"/>
      <c r="N810" s="101"/>
      <c r="O810" s="91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</row>
    <row r="811">
      <c r="A811" s="91"/>
      <c r="B811" s="91"/>
      <c r="C811" s="91"/>
      <c r="D811" s="91"/>
      <c r="E811" s="91"/>
      <c r="F811" s="91"/>
      <c r="G811" s="91"/>
      <c r="H811" s="98"/>
      <c r="I811" s="91"/>
      <c r="J811" s="97"/>
      <c r="K811" s="97"/>
      <c r="L811" s="99"/>
      <c r="M811" s="100"/>
      <c r="N811" s="101"/>
      <c r="O811" s="91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</row>
    <row r="812">
      <c r="A812" s="91"/>
      <c r="B812" s="91"/>
      <c r="C812" s="91"/>
      <c r="D812" s="91"/>
      <c r="E812" s="91"/>
      <c r="F812" s="91"/>
      <c r="G812" s="91"/>
      <c r="H812" s="98"/>
      <c r="I812" s="91"/>
      <c r="J812" s="97"/>
      <c r="K812" s="97"/>
      <c r="L812" s="99"/>
      <c r="M812" s="100"/>
      <c r="N812" s="101"/>
      <c r="O812" s="91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</row>
    <row r="813">
      <c r="A813" s="91"/>
      <c r="B813" s="91"/>
      <c r="C813" s="91"/>
      <c r="D813" s="91"/>
      <c r="E813" s="91"/>
      <c r="F813" s="91"/>
      <c r="G813" s="91"/>
      <c r="H813" s="98"/>
      <c r="I813" s="91"/>
      <c r="J813" s="97"/>
      <c r="K813" s="97"/>
      <c r="L813" s="99"/>
      <c r="M813" s="100"/>
      <c r="N813" s="101"/>
      <c r="O813" s="91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</row>
    <row r="814">
      <c r="A814" s="91"/>
      <c r="B814" s="91"/>
      <c r="C814" s="91"/>
      <c r="D814" s="91"/>
      <c r="E814" s="91"/>
      <c r="F814" s="91"/>
      <c r="G814" s="91"/>
      <c r="H814" s="98"/>
      <c r="I814" s="91"/>
      <c r="J814" s="97"/>
      <c r="K814" s="97"/>
      <c r="L814" s="99"/>
      <c r="M814" s="100"/>
      <c r="N814" s="101"/>
      <c r="O814" s="91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</row>
    <row r="815">
      <c r="A815" s="91"/>
      <c r="B815" s="91"/>
      <c r="C815" s="91"/>
      <c r="D815" s="91"/>
      <c r="E815" s="91"/>
      <c r="F815" s="91"/>
      <c r="G815" s="91"/>
      <c r="H815" s="98"/>
      <c r="I815" s="91"/>
      <c r="J815" s="97"/>
      <c r="K815" s="97"/>
      <c r="L815" s="99"/>
      <c r="M815" s="100"/>
      <c r="N815" s="101"/>
      <c r="O815" s="91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</row>
    <row r="816">
      <c r="A816" s="91"/>
      <c r="B816" s="91"/>
      <c r="C816" s="91"/>
      <c r="D816" s="91"/>
      <c r="E816" s="91"/>
      <c r="F816" s="91"/>
      <c r="G816" s="91"/>
      <c r="H816" s="98"/>
      <c r="I816" s="91"/>
      <c r="J816" s="97"/>
      <c r="K816" s="97"/>
      <c r="L816" s="99"/>
      <c r="M816" s="100"/>
      <c r="N816" s="101"/>
      <c r="O816" s="91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</row>
    <row r="817">
      <c r="A817" s="91"/>
      <c r="B817" s="91"/>
      <c r="C817" s="91"/>
      <c r="D817" s="91"/>
      <c r="E817" s="91"/>
      <c r="F817" s="91"/>
      <c r="G817" s="91"/>
      <c r="H817" s="98"/>
      <c r="I817" s="91"/>
      <c r="J817" s="97"/>
      <c r="K817" s="97"/>
      <c r="L817" s="99"/>
      <c r="M817" s="100"/>
      <c r="N817" s="101"/>
      <c r="O817" s="91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</row>
    <row r="818">
      <c r="A818" s="91"/>
      <c r="B818" s="91"/>
      <c r="C818" s="91"/>
      <c r="D818" s="91"/>
      <c r="E818" s="91"/>
      <c r="F818" s="91"/>
      <c r="G818" s="91"/>
      <c r="H818" s="98"/>
      <c r="I818" s="91"/>
      <c r="J818" s="97"/>
      <c r="K818" s="97"/>
      <c r="L818" s="99"/>
      <c r="M818" s="100"/>
      <c r="N818" s="101"/>
      <c r="O818" s="91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</row>
    <row r="819">
      <c r="A819" s="91"/>
      <c r="B819" s="91"/>
      <c r="C819" s="91"/>
      <c r="D819" s="91"/>
      <c r="E819" s="91"/>
      <c r="F819" s="91"/>
      <c r="G819" s="91"/>
      <c r="H819" s="98"/>
      <c r="I819" s="91"/>
      <c r="J819" s="97"/>
      <c r="K819" s="97"/>
      <c r="L819" s="99"/>
      <c r="M819" s="100"/>
      <c r="N819" s="101"/>
      <c r="O819" s="91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</row>
    <row r="820">
      <c r="A820" s="91"/>
      <c r="B820" s="91"/>
      <c r="C820" s="91"/>
      <c r="D820" s="91"/>
      <c r="E820" s="91"/>
      <c r="F820" s="91"/>
      <c r="G820" s="91"/>
      <c r="H820" s="98"/>
      <c r="I820" s="91"/>
      <c r="J820" s="97"/>
      <c r="K820" s="97"/>
      <c r="L820" s="99"/>
      <c r="M820" s="100"/>
      <c r="N820" s="101"/>
      <c r="O820" s="91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</row>
    <row r="821">
      <c r="A821" s="91"/>
      <c r="B821" s="91"/>
      <c r="C821" s="91"/>
      <c r="D821" s="91"/>
      <c r="E821" s="91"/>
      <c r="F821" s="91"/>
      <c r="G821" s="91"/>
      <c r="H821" s="98"/>
      <c r="I821" s="91"/>
      <c r="J821" s="97"/>
      <c r="K821" s="97"/>
      <c r="L821" s="99"/>
      <c r="M821" s="100"/>
      <c r="N821" s="101"/>
      <c r="O821" s="91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</row>
    <row r="822">
      <c r="A822" s="91"/>
      <c r="B822" s="91"/>
      <c r="C822" s="91"/>
      <c r="D822" s="91"/>
      <c r="E822" s="91"/>
      <c r="F822" s="91"/>
      <c r="G822" s="91"/>
      <c r="H822" s="98"/>
      <c r="I822" s="91"/>
      <c r="J822" s="97"/>
      <c r="K822" s="97"/>
      <c r="L822" s="99"/>
      <c r="M822" s="100"/>
      <c r="N822" s="101"/>
      <c r="O822" s="91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</row>
    <row r="823">
      <c r="A823" s="91"/>
      <c r="B823" s="91"/>
      <c r="C823" s="91"/>
      <c r="D823" s="91"/>
      <c r="E823" s="91"/>
      <c r="F823" s="91"/>
      <c r="G823" s="91"/>
      <c r="H823" s="98"/>
      <c r="I823" s="91"/>
      <c r="J823" s="97"/>
      <c r="K823" s="97"/>
      <c r="L823" s="99"/>
      <c r="M823" s="100"/>
      <c r="N823" s="101"/>
      <c r="O823" s="91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</row>
    <row r="824">
      <c r="A824" s="91"/>
      <c r="B824" s="91"/>
      <c r="C824" s="91"/>
      <c r="D824" s="91"/>
      <c r="E824" s="91"/>
      <c r="F824" s="91"/>
      <c r="G824" s="91"/>
      <c r="H824" s="98"/>
      <c r="I824" s="91"/>
      <c r="J824" s="97"/>
      <c r="K824" s="97"/>
      <c r="L824" s="99"/>
      <c r="M824" s="100"/>
      <c r="N824" s="101"/>
      <c r="O824" s="91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</row>
    <row r="825">
      <c r="A825" s="91"/>
      <c r="B825" s="91"/>
      <c r="C825" s="91"/>
      <c r="D825" s="91"/>
      <c r="E825" s="91"/>
      <c r="F825" s="91"/>
      <c r="G825" s="91"/>
      <c r="H825" s="98"/>
      <c r="I825" s="91"/>
      <c r="J825" s="97"/>
      <c r="K825" s="97"/>
      <c r="L825" s="99"/>
      <c r="M825" s="100"/>
      <c r="N825" s="101"/>
      <c r="O825" s="91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</row>
    <row r="826">
      <c r="A826" s="91"/>
      <c r="B826" s="91"/>
      <c r="C826" s="91"/>
      <c r="D826" s="91"/>
      <c r="E826" s="91"/>
      <c r="F826" s="91"/>
      <c r="G826" s="91"/>
      <c r="H826" s="98"/>
      <c r="I826" s="91"/>
      <c r="J826" s="97"/>
      <c r="K826" s="97"/>
      <c r="L826" s="99"/>
      <c r="M826" s="100"/>
      <c r="N826" s="101"/>
      <c r="O826" s="91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</row>
    <row r="827">
      <c r="A827" s="91"/>
      <c r="B827" s="91"/>
      <c r="C827" s="91"/>
      <c r="D827" s="91"/>
      <c r="E827" s="91"/>
      <c r="F827" s="91"/>
      <c r="G827" s="91"/>
      <c r="H827" s="98"/>
      <c r="I827" s="91"/>
      <c r="J827" s="97"/>
      <c r="K827" s="97"/>
      <c r="L827" s="99"/>
      <c r="M827" s="100"/>
      <c r="N827" s="101"/>
      <c r="O827" s="91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</row>
    <row r="828">
      <c r="A828" s="91"/>
      <c r="B828" s="91"/>
      <c r="C828" s="91"/>
      <c r="D828" s="91"/>
      <c r="E828" s="91"/>
      <c r="F828" s="91"/>
      <c r="G828" s="91"/>
      <c r="H828" s="98"/>
      <c r="I828" s="91"/>
      <c r="J828" s="97"/>
      <c r="K828" s="97"/>
      <c r="L828" s="99"/>
      <c r="M828" s="100"/>
      <c r="N828" s="101"/>
      <c r="O828" s="91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</row>
    <row r="829">
      <c r="A829" s="91"/>
      <c r="B829" s="91"/>
      <c r="C829" s="91"/>
      <c r="D829" s="91"/>
      <c r="E829" s="91"/>
      <c r="F829" s="91"/>
      <c r="G829" s="91"/>
      <c r="H829" s="98"/>
      <c r="I829" s="91"/>
      <c r="J829" s="97"/>
      <c r="K829" s="97"/>
      <c r="L829" s="99"/>
      <c r="M829" s="100"/>
      <c r="N829" s="101"/>
      <c r="O829" s="91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</row>
    <row r="830">
      <c r="A830" s="91"/>
      <c r="B830" s="91"/>
      <c r="C830" s="91"/>
      <c r="D830" s="91"/>
      <c r="E830" s="91"/>
      <c r="F830" s="91"/>
      <c r="G830" s="91"/>
      <c r="H830" s="98"/>
      <c r="I830" s="91"/>
      <c r="J830" s="97"/>
      <c r="K830" s="97"/>
      <c r="L830" s="99"/>
      <c r="M830" s="100"/>
      <c r="N830" s="101"/>
      <c r="O830" s="91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</row>
    <row r="831">
      <c r="A831" s="91"/>
      <c r="B831" s="91"/>
      <c r="C831" s="91"/>
      <c r="D831" s="91"/>
      <c r="E831" s="91"/>
      <c r="F831" s="91"/>
      <c r="G831" s="91"/>
      <c r="H831" s="98"/>
      <c r="I831" s="91"/>
      <c r="J831" s="97"/>
      <c r="K831" s="97"/>
      <c r="L831" s="99"/>
      <c r="M831" s="100"/>
      <c r="N831" s="101"/>
      <c r="O831" s="91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</row>
    <row r="832">
      <c r="A832" s="91"/>
      <c r="B832" s="91"/>
      <c r="C832" s="91"/>
      <c r="D832" s="91"/>
      <c r="E832" s="91"/>
      <c r="F832" s="91"/>
      <c r="G832" s="91"/>
      <c r="H832" s="98"/>
      <c r="I832" s="91"/>
      <c r="J832" s="97"/>
      <c r="K832" s="97"/>
      <c r="L832" s="99"/>
      <c r="M832" s="100"/>
      <c r="N832" s="101"/>
      <c r="O832" s="91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</row>
    <row r="833">
      <c r="A833" s="91"/>
      <c r="B833" s="91"/>
      <c r="C833" s="91"/>
      <c r="D833" s="91"/>
      <c r="E833" s="91"/>
      <c r="F833" s="91"/>
      <c r="G833" s="91"/>
      <c r="H833" s="98"/>
      <c r="I833" s="91"/>
      <c r="J833" s="97"/>
      <c r="K833" s="97"/>
      <c r="L833" s="99"/>
      <c r="M833" s="100"/>
      <c r="N833" s="101"/>
      <c r="O833" s="91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</row>
    <row r="834">
      <c r="A834" s="91"/>
      <c r="B834" s="91"/>
      <c r="C834" s="91"/>
      <c r="D834" s="91"/>
      <c r="E834" s="91"/>
      <c r="F834" s="91"/>
      <c r="G834" s="91"/>
      <c r="H834" s="98"/>
      <c r="I834" s="91"/>
      <c r="J834" s="97"/>
      <c r="K834" s="97"/>
      <c r="L834" s="99"/>
      <c r="M834" s="100"/>
      <c r="N834" s="101"/>
      <c r="O834" s="91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</row>
    <row r="835">
      <c r="A835" s="91"/>
      <c r="B835" s="91"/>
      <c r="C835" s="91"/>
      <c r="D835" s="91"/>
      <c r="E835" s="91"/>
      <c r="F835" s="91"/>
      <c r="G835" s="91"/>
      <c r="H835" s="98"/>
      <c r="I835" s="91"/>
      <c r="J835" s="97"/>
      <c r="K835" s="97"/>
      <c r="L835" s="99"/>
      <c r="M835" s="100"/>
      <c r="N835" s="101"/>
      <c r="O835" s="91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</row>
    <row r="836">
      <c r="A836" s="91"/>
      <c r="B836" s="91"/>
      <c r="C836" s="91"/>
      <c r="D836" s="91"/>
      <c r="E836" s="91"/>
      <c r="F836" s="91"/>
      <c r="G836" s="91"/>
      <c r="H836" s="98"/>
      <c r="I836" s="91"/>
      <c r="J836" s="97"/>
      <c r="K836" s="97"/>
      <c r="L836" s="99"/>
      <c r="M836" s="100"/>
      <c r="N836" s="101"/>
      <c r="O836" s="91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</row>
    <row r="837">
      <c r="A837" s="91"/>
      <c r="B837" s="91"/>
      <c r="C837" s="91"/>
      <c r="D837" s="91"/>
      <c r="E837" s="91"/>
      <c r="F837" s="91"/>
      <c r="G837" s="91"/>
      <c r="H837" s="98"/>
      <c r="I837" s="91"/>
      <c r="J837" s="97"/>
      <c r="K837" s="97"/>
      <c r="L837" s="99"/>
      <c r="M837" s="100"/>
      <c r="N837" s="101"/>
      <c r="O837" s="91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</row>
    <row r="838">
      <c r="A838" s="91"/>
      <c r="B838" s="91"/>
      <c r="C838" s="91"/>
      <c r="D838" s="91"/>
      <c r="E838" s="91"/>
      <c r="F838" s="91"/>
      <c r="G838" s="91"/>
      <c r="H838" s="98"/>
      <c r="I838" s="91"/>
      <c r="J838" s="97"/>
      <c r="K838" s="97"/>
      <c r="L838" s="99"/>
      <c r="M838" s="100"/>
      <c r="N838" s="101"/>
      <c r="O838" s="91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</row>
    <row r="839">
      <c r="A839" s="91"/>
      <c r="B839" s="91"/>
      <c r="C839" s="91"/>
      <c r="D839" s="91"/>
      <c r="E839" s="91"/>
      <c r="F839" s="91"/>
      <c r="G839" s="91"/>
      <c r="H839" s="98"/>
      <c r="I839" s="91"/>
      <c r="J839" s="97"/>
      <c r="K839" s="97"/>
      <c r="L839" s="99"/>
      <c r="M839" s="100"/>
      <c r="N839" s="101"/>
      <c r="O839" s="91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</row>
    <row r="840">
      <c r="A840" s="91"/>
      <c r="B840" s="91"/>
      <c r="C840" s="91"/>
      <c r="D840" s="91"/>
      <c r="E840" s="91"/>
      <c r="F840" s="91"/>
      <c r="G840" s="91"/>
      <c r="H840" s="98"/>
      <c r="I840" s="91"/>
      <c r="J840" s="97"/>
      <c r="K840" s="97"/>
      <c r="L840" s="99"/>
      <c r="M840" s="100"/>
      <c r="N840" s="101"/>
      <c r="O840" s="91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</row>
    <row r="841">
      <c r="A841" s="91"/>
      <c r="B841" s="91"/>
      <c r="C841" s="91"/>
      <c r="D841" s="91"/>
      <c r="E841" s="91"/>
      <c r="F841" s="91"/>
      <c r="G841" s="91"/>
      <c r="H841" s="98"/>
      <c r="I841" s="91"/>
      <c r="J841" s="97"/>
      <c r="K841" s="97"/>
      <c r="L841" s="99"/>
      <c r="M841" s="100"/>
      <c r="N841" s="101"/>
      <c r="O841" s="91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</row>
    <row r="842">
      <c r="A842" s="91"/>
      <c r="B842" s="91"/>
      <c r="C842" s="91"/>
      <c r="D842" s="91"/>
      <c r="E842" s="91"/>
      <c r="F842" s="91"/>
      <c r="G842" s="91"/>
      <c r="H842" s="98"/>
      <c r="I842" s="91"/>
      <c r="J842" s="97"/>
      <c r="K842" s="97"/>
      <c r="L842" s="99"/>
      <c r="M842" s="100"/>
      <c r="N842" s="101"/>
      <c r="O842" s="91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</row>
    <row r="843">
      <c r="A843" s="91"/>
      <c r="B843" s="91"/>
      <c r="C843" s="91"/>
      <c r="D843" s="91"/>
      <c r="E843" s="91"/>
      <c r="F843" s="91"/>
      <c r="G843" s="91"/>
      <c r="H843" s="98"/>
      <c r="I843" s="91"/>
      <c r="J843" s="97"/>
      <c r="K843" s="97"/>
      <c r="L843" s="99"/>
      <c r="M843" s="100"/>
      <c r="N843" s="101"/>
      <c r="O843" s="91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</row>
    <row r="844">
      <c r="A844" s="91"/>
      <c r="B844" s="91"/>
      <c r="C844" s="91"/>
      <c r="D844" s="91"/>
      <c r="E844" s="91"/>
      <c r="F844" s="91"/>
      <c r="G844" s="91"/>
      <c r="H844" s="98"/>
      <c r="I844" s="91"/>
      <c r="J844" s="97"/>
      <c r="K844" s="97"/>
      <c r="L844" s="99"/>
      <c r="M844" s="100"/>
      <c r="N844" s="101"/>
      <c r="O844" s="91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</row>
    <row r="845">
      <c r="A845" s="91"/>
      <c r="B845" s="91"/>
      <c r="C845" s="91"/>
      <c r="D845" s="91"/>
      <c r="E845" s="91"/>
      <c r="F845" s="91"/>
      <c r="G845" s="91"/>
      <c r="H845" s="98"/>
      <c r="I845" s="91"/>
      <c r="J845" s="97"/>
      <c r="K845" s="97"/>
      <c r="L845" s="99"/>
      <c r="M845" s="100"/>
      <c r="N845" s="101"/>
      <c r="O845" s="91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</row>
    <row r="846">
      <c r="A846" s="91"/>
      <c r="B846" s="91"/>
      <c r="C846" s="91"/>
      <c r="D846" s="91"/>
      <c r="E846" s="91"/>
      <c r="F846" s="91"/>
      <c r="G846" s="91"/>
      <c r="H846" s="98"/>
      <c r="I846" s="91"/>
      <c r="J846" s="97"/>
      <c r="K846" s="97"/>
      <c r="L846" s="99"/>
      <c r="M846" s="100"/>
      <c r="N846" s="101"/>
      <c r="O846" s="91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</row>
    <row r="847">
      <c r="A847" s="91"/>
      <c r="B847" s="91"/>
      <c r="C847" s="91"/>
      <c r="D847" s="91"/>
      <c r="E847" s="91"/>
      <c r="F847" s="91"/>
      <c r="G847" s="91"/>
      <c r="H847" s="98"/>
      <c r="I847" s="91"/>
      <c r="J847" s="97"/>
      <c r="K847" s="97"/>
      <c r="L847" s="99"/>
      <c r="M847" s="100"/>
      <c r="N847" s="101"/>
      <c r="O847" s="91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</row>
    <row r="848">
      <c r="A848" s="91"/>
      <c r="B848" s="91"/>
      <c r="C848" s="91"/>
      <c r="D848" s="91"/>
      <c r="E848" s="91"/>
      <c r="F848" s="91"/>
      <c r="G848" s="91"/>
      <c r="H848" s="98"/>
      <c r="I848" s="91"/>
      <c r="J848" s="97"/>
      <c r="K848" s="97"/>
      <c r="L848" s="99"/>
      <c r="M848" s="100"/>
      <c r="N848" s="101"/>
      <c r="O848" s="91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</row>
    <row r="849">
      <c r="A849" s="91"/>
      <c r="B849" s="91"/>
      <c r="C849" s="91"/>
      <c r="D849" s="91"/>
      <c r="E849" s="91"/>
      <c r="F849" s="91"/>
      <c r="G849" s="91"/>
      <c r="H849" s="98"/>
      <c r="I849" s="91"/>
      <c r="J849" s="97"/>
      <c r="K849" s="97"/>
      <c r="L849" s="99"/>
      <c r="M849" s="100"/>
      <c r="N849" s="101"/>
      <c r="O849" s="91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</row>
    <row r="850">
      <c r="A850" s="91"/>
      <c r="B850" s="91"/>
      <c r="C850" s="91"/>
      <c r="D850" s="91"/>
      <c r="E850" s="91"/>
      <c r="F850" s="91"/>
      <c r="G850" s="91"/>
      <c r="H850" s="98"/>
      <c r="I850" s="91"/>
      <c r="J850" s="97"/>
      <c r="K850" s="97"/>
      <c r="L850" s="99"/>
      <c r="M850" s="100"/>
      <c r="N850" s="101"/>
      <c r="O850" s="91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</row>
    <row r="851">
      <c r="A851" s="91"/>
      <c r="B851" s="91"/>
      <c r="C851" s="91"/>
      <c r="D851" s="91"/>
      <c r="E851" s="91"/>
      <c r="F851" s="91"/>
      <c r="G851" s="91"/>
      <c r="H851" s="98"/>
      <c r="I851" s="91"/>
      <c r="J851" s="97"/>
      <c r="K851" s="97"/>
      <c r="L851" s="99"/>
      <c r="M851" s="100"/>
      <c r="N851" s="101"/>
      <c r="O851" s="91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</row>
    <row r="852">
      <c r="A852" s="91"/>
      <c r="B852" s="91"/>
      <c r="C852" s="91"/>
      <c r="D852" s="91"/>
      <c r="E852" s="91"/>
      <c r="F852" s="91"/>
      <c r="G852" s="91"/>
      <c r="H852" s="98"/>
      <c r="I852" s="91"/>
      <c r="J852" s="97"/>
      <c r="K852" s="97"/>
      <c r="L852" s="99"/>
      <c r="M852" s="100"/>
      <c r="N852" s="101"/>
      <c r="O852" s="91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</row>
    <row r="853">
      <c r="A853" s="91"/>
      <c r="B853" s="91"/>
      <c r="C853" s="91"/>
      <c r="D853" s="91"/>
      <c r="E853" s="91"/>
      <c r="F853" s="91"/>
      <c r="G853" s="91"/>
      <c r="H853" s="98"/>
      <c r="I853" s="91"/>
      <c r="J853" s="97"/>
      <c r="K853" s="97"/>
      <c r="L853" s="99"/>
      <c r="M853" s="100"/>
      <c r="N853" s="101"/>
      <c r="O853" s="91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</row>
    <row r="854">
      <c r="A854" s="91"/>
      <c r="B854" s="91"/>
      <c r="C854" s="91"/>
      <c r="D854" s="91"/>
      <c r="E854" s="91"/>
      <c r="F854" s="91"/>
      <c r="G854" s="91"/>
      <c r="H854" s="98"/>
      <c r="I854" s="91"/>
      <c r="J854" s="97"/>
      <c r="K854" s="97"/>
      <c r="L854" s="99"/>
      <c r="M854" s="100"/>
      <c r="N854" s="101"/>
      <c r="O854" s="91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</row>
    <row r="855">
      <c r="A855" s="91"/>
      <c r="B855" s="91"/>
      <c r="C855" s="91"/>
      <c r="D855" s="91"/>
      <c r="E855" s="91"/>
      <c r="F855" s="91"/>
      <c r="G855" s="91"/>
      <c r="H855" s="98"/>
      <c r="I855" s="91"/>
      <c r="J855" s="97"/>
      <c r="K855" s="97"/>
      <c r="L855" s="99"/>
      <c r="M855" s="100"/>
      <c r="N855" s="101"/>
      <c r="O855" s="91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</row>
    <row r="856">
      <c r="A856" s="91"/>
      <c r="B856" s="91"/>
      <c r="C856" s="91"/>
      <c r="D856" s="91"/>
      <c r="E856" s="91"/>
      <c r="F856" s="91"/>
      <c r="G856" s="91"/>
      <c r="H856" s="98"/>
      <c r="I856" s="91"/>
      <c r="J856" s="97"/>
      <c r="K856" s="97"/>
      <c r="L856" s="99"/>
      <c r="M856" s="100"/>
      <c r="N856" s="101"/>
      <c r="O856" s="91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</row>
    <row r="857">
      <c r="A857" s="91"/>
      <c r="B857" s="91"/>
      <c r="C857" s="91"/>
      <c r="D857" s="91"/>
      <c r="E857" s="91"/>
      <c r="F857" s="91"/>
      <c r="G857" s="91"/>
      <c r="H857" s="98"/>
      <c r="I857" s="91"/>
      <c r="J857" s="97"/>
      <c r="K857" s="97"/>
      <c r="L857" s="99"/>
      <c r="M857" s="100"/>
      <c r="N857" s="101"/>
      <c r="O857" s="91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</row>
    <row r="858">
      <c r="A858" s="91"/>
      <c r="B858" s="91"/>
      <c r="C858" s="91"/>
      <c r="D858" s="91"/>
      <c r="E858" s="91"/>
      <c r="F858" s="91"/>
      <c r="G858" s="91"/>
      <c r="H858" s="98"/>
      <c r="I858" s="91"/>
      <c r="J858" s="97"/>
      <c r="K858" s="97"/>
      <c r="L858" s="99"/>
      <c r="M858" s="100"/>
      <c r="N858" s="101"/>
      <c r="O858" s="91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</row>
    <row r="859">
      <c r="A859" s="91"/>
      <c r="B859" s="91"/>
      <c r="C859" s="91"/>
      <c r="D859" s="91"/>
      <c r="E859" s="91"/>
      <c r="F859" s="91"/>
      <c r="G859" s="91"/>
      <c r="H859" s="98"/>
      <c r="I859" s="91"/>
      <c r="J859" s="97"/>
      <c r="K859" s="97"/>
      <c r="L859" s="99"/>
      <c r="M859" s="100"/>
      <c r="N859" s="101"/>
      <c r="O859" s="91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</row>
    <row r="860">
      <c r="A860" s="91"/>
      <c r="B860" s="91"/>
      <c r="C860" s="91"/>
      <c r="D860" s="91"/>
      <c r="E860" s="91"/>
      <c r="F860" s="91"/>
      <c r="G860" s="91"/>
      <c r="H860" s="98"/>
      <c r="I860" s="91"/>
      <c r="J860" s="97"/>
      <c r="K860" s="97"/>
      <c r="L860" s="99"/>
      <c r="M860" s="100"/>
      <c r="N860" s="101"/>
      <c r="O860" s="91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</row>
    <row r="861">
      <c r="A861" s="91"/>
      <c r="B861" s="91"/>
      <c r="C861" s="91"/>
      <c r="D861" s="91"/>
      <c r="E861" s="91"/>
      <c r="F861" s="91"/>
      <c r="G861" s="91"/>
      <c r="H861" s="98"/>
      <c r="I861" s="91"/>
      <c r="J861" s="97"/>
      <c r="K861" s="97"/>
      <c r="L861" s="99"/>
      <c r="M861" s="100"/>
      <c r="N861" s="101"/>
      <c r="O861" s="91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</row>
    <row r="862">
      <c r="A862" s="91"/>
      <c r="B862" s="91"/>
      <c r="C862" s="91"/>
      <c r="D862" s="91"/>
      <c r="E862" s="91"/>
      <c r="F862" s="91"/>
      <c r="G862" s="91"/>
      <c r="H862" s="98"/>
      <c r="I862" s="91"/>
      <c r="J862" s="97"/>
      <c r="K862" s="97"/>
      <c r="L862" s="99"/>
      <c r="M862" s="100"/>
      <c r="N862" s="101"/>
      <c r="O862" s="91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</row>
    <row r="863">
      <c r="A863" s="91"/>
      <c r="B863" s="91"/>
      <c r="C863" s="91"/>
      <c r="D863" s="91"/>
      <c r="E863" s="91"/>
      <c r="F863" s="91"/>
      <c r="G863" s="91"/>
      <c r="H863" s="98"/>
      <c r="I863" s="91"/>
      <c r="J863" s="97"/>
      <c r="K863" s="97"/>
      <c r="L863" s="99"/>
      <c r="M863" s="100"/>
      <c r="N863" s="101"/>
      <c r="O863" s="91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</row>
    <row r="864">
      <c r="A864" s="91"/>
      <c r="B864" s="91"/>
      <c r="C864" s="91"/>
      <c r="D864" s="91"/>
      <c r="E864" s="91"/>
      <c r="F864" s="91"/>
      <c r="G864" s="91"/>
      <c r="H864" s="98"/>
      <c r="I864" s="91"/>
      <c r="J864" s="97"/>
      <c r="K864" s="97"/>
      <c r="L864" s="99"/>
      <c r="M864" s="100"/>
      <c r="N864" s="101"/>
      <c r="O864" s="91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</row>
    <row r="865">
      <c r="A865" s="91"/>
      <c r="B865" s="91"/>
      <c r="C865" s="91"/>
      <c r="D865" s="91"/>
      <c r="E865" s="91"/>
      <c r="F865" s="91"/>
      <c r="G865" s="91"/>
      <c r="H865" s="98"/>
      <c r="I865" s="91"/>
      <c r="J865" s="97"/>
      <c r="K865" s="97"/>
      <c r="L865" s="99"/>
      <c r="M865" s="100"/>
      <c r="N865" s="101"/>
      <c r="O865" s="91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</row>
    <row r="866">
      <c r="A866" s="91"/>
      <c r="B866" s="91"/>
      <c r="C866" s="91"/>
      <c r="D866" s="91"/>
      <c r="E866" s="91"/>
      <c r="F866" s="91"/>
      <c r="G866" s="91"/>
      <c r="H866" s="98"/>
      <c r="I866" s="91"/>
      <c r="J866" s="97"/>
      <c r="K866" s="97"/>
      <c r="L866" s="99"/>
      <c r="M866" s="100"/>
      <c r="N866" s="101"/>
      <c r="O866" s="91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</row>
    <row r="867">
      <c r="A867" s="91"/>
      <c r="B867" s="91"/>
      <c r="C867" s="91"/>
      <c r="D867" s="91"/>
      <c r="E867" s="91"/>
      <c r="F867" s="91"/>
      <c r="G867" s="91"/>
      <c r="H867" s="98"/>
      <c r="I867" s="91"/>
      <c r="J867" s="97"/>
      <c r="K867" s="97"/>
      <c r="L867" s="99"/>
      <c r="M867" s="100"/>
      <c r="N867" s="101"/>
      <c r="O867" s="91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</row>
    <row r="868">
      <c r="A868" s="91"/>
      <c r="B868" s="91"/>
      <c r="C868" s="91"/>
      <c r="D868" s="91"/>
      <c r="E868" s="91"/>
      <c r="F868" s="91"/>
      <c r="G868" s="91"/>
      <c r="H868" s="98"/>
      <c r="I868" s="91"/>
      <c r="J868" s="97"/>
      <c r="K868" s="97"/>
      <c r="L868" s="99"/>
      <c r="M868" s="100"/>
      <c r="N868" s="101"/>
      <c r="O868" s="91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</row>
    <row r="869">
      <c r="A869" s="91"/>
      <c r="B869" s="91"/>
      <c r="C869" s="91"/>
      <c r="D869" s="91"/>
      <c r="E869" s="91"/>
      <c r="F869" s="91"/>
      <c r="G869" s="91"/>
      <c r="H869" s="98"/>
      <c r="I869" s="91"/>
      <c r="J869" s="97"/>
      <c r="K869" s="97"/>
      <c r="L869" s="99"/>
      <c r="M869" s="100"/>
      <c r="N869" s="101"/>
      <c r="O869" s="91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</row>
    <row r="870">
      <c r="A870" s="91"/>
      <c r="B870" s="91"/>
      <c r="C870" s="91"/>
      <c r="D870" s="91"/>
      <c r="E870" s="91"/>
      <c r="F870" s="91"/>
      <c r="G870" s="91"/>
      <c r="H870" s="98"/>
      <c r="I870" s="91"/>
      <c r="J870" s="97"/>
      <c r="K870" s="97"/>
      <c r="L870" s="99"/>
      <c r="M870" s="100"/>
      <c r="N870" s="101"/>
      <c r="O870" s="91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</row>
    <row r="871">
      <c r="A871" s="91"/>
      <c r="B871" s="91"/>
      <c r="C871" s="91"/>
      <c r="D871" s="91"/>
      <c r="E871" s="91"/>
      <c r="F871" s="91"/>
      <c r="G871" s="91"/>
      <c r="H871" s="98"/>
      <c r="I871" s="91"/>
      <c r="J871" s="97"/>
      <c r="K871" s="97"/>
      <c r="L871" s="99"/>
      <c r="M871" s="100"/>
      <c r="N871" s="101"/>
      <c r="O871" s="91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</row>
    <row r="872">
      <c r="A872" s="91"/>
      <c r="B872" s="91"/>
      <c r="C872" s="91"/>
      <c r="D872" s="91"/>
      <c r="E872" s="91"/>
      <c r="F872" s="91"/>
      <c r="G872" s="91"/>
      <c r="H872" s="98"/>
      <c r="I872" s="91"/>
      <c r="J872" s="97"/>
      <c r="K872" s="97"/>
      <c r="L872" s="99"/>
      <c r="M872" s="100"/>
      <c r="N872" s="101"/>
      <c r="O872" s="91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</row>
    <row r="873">
      <c r="A873" s="91"/>
      <c r="B873" s="91"/>
      <c r="C873" s="91"/>
      <c r="D873" s="91"/>
      <c r="E873" s="91"/>
      <c r="F873" s="91"/>
      <c r="G873" s="91"/>
      <c r="H873" s="98"/>
      <c r="I873" s="91"/>
      <c r="J873" s="97"/>
      <c r="K873" s="97"/>
      <c r="L873" s="99"/>
      <c r="M873" s="100"/>
      <c r="N873" s="101"/>
      <c r="O873" s="91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</row>
    <row r="874">
      <c r="A874" s="91"/>
      <c r="B874" s="91"/>
      <c r="C874" s="91"/>
      <c r="D874" s="91"/>
      <c r="E874" s="91"/>
      <c r="F874" s="91"/>
      <c r="G874" s="91"/>
      <c r="H874" s="98"/>
      <c r="I874" s="91"/>
      <c r="J874" s="97"/>
      <c r="K874" s="97"/>
      <c r="L874" s="99"/>
      <c r="M874" s="100"/>
      <c r="N874" s="101"/>
      <c r="O874" s="91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</row>
    <row r="875">
      <c r="A875" s="91"/>
      <c r="B875" s="91"/>
      <c r="C875" s="91"/>
      <c r="D875" s="91"/>
      <c r="E875" s="91"/>
      <c r="F875" s="91"/>
      <c r="G875" s="91"/>
      <c r="H875" s="98"/>
      <c r="I875" s="91"/>
      <c r="J875" s="97"/>
      <c r="K875" s="97"/>
      <c r="L875" s="99"/>
      <c r="M875" s="100"/>
      <c r="N875" s="101"/>
      <c r="O875" s="91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</row>
    <row r="876">
      <c r="A876" s="91"/>
      <c r="B876" s="91"/>
      <c r="C876" s="91"/>
      <c r="D876" s="91"/>
      <c r="E876" s="91"/>
      <c r="F876" s="91"/>
      <c r="G876" s="91"/>
      <c r="H876" s="98"/>
      <c r="I876" s="91"/>
      <c r="J876" s="97"/>
      <c r="K876" s="97"/>
      <c r="L876" s="99"/>
      <c r="M876" s="100"/>
      <c r="N876" s="101"/>
      <c r="O876" s="91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</row>
    <row r="877">
      <c r="A877" s="91"/>
      <c r="B877" s="91"/>
      <c r="C877" s="91"/>
      <c r="D877" s="91"/>
      <c r="E877" s="91"/>
      <c r="F877" s="91"/>
      <c r="G877" s="91"/>
      <c r="H877" s="98"/>
      <c r="I877" s="91"/>
      <c r="J877" s="97"/>
      <c r="K877" s="97"/>
      <c r="L877" s="99"/>
      <c r="M877" s="100"/>
      <c r="N877" s="101"/>
      <c r="O877" s="91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</row>
    <row r="878">
      <c r="A878" s="91"/>
      <c r="B878" s="91"/>
      <c r="C878" s="91"/>
      <c r="D878" s="91"/>
      <c r="E878" s="91"/>
      <c r="F878" s="91"/>
      <c r="G878" s="91"/>
      <c r="H878" s="98"/>
      <c r="I878" s="91"/>
      <c r="J878" s="97"/>
      <c r="K878" s="97"/>
      <c r="L878" s="99"/>
      <c r="M878" s="100"/>
      <c r="N878" s="101"/>
      <c r="O878" s="91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</row>
    <row r="879">
      <c r="A879" s="91"/>
      <c r="B879" s="91"/>
      <c r="C879" s="91"/>
      <c r="D879" s="91"/>
      <c r="E879" s="91"/>
      <c r="F879" s="91"/>
      <c r="G879" s="91"/>
      <c r="H879" s="98"/>
      <c r="I879" s="91"/>
      <c r="J879" s="97"/>
      <c r="K879" s="97"/>
      <c r="L879" s="99"/>
      <c r="M879" s="100"/>
      <c r="N879" s="101"/>
      <c r="O879" s="91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</row>
    <row r="880">
      <c r="A880" s="91"/>
      <c r="B880" s="91"/>
      <c r="C880" s="91"/>
      <c r="D880" s="91"/>
      <c r="E880" s="91"/>
      <c r="F880" s="91"/>
      <c r="G880" s="91"/>
      <c r="H880" s="98"/>
      <c r="I880" s="91"/>
      <c r="J880" s="97"/>
      <c r="K880" s="97"/>
      <c r="L880" s="99"/>
      <c r="M880" s="100"/>
      <c r="N880" s="101"/>
      <c r="O880" s="91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</row>
    <row r="881">
      <c r="A881" s="91"/>
      <c r="B881" s="91"/>
      <c r="C881" s="91"/>
      <c r="D881" s="91"/>
      <c r="E881" s="91"/>
      <c r="F881" s="91"/>
      <c r="G881" s="91"/>
      <c r="H881" s="98"/>
      <c r="I881" s="91"/>
      <c r="J881" s="97"/>
      <c r="K881" s="97"/>
      <c r="L881" s="99"/>
      <c r="M881" s="100"/>
      <c r="N881" s="101"/>
      <c r="O881" s="91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</row>
    <row r="882">
      <c r="A882" s="91"/>
      <c r="B882" s="91"/>
      <c r="C882" s="91"/>
      <c r="D882" s="91"/>
      <c r="E882" s="91"/>
      <c r="F882" s="91"/>
      <c r="G882" s="91"/>
      <c r="H882" s="98"/>
      <c r="I882" s="91"/>
      <c r="J882" s="97"/>
      <c r="K882" s="97"/>
      <c r="L882" s="99"/>
      <c r="M882" s="100"/>
      <c r="N882" s="101"/>
      <c r="O882" s="91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</row>
    <row r="883">
      <c r="A883" s="91"/>
      <c r="B883" s="91"/>
      <c r="C883" s="91"/>
      <c r="D883" s="91"/>
      <c r="E883" s="91"/>
      <c r="F883" s="91"/>
      <c r="G883" s="91"/>
      <c r="H883" s="98"/>
      <c r="I883" s="91"/>
      <c r="J883" s="97"/>
      <c r="K883" s="97"/>
      <c r="L883" s="99"/>
      <c r="M883" s="100"/>
      <c r="N883" s="101"/>
      <c r="O883" s="91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</row>
    <row r="884">
      <c r="A884" s="91"/>
      <c r="B884" s="91"/>
      <c r="C884" s="91"/>
      <c r="D884" s="91"/>
      <c r="E884" s="91"/>
      <c r="F884" s="91"/>
      <c r="G884" s="91"/>
      <c r="H884" s="98"/>
      <c r="I884" s="91"/>
      <c r="J884" s="97"/>
      <c r="K884" s="97"/>
      <c r="L884" s="99"/>
      <c r="M884" s="100"/>
      <c r="N884" s="101"/>
      <c r="O884" s="91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</row>
    <row r="885">
      <c r="A885" s="91"/>
      <c r="B885" s="91"/>
      <c r="C885" s="91"/>
      <c r="D885" s="91"/>
      <c r="E885" s="91"/>
      <c r="F885" s="91"/>
      <c r="G885" s="91"/>
      <c r="H885" s="98"/>
      <c r="I885" s="91"/>
      <c r="J885" s="97"/>
      <c r="K885" s="97"/>
      <c r="L885" s="99"/>
      <c r="M885" s="100"/>
      <c r="N885" s="101"/>
      <c r="O885" s="91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</row>
    <row r="886">
      <c r="A886" s="91"/>
      <c r="B886" s="91"/>
      <c r="C886" s="91"/>
      <c r="D886" s="91"/>
      <c r="E886" s="91"/>
      <c r="F886" s="91"/>
      <c r="G886" s="91"/>
      <c r="H886" s="98"/>
      <c r="I886" s="91"/>
      <c r="J886" s="97"/>
      <c r="K886" s="97"/>
      <c r="L886" s="99"/>
      <c r="M886" s="100"/>
      <c r="N886" s="101"/>
      <c r="O886" s="91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</row>
    <row r="887">
      <c r="A887" s="91"/>
      <c r="B887" s="91"/>
      <c r="C887" s="91"/>
      <c r="D887" s="91"/>
      <c r="E887" s="91"/>
      <c r="F887" s="91"/>
      <c r="G887" s="91"/>
      <c r="H887" s="98"/>
      <c r="I887" s="91"/>
      <c r="J887" s="97"/>
      <c r="K887" s="97"/>
      <c r="L887" s="99"/>
      <c r="M887" s="100"/>
      <c r="N887" s="101"/>
      <c r="O887" s="91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</row>
    <row r="888">
      <c r="A888" s="91"/>
      <c r="B888" s="91"/>
      <c r="C888" s="91"/>
      <c r="D888" s="91"/>
      <c r="E888" s="91"/>
      <c r="F888" s="91"/>
      <c r="G888" s="91"/>
      <c r="H888" s="98"/>
      <c r="I888" s="91"/>
      <c r="J888" s="97"/>
      <c r="K888" s="97"/>
      <c r="L888" s="99"/>
      <c r="M888" s="100"/>
      <c r="N888" s="101"/>
      <c r="O888" s="91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</row>
    <row r="889">
      <c r="A889" s="91"/>
      <c r="B889" s="91"/>
      <c r="C889" s="91"/>
      <c r="D889" s="91"/>
      <c r="E889" s="91"/>
      <c r="F889" s="91"/>
      <c r="G889" s="91"/>
      <c r="H889" s="98"/>
      <c r="I889" s="91"/>
      <c r="J889" s="97"/>
      <c r="K889" s="97"/>
      <c r="L889" s="99"/>
      <c r="M889" s="100"/>
      <c r="N889" s="101"/>
      <c r="O889" s="91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</row>
    <row r="890">
      <c r="A890" s="91"/>
      <c r="B890" s="91"/>
      <c r="C890" s="91"/>
      <c r="D890" s="91"/>
      <c r="E890" s="91"/>
      <c r="F890" s="91"/>
      <c r="G890" s="91"/>
      <c r="H890" s="98"/>
      <c r="I890" s="91"/>
      <c r="J890" s="97"/>
      <c r="K890" s="97"/>
      <c r="L890" s="99"/>
      <c r="M890" s="100"/>
      <c r="N890" s="101"/>
      <c r="O890" s="91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</row>
    <row r="891">
      <c r="A891" s="91"/>
      <c r="B891" s="91"/>
      <c r="C891" s="91"/>
      <c r="D891" s="91"/>
      <c r="E891" s="91"/>
      <c r="F891" s="91"/>
      <c r="G891" s="91"/>
      <c r="H891" s="98"/>
      <c r="I891" s="91"/>
      <c r="J891" s="97"/>
      <c r="K891" s="97"/>
      <c r="L891" s="99"/>
      <c r="M891" s="100"/>
      <c r="N891" s="101"/>
      <c r="O891" s="91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</row>
    <row r="892">
      <c r="A892" s="91"/>
      <c r="B892" s="91"/>
      <c r="C892" s="91"/>
      <c r="D892" s="91"/>
      <c r="E892" s="91"/>
      <c r="F892" s="91"/>
      <c r="G892" s="91"/>
      <c r="H892" s="98"/>
      <c r="I892" s="91"/>
      <c r="J892" s="97"/>
      <c r="K892" s="97"/>
      <c r="L892" s="99"/>
      <c r="M892" s="100"/>
      <c r="N892" s="101"/>
      <c r="O892" s="91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</row>
    <row r="893">
      <c r="A893" s="91"/>
      <c r="B893" s="91"/>
      <c r="C893" s="91"/>
      <c r="D893" s="91"/>
      <c r="E893" s="91"/>
      <c r="F893" s="91"/>
      <c r="G893" s="91"/>
      <c r="H893" s="98"/>
      <c r="I893" s="91"/>
      <c r="J893" s="97"/>
      <c r="K893" s="97"/>
      <c r="L893" s="99"/>
      <c r="M893" s="100"/>
      <c r="N893" s="101"/>
      <c r="O893" s="91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</row>
    <row r="894">
      <c r="A894" s="91"/>
      <c r="B894" s="91"/>
      <c r="C894" s="91"/>
      <c r="D894" s="91"/>
      <c r="E894" s="91"/>
      <c r="F894" s="91"/>
      <c r="G894" s="91"/>
      <c r="H894" s="98"/>
      <c r="I894" s="91"/>
      <c r="J894" s="97"/>
      <c r="K894" s="97"/>
      <c r="L894" s="99"/>
      <c r="M894" s="100"/>
      <c r="N894" s="101"/>
      <c r="O894" s="91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</row>
    <row r="895">
      <c r="A895" s="91"/>
      <c r="B895" s="91"/>
      <c r="C895" s="91"/>
      <c r="D895" s="91"/>
      <c r="E895" s="91"/>
      <c r="F895" s="91"/>
      <c r="G895" s="91"/>
      <c r="H895" s="98"/>
      <c r="I895" s="91"/>
      <c r="J895" s="97"/>
      <c r="K895" s="97"/>
      <c r="L895" s="99"/>
      <c r="M895" s="100"/>
      <c r="N895" s="101"/>
      <c r="O895" s="91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</row>
    <row r="896">
      <c r="A896" s="91"/>
      <c r="B896" s="91"/>
      <c r="C896" s="91"/>
      <c r="D896" s="91"/>
      <c r="E896" s="91"/>
      <c r="F896" s="91"/>
      <c r="G896" s="91"/>
      <c r="H896" s="98"/>
      <c r="I896" s="91"/>
      <c r="J896" s="97"/>
      <c r="K896" s="97"/>
      <c r="L896" s="99"/>
      <c r="M896" s="100"/>
      <c r="N896" s="101"/>
      <c r="O896" s="91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</row>
    <row r="897">
      <c r="A897" s="91"/>
      <c r="B897" s="91"/>
      <c r="C897" s="91"/>
      <c r="D897" s="91"/>
      <c r="E897" s="91"/>
      <c r="F897" s="91"/>
      <c r="G897" s="91"/>
      <c r="H897" s="98"/>
      <c r="I897" s="91"/>
      <c r="J897" s="97"/>
      <c r="K897" s="97"/>
      <c r="L897" s="99"/>
      <c r="M897" s="100"/>
      <c r="N897" s="101"/>
      <c r="O897" s="91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</row>
    <row r="898">
      <c r="A898" s="91"/>
      <c r="B898" s="91"/>
      <c r="C898" s="91"/>
      <c r="D898" s="91"/>
      <c r="E898" s="91"/>
      <c r="F898" s="91"/>
      <c r="G898" s="91"/>
      <c r="H898" s="98"/>
      <c r="I898" s="91"/>
      <c r="J898" s="97"/>
      <c r="K898" s="97"/>
      <c r="L898" s="99"/>
      <c r="M898" s="100"/>
      <c r="N898" s="101"/>
      <c r="O898" s="91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</row>
    <row r="899">
      <c r="A899" s="91"/>
      <c r="B899" s="91"/>
      <c r="C899" s="91"/>
      <c r="D899" s="91"/>
      <c r="E899" s="91"/>
      <c r="F899" s="91"/>
      <c r="G899" s="91"/>
      <c r="H899" s="98"/>
      <c r="I899" s="91"/>
      <c r="J899" s="97"/>
      <c r="K899" s="97"/>
      <c r="L899" s="99"/>
      <c r="M899" s="100"/>
      <c r="N899" s="101"/>
      <c r="O899" s="91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</row>
    <row r="900">
      <c r="A900" s="91"/>
      <c r="B900" s="91"/>
      <c r="C900" s="91"/>
      <c r="D900" s="91"/>
      <c r="E900" s="91"/>
      <c r="F900" s="91"/>
      <c r="G900" s="91"/>
      <c r="H900" s="98"/>
      <c r="I900" s="91"/>
      <c r="J900" s="97"/>
      <c r="K900" s="97"/>
      <c r="L900" s="99"/>
      <c r="M900" s="100"/>
      <c r="N900" s="101"/>
      <c r="O900" s="91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</row>
    <row r="901">
      <c r="A901" s="91"/>
      <c r="B901" s="91"/>
      <c r="C901" s="91"/>
      <c r="D901" s="91"/>
      <c r="E901" s="91"/>
      <c r="F901" s="91"/>
      <c r="G901" s="91"/>
      <c r="H901" s="98"/>
      <c r="I901" s="91"/>
      <c r="J901" s="97"/>
      <c r="K901" s="97"/>
      <c r="L901" s="99"/>
      <c r="M901" s="100"/>
      <c r="N901" s="101"/>
      <c r="O901" s="91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</row>
    <row r="902">
      <c r="A902" s="91"/>
      <c r="B902" s="91"/>
      <c r="C902" s="91"/>
      <c r="D902" s="91"/>
      <c r="E902" s="91"/>
      <c r="F902" s="91"/>
      <c r="G902" s="91"/>
      <c r="H902" s="98"/>
      <c r="I902" s="91"/>
      <c r="J902" s="97"/>
      <c r="K902" s="97"/>
      <c r="L902" s="99"/>
      <c r="M902" s="100"/>
      <c r="N902" s="101"/>
      <c r="O902" s="91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</row>
    <row r="903">
      <c r="A903" s="91"/>
      <c r="B903" s="91"/>
      <c r="C903" s="91"/>
      <c r="D903" s="91"/>
      <c r="E903" s="91"/>
      <c r="F903" s="91"/>
      <c r="G903" s="91"/>
      <c r="H903" s="98"/>
      <c r="I903" s="91"/>
      <c r="J903" s="97"/>
      <c r="K903" s="97"/>
      <c r="L903" s="99"/>
      <c r="M903" s="100"/>
      <c r="N903" s="101"/>
      <c r="O903" s="91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</row>
    <row r="904">
      <c r="A904" s="91"/>
      <c r="B904" s="91"/>
      <c r="C904" s="91"/>
      <c r="D904" s="91"/>
      <c r="E904" s="91"/>
      <c r="F904" s="91"/>
      <c r="G904" s="91"/>
      <c r="H904" s="98"/>
      <c r="I904" s="91"/>
      <c r="J904" s="97"/>
      <c r="K904" s="97"/>
      <c r="L904" s="99"/>
      <c r="M904" s="100"/>
      <c r="N904" s="101"/>
      <c r="O904" s="91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</row>
    <row r="905">
      <c r="A905" s="91"/>
      <c r="B905" s="91"/>
      <c r="C905" s="91"/>
      <c r="D905" s="91"/>
      <c r="E905" s="91"/>
      <c r="F905" s="91"/>
      <c r="G905" s="91"/>
      <c r="H905" s="98"/>
      <c r="I905" s="91"/>
      <c r="J905" s="97"/>
      <c r="K905" s="97"/>
      <c r="L905" s="99"/>
      <c r="M905" s="100"/>
      <c r="N905" s="101"/>
      <c r="O905" s="91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</row>
    <row r="906">
      <c r="A906" s="91"/>
      <c r="B906" s="91"/>
      <c r="C906" s="91"/>
      <c r="D906" s="91"/>
      <c r="E906" s="91"/>
      <c r="F906" s="91"/>
      <c r="G906" s="91"/>
      <c r="H906" s="98"/>
      <c r="I906" s="91"/>
      <c r="J906" s="97"/>
      <c r="K906" s="97"/>
      <c r="L906" s="99"/>
      <c r="M906" s="100"/>
      <c r="N906" s="101"/>
      <c r="O906" s="91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</row>
    <row r="907">
      <c r="A907" s="91"/>
      <c r="B907" s="91"/>
      <c r="C907" s="91"/>
      <c r="D907" s="91"/>
      <c r="E907" s="91"/>
      <c r="F907" s="91"/>
      <c r="G907" s="91"/>
      <c r="H907" s="98"/>
      <c r="I907" s="91"/>
      <c r="J907" s="97"/>
      <c r="K907" s="97"/>
      <c r="L907" s="99"/>
      <c r="M907" s="100"/>
      <c r="N907" s="101"/>
      <c r="O907" s="91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</row>
    <row r="908">
      <c r="A908" s="91"/>
      <c r="B908" s="91"/>
      <c r="C908" s="91"/>
      <c r="D908" s="91"/>
      <c r="E908" s="91"/>
      <c r="F908" s="91"/>
      <c r="G908" s="91"/>
      <c r="H908" s="98"/>
      <c r="I908" s="91"/>
      <c r="J908" s="97"/>
      <c r="K908" s="97"/>
      <c r="L908" s="99"/>
      <c r="M908" s="100"/>
      <c r="N908" s="101"/>
      <c r="O908" s="91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</row>
    <row r="909">
      <c r="A909" s="91"/>
      <c r="B909" s="91"/>
      <c r="C909" s="91"/>
      <c r="D909" s="91"/>
      <c r="E909" s="91"/>
      <c r="F909" s="91"/>
      <c r="G909" s="91"/>
      <c r="H909" s="98"/>
      <c r="I909" s="91"/>
      <c r="J909" s="97"/>
      <c r="K909" s="97"/>
      <c r="L909" s="99"/>
      <c r="M909" s="100"/>
      <c r="N909" s="101"/>
      <c r="O909" s="91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</row>
    <row r="910">
      <c r="A910" s="91"/>
      <c r="B910" s="91"/>
      <c r="C910" s="91"/>
      <c r="D910" s="91"/>
      <c r="E910" s="91"/>
      <c r="F910" s="91"/>
      <c r="G910" s="91"/>
      <c r="H910" s="98"/>
      <c r="I910" s="91"/>
      <c r="J910" s="97"/>
      <c r="K910" s="97"/>
      <c r="L910" s="99"/>
      <c r="M910" s="100"/>
      <c r="N910" s="101"/>
      <c r="O910" s="91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</row>
    <row r="911">
      <c r="A911" s="91"/>
      <c r="B911" s="91"/>
      <c r="C911" s="91"/>
      <c r="D911" s="91"/>
      <c r="E911" s="91"/>
      <c r="F911" s="91"/>
      <c r="G911" s="91"/>
      <c r="H911" s="98"/>
      <c r="I911" s="91"/>
      <c r="J911" s="97"/>
      <c r="K911" s="97"/>
      <c r="L911" s="99"/>
      <c r="M911" s="100"/>
      <c r="N911" s="101"/>
      <c r="O911" s="91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</row>
    <row r="912">
      <c r="A912" s="91"/>
      <c r="B912" s="91"/>
      <c r="C912" s="91"/>
      <c r="D912" s="91"/>
      <c r="E912" s="91"/>
      <c r="F912" s="91"/>
      <c r="G912" s="91"/>
      <c r="H912" s="98"/>
      <c r="I912" s="91"/>
      <c r="J912" s="97"/>
      <c r="K912" s="97"/>
      <c r="L912" s="99"/>
      <c r="M912" s="100"/>
      <c r="N912" s="101"/>
      <c r="O912" s="91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</row>
    <row r="913">
      <c r="A913" s="91"/>
      <c r="B913" s="91"/>
      <c r="C913" s="91"/>
      <c r="D913" s="91"/>
      <c r="E913" s="91"/>
      <c r="F913" s="91"/>
      <c r="G913" s="91"/>
      <c r="H913" s="98"/>
      <c r="I913" s="91"/>
      <c r="J913" s="97"/>
      <c r="K913" s="97"/>
      <c r="L913" s="99"/>
      <c r="M913" s="100"/>
      <c r="N913" s="101"/>
      <c r="O913" s="91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</row>
    <row r="914">
      <c r="A914" s="91"/>
      <c r="B914" s="91"/>
      <c r="C914" s="91"/>
      <c r="D914" s="91"/>
      <c r="E914" s="91"/>
      <c r="F914" s="91"/>
      <c r="G914" s="91"/>
      <c r="H914" s="98"/>
      <c r="I914" s="91"/>
      <c r="J914" s="97"/>
      <c r="K914" s="97"/>
      <c r="L914" s="99"/>
      <c r="M914" s="100"/>
      <c r="N914" s="101"/>
      <c r="O914" s="91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</row>
    <row r="915">
      <c r="A915" s="91"/>
      <c r="B915" s="91"/>
      <c r="C915" s="91"/>
      <c r="D915" s="91"/>
      <c r="E915" s="91"/>
      <c r="F915" s="91"/>
      <c r="G915" s="91"/>
      <c r="H915" s="98"/>
      <c r="I915" s="91"/>
      <c r="J915" s="97"/>
      <c r="K915" s="97"/>
      <c r="L915" s="99"/>
      <c r="M915" s="100"/>
      <c r="N915" s="101"/>
      <c r="O915" s="91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</row>
    <row r="916">
      <c r="A916" s="91"/>
      <c r="B916" s="91"/>
      <c r="C916" s="91"/>
      <c r="D916" s="91"/>
      <c r="E916" s="91"/>
      <c r="F916" s="91"/>
      <c r="G916" s="91"/>
      <c r="H916" s="98"/>
      <c r="I916" s="91"/>
      <c r="J916" s="97"/>
      <c r="K916" s="97"/>
      <c r="L916" s="99"/>
      <c r="M916" s="100"/>
      <c r="N916" s="101"/>
      <c r="O916" s="91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</row>
    <row r="917">
      <c r="A917" s="91"/>
      <c r="B917" s="91"/>
      <c r="C917" s="91"/>
      <c r="D917" s="91"/>
      <c r="E917" s="91"/>
      <c r="F917" s="91"/>
      <c r="G917" s="91"/>
      <c r="H917" s="98"/>
      <c r="I917" s="91"/>
      <c r="J917" s="97"/>
      <c r="K917" s="97"/>
      <c r="L917" s="99"/>
      <c r="M917" s="100"/>
      <c r="N917" s="101"/>
      <c r="O917" s="91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</row>
    <row r="918">
      <c r="A918" s="91"/>
      <c r="B918" s="91"/>
      <c r="C918" s="91"/>
      <c r="D918" s="91"/>
      <c r="E918" s="91"/>
      <c r="F918" s="91"/>
      <c r="G918" s="91"/>
      <c r="H918" s="98"/>
      <c r="I918" s="91"/>
      <c r="J918" s="97"/>
      <c r="K918" s="97"/>
      <c r="L918" s="99"/>
      <c r="M918" s="100"/>
      <c r="N918" s="101"/>
      <c r="O918" s="91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</row>
    <row r="919">
      <c r="A919" s="91"/>
      <c r="B919" s="91"/>
      <c r="C919" s="91"/>
      <c r="D919" s="91"/>
      <c r="E919" s="91"/>
      <c r="F919" s="91"/>
      <c r="G919" s="91"/>
      <c r="H919" s="98"/>
      <c r="I919" s="91"/>
      <c r="J919" s="97"/>
      <c r="K919" s="97"/>
      <c r="L919" s="99"/>
      <c r="M919" s="100"/>
      <c r="N919" s="101"/>
      <c r="O919" s="91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</row>
    <row r="920">
      <c r="A920" s="91"/>
      <c r="B920" s="91"/>
      <c r="C920" s="91"/>
      <c r="D920" s="91"/>
      <c r="E920" s="91"/>
      <c r="F920" s="91"/>
      <c r="G920" s="91"/>
      <c r="H920" s="98"/>
      <c r="I920" s="91"/>
      <c r="J920" s="97"/>
      <c r="K920" s="97"/>
      <c r="L920" s="99"/>
      <c r="M920" s="100"/>
      <c r="N920" s="101"/>
      <c r="O920" s="91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</row>
    <row r="921">
      <c r="A921" s="91"/>
      <c r="B921" s="91"/>
      <c r="C921" s="91"/>
      <c r="D921" s="91"/>
      <c r="E921" s="91"/>
      <c r="F921" s="91"/>
      <c r="G921" s="91"/>
      <c r="H921" s="98"/>
      <c r="I921" s="91"/>
      <c r="J921" s="97"/>
      <c r="K921" s="97"/>
      <c r="L921" s="99"/>
      <c r="M921" s="100"/>
      <c r="N921" s="101"/>
      <c r="O921" s="91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</row>
    <row r="922">
      <c r="A922" s="91"/>
      <c r="B922" s="91"/>
      <c r="C922" s="91"/>
      <c r="D922" s="91"/>
      <c r="E922" s="91"/>
      <c r="F922" s="91"/>
      <c r="G922" s="91"/>
      <c r="H922" s="98"/>
      <c r="I922" s="91"/>
      <c r="J922" s="97"/>
      <c r="K922" s="97"/>
      <c r="L922" s="99"/>
      <c r="M922" s="100"/>
      <c r="N922" s="101"/>
      <c r="O922" s="91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</row>
    <row r="923">
      <c r="A923" s="91"/>
      <c r="B923" s="91"/>
      <c r="C923" s="91"/>
      <c r="D923" s="91"/>
      <c r="E923" s="91"/>
      <c r="F923" s="91"/>
      <c r="G923" s="91"/>
      <c r="H923" s="98"/>
      <c r="I923" s="91"/>
      <c r="J923" s="97"/>
      <c r="K923" s="97"/>
      <c r="L923" s="99"/>
      <c r="M923" s="100"/>
      <c r="N923" s="101"/>
      <c r="O923" s="91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</row>
    <row r="924">
      <c r="A924" s="91"/>
      <c r="B924" s="91"/>
      <c r="C924" s="91"/>
      <c r="D924" s="91"/>
      <c r="E924" s="91"/>
      <c r="F924" s="91"/>
      <c r="G924" s="91"/>
      <c r="H924" s="98"/>
      <c r="I924" s="91"/>
      <c r="J924" s="97"/>
      <c r="K924" s="97"/>
      <c r="L924" s="99"/>
      <c r="M924" s="100"/>
      <c r="N924" s="101"/>
      <c r="O924" s="91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</row>
    <row r="925">
      <c r="A925" s="91"/>
      <c r="B925" s="91"/>
      <c r="C925" s="91"/>
      <c r="D925" s="91"/>
      <c r="E925" s="91"/>
      <c r="F925" s="91"/>
      <c r="G925" s="91"/>
      <c r="H925" s="98"/>
      <c r="I925" s="91"/>
      <c r="J925" s="97"/>
      <c r="K925" s="97"/>
      <c r="L925" s="99"/>
      <c r="M925" s="100"/>
      <c r="N925" s="101"/>
      <c r="O925" s="91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</row>
    <row r="926">
      <c r="A926" s="91"/>
      <c r="B926" s="91"/>
      <c r="C926" s="91"/>
      <c r="D926" s="91"/>
      <c r="E926" s="91"/>
      <c r="F926" s="91"/>
      <c r="G926" s="91"/>
      <c r="H926" s="98"/>
      <c r="I926" s="91"/>
      <c r="J926" s="97"/>
      <c r="K926" s="97"/>
      <c r="L926" s="99"/>
      <c r="M926" s="100"/>
      <c r="N926" s="101"/>
      <c r="O926" s="91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</row>
    <row r="927">
      <c r="A927" s="91"/>
      <c r="B927" s="91"/>
      <c r="C927" s="91"/>
      <c r="D927" s="91"/>
      <c r="E927" s="91"/>
      <c r="F927" s="91"/>
      <c r="G927" s="91"/>
      <c r="H927" s="98"/>
      <c r="I927" s="91"/>
      <c r="J927" s="97"/>
      <c r="K927" s="97"/>
      <c r="L927" s="99"/>
      <c r="M927" s="100"/>
      <c r="N927" s="101"/>
      <c r="O927" s="91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</row>
    <row r="928">
      <c r="A928" s="91"/>
      <c r="B928" s="91"/>
      <c r="C928" s="91"/>
      <c r="D928" s="91"/>
      <c r="E928" s="91"/>
      <c r="F928" s="91"/>
      <c r="G928" s="91"/>
      <c r="H928" s="98"/>
      <c r="I928" s="91"/>
      <c r="J928" s="97"/>
      <c r="K928" s="97"/>
      <c r="L928" s="99"/>
      <c r="M928" s="100"/>
      <c r="N928" s="101"/>
      <c r="O928" s="91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</row>
    <row r="929">
      <c r="A929" s="91"/>
      <c r="B929" s="91"/>
      <c r="C929" s="91"/>
      <c r="D929" s="91"/>
      <c r="E929" s="91"/>
      <c r="F929" s="91"/>
      <c r="G929" s="91"/>
      <c r="H929" s="98"/>
      <c r="I929" s="91"/>
      <c r="J929" s="97"/>
      <c r="K929" s="97"/>
      <c r="L929" s="99"/>
      <c r="M929" s="100"/>
      <c r="N929" s="101"/>
      <c r="O929" s="91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</row>
    <row r="930">
      <c r="A930" s="91"/>
      <c r="B930" s="91"/>
      <c r="C930" s="91"/>
      <c r="D930" s="91"/>
      <c r="E930" s="91"/>
      <c r="F930" s="91"/>
      <c r="G930" s="91"/>
      <c r="H930" s="98"/>
      <c r="I930" s="91"/>
      <c r="J930" s="97"/>
      <c r="K930" s="97"/>
      <c r="L930" s="99"/>
      <c r="M930" s="100"/>
      <c r="N930" s="101"/>
      <c r="O930" s="91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</row>
    <row r="931">
      <c r="A931" s="91"/>
      <c r="B931" s="91"/>
      <c r="C931" s="91"/>
      <c r="D931" s="91"/>
      <c r="E931" s="91"/>
      <c r="F931" s="91"/>
      <c r="G931" s="91"/>
      <c r="H931" s="98"/>
      <c r="I931" s="91"/>
      <c r="J931" s="97"/>
      <c r="K931" s="97"/>
      <c r="L931" s="99"/>
      <c r="M931" s="100"/>
      <c r="N931" s="101"/>
      <c r="O931" s="91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</row>
    <row r="932">
      <c r="A932" s="91"/>
      <c r="B932" s="91"/>
      <c r="C932" s="91"/>
      <c r="D932" s="91"/>
      <c r="E932" s="91"/>
      <c r="F932" s="91"/>
      <c r="G932" s="91"/>
      <c r="H932" s="98"/>
      <c r="I932" s="91"/>
      <c r="J932" s="97"/>
      <c r="K932" s="97"/>
      <c r="L932" s="99"/>
      <c r="M932" s="100"/>
      <c r="N932" s="101"/>
      <c r="O932" s="91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</row>
    <row r="933">
      <c r="A933" s="91"/>
      <c r="B933" s="91"/>
      <c r="C933" s="91"/>
      <c r="D933" s="91"/>
      <c r="E933" s="91"/>
      <c r="F933" s="91"/>
      <c r="G933" s="91"/>
      <c r="H933" s="98"/>
      <c r="I933" s="91"/>
      <c r="J933" s="97"/>
      <c r="K933" s="97"/>
      <c r="L933" s="99"/>
      <c r="M933" s="100"/>
      <c r="N933" s="101"/>
      <c r="O933" s="91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</row>
    <row r="934">
      <c r="A934" s="91"/>
      <c r="B934" s="91"/>
      <c r="C934" s="91"/>
      <c r="D934" s="91"/>
      <c r="E934" s="91"/>
      <c r="F934" s="91"/>
      <c r="G934" s="91"/>
      <c r="H934" s="98"/>
      <c r="I934" s="91"/>
      <c r="J934" s="97"/>
      <c r="K934" s="97"/>
      <c r="L934" s="99"/>
      <c r="M934" s="100"/>
      <c r="N934" s="101"/>
      <c r="O934" s="91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</row>
    <row r="935">
      <c r="A935" s="91"/>
      <c r="B935" s="91"/>
      <c r="C935" s="91"/>
      <c r="D935" s="91"/>
      <c r="E935" s="91"/>
      <c r="F935" s="91"/>
      <c r="G935" s="91"/>
      <c r="H935" s="98"/>
      <c r="I935" s="91"/>
      <c r="J935" s="97"/>
      <c r="K935" s="97"/>
      <c r="L935" s="99"/>
      <c r="M935" s="100"/>
      <c r="N935" s="101"/>
      <c r="O935" s="91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</row>
    <row r="936">
      <c r="A936" s="91"/>
      <c r="B936" s="91"/>
      <c r="C936" s="91"/>
      <c r="D936" s="91"/>
      <c r="E936" s="91"/>
      <c r="F936" s="91"/>
      <c r="G936" s="91"/>
      <c r="H936" s="98"/>
      <c r="I936" s="91"/>
      <c r="J936" s="97"/>
      <c r="K936" s="97"/>
      <c r="L936" s="99"/>
      <c r="M936" s="100"/>
      <c r="N936" s="101"/>
      <c r="O936" s="91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</row>
    <row r="937">
      <c r="A937" s="91"/>
      <c r="B937" s="91"/>
      <c r="C937" s="91"/>
      <c r="D937" s="91"/>
      <c r="E937" s="91"/>
      <c r="F937" s="91"/>
      <c r="G937" s="91"/>
      <c r="H937" s="98"/>
      <c r="I937" s="91"/>
      <c r="J937" s="97"/>
      <c r="K937" s="97"/>
      <c r="L937" s="99"/>
      <c r="M937" s="100"/>
      <c r="N937" s="101"/>
      <c r="O937" s="91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</row>
    <row r="938">
      <c r="A938" s="91"/>
      <c r="B938" s="91"/>
      <c r="C938" s="91"/>
      <c r="D938" s="91"/>
      <c r="E938" s="91"/>
      <c r="F938" s="91"/>
      <c r="G938" s="91"/>
      <c r="H938" s="98"/>
      <c r="I938" s="91"/>
      <c r="J938" s="97"/>
      <c r="K938" s="97"/>
      <c r="L938" s="99"/>
      <c r="M938" s="100"/>
      <c r="N938" s="101"/>
      <c r="O938" s="91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</row>
    <row r="939">
      <c r="A939" s="91"/>
      <c r="B939" s="91"/>
      <c r="C939" s="91"/>
      <c r="D939" s="91"/>
      <c r="E939" s="91"/>
      <c r="F939" s="91"/>
      <c r="G939" s="91"/>
      <c r="H939" s="98"/>
      <c r="I939" s="91"/>
      <c r="J939" s="97"/>
      <c r="K939" s="97"/>
      <c r="L939" s="99"/>
      <c r="M939" s="100"/>
      <c r="N939" s="101"/>
      <c r="O939" s="91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</row>
    <row r="940">
      <c r="A940" s="91"/>
      <c r="B940" s="91"/>
      <c r="C940" s="91"/>
      <c r="D940" s="91"/>
      <c r="E940" s="91"/>
      <c r="F940" s="91"/>
      <c r="G940" s="91"/>
      <c r="H940" s="98"/>
      <c r="I940" s="91"/>
      <c r="J940" s="97"/>
      <c r="K940" s="97"/>
      <c r="L940" s="99"/>
      <c r="M940" s="100"/>
      <c r="N940" s="101"/>
      <c r="O940" s="91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</row>
    <row r="941">
      <c r="A941" s="91"/>
      <c r="B941" s="91"/>
      <c r="C941" s="91"/>
      <c r="D941" s="91"/>
      <c r="E941" s="91"/>
      <c r="F941" s="91"/>
      <c r="G941" s="91"/>
      <c r="H941" s="98"/>
      <c r="I941" s="91"/>
      <c r="J941" s="97"/>
      <c r="K941" s="97"/>
      <c r="L941" s="99"/>
      <c r="M941" s="100"/>
      <c r="N941" s="101"/>
      <c r="O941" s="91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</row>
    <row r="942">
      <c r="A942" s="91"/>
      <c r="B942" s="91"/>
      <c r="C942" s="91"/>
      <c r="D942" s="91"/>
      <c r="E942" s="91"/>
      <c r="F942" s="91"/>
      <c r="G942" s="91"/>
      <c r="H942" s="98"/>
      <c r="I942" s="91"/>
      <c r="J942" s="97"/>
      <c r="K942" s="97"/>
      <c r="L942" s="99"/>
      <c r="M942" s="100"/>
      <c r="N942" s="101"/>
      <c r="O942" s="91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</row>
    <row r="943">
      <c r="A943" s="91"/>
      <c r="B943" s="91"/>
      <c r="C943" s="91"/>
      <c r="D943" s="91"/>
      <c r="E943" s="91"/>
      <c r="F943" s="91"/>
      <c r="G943" s="91"/>
      <c r="H943" s="98"/>
      <c r="I943" s="91"/>
      <c r="J943" s="97"/>
      <c r="K943" s="97"/>
      <c r="L943" s="99"/>
      <c r="M943" s="100"/>
      <c r="N943" s="101"/>
      <c r="O943" s="91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</row>
    <row r="944">
      <c r="A944" s="91"/>
      <c r="B944" s="91"/>
      <c r="C944" s="91"/>
      <c r="D944" s="91"/>
      <c r="E944" s="91"/>
      <c r="F944" s="91"/>
      <c r="G944" s="91"/>
      <c r="H944" s="98"/>
      <c r="I944" s="91"/>
      <c r="J944" s="97"/>
      <c r="K944" s="97"/>
      <c r="L944" s="99"/>
      <c r="M944" s="100"/>
      <c r="N944" s="101"/>
      <c r="O944" s="91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</row>
    <row r="945">
      <c r="A945" s="91"/>
      <c r="B945" s="91"/>
      <c r="C945" s="91"/>
      <c r="D945" s="91"/>
      <c r="E945" s="91"/>
      <c r="F945" s="91"/>
      <c r="G945" s="91"/>
      <c r="H945" s="98"/>
      <c r="I945" s="91"/>
      <c r="J945" s="97"/>
      <c r="K945" s="97"/>
      <c r="L945" s="99"/>
      <c r="M945" s="100"/>
      <c r="N945" s="101"/>
      <c r="O945" s="91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</row>
    <row r="946">
      <c r="A946" s="91"/>
      <c r="B946" s="91"/>
      <c r="C946" s="91"/>
      <c r="D946" s="91"/>
      <c r="E946" s="91"/>
      <c r="F946" s="91"/>
      <c r="G946" s="91"/>
      <c r="H946" s="98"/>
      <c r="I946" s="91"/>
      <c r="J946" s="97"/>
      <c r="K946" s="97"/>
      <c r="L946" s="99"/>
      <c r="M946" s="100"/>
      <c r="N946" s="101"/>
      <c r="O946" s="91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</row>
    <row r="947">
      <c r="A947" s="91"/>
      <c r="B947" s="91"/>
      <c r="C947" s="91"/>
      <c r="D947" s="91"/>
      <c r="E947" s="91"/>
      <c r="F947" s="91"/>
      <c r="G947" s="91"/>
      <c r="H947" s="98"/>
      <c r="I947" s="91"/>
      <c r="J947" s="97"/>
      <c r="K947" s="97"/>
      <c r="L947" s="99"/>
      <c r="M947" s="100"/>
      <c r="N947" s="101"/>
      <c r="O947" s="91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</row>
    <row r="948">
      <c r="A948" s="91"/>
      <c r="B948" s="91"/>
      <c r="C948" s="91"/>
      <c r="D948" s="91"/>
      <c r="E948" s="91"/>
      <c r="F948" s="91"/>
      <c r="G948" s="91"/>
      <c r="H948" s="98"/>
      <c r="I948" s="91"/>
      <c r="J948" s="97"/>
      <c r="K948" s="97"/>
      <c r="L948" s="99"/>
      <c r="M948" s="100"/>
      <c r="N948" s="101"/>
      <c r="O948" s="91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</row>
    <row r="949">
      <c r="A949" s="91"/>
      <c r="B949" s="91"/>
      <c r="C949" s="91"/>
      <c r="D949" s="91"/>
      <c r="E949" s="91"/>
      <c r="F949" s="91"/>
      <c r="G949" s="91"/>
      <c r="H949" s="98"/>
      <c r="I949" s="91"/>
      <c r="J949" s="97"/>
      <c r="K949" s="97"/>
      <c r="L949" s="99"/>
      <c r="M949" s="100"/>
      <c r="N949" s="101"/>
      <c r="O949" s="91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</row>
    <row r="950">
      <c r="A950" s="91"/>
      <c r="B950" s="91"/>
      <c r="C950" s="91"/>
      <c r="D950" s="91"/>
      <c r="E950" s="91"/>
      <c r="F950" s="91"/>
      <c r="G950" s="91"/>
      <c r="H950" s="98"/>
      <c r="I950" s="91"/>
      <c r="J950" s="97"/>
      <c r="K950" s="97"/>
      <c r="L950" s="99"/>
      <c r="M950" s="100"/>
      <c r="N950" s="101"/>
      <c r="O950" s="91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</row>
    <row r="951">
      <c r="A951" s="91"/>
      <c r="B951" s="91"/>
      <c r="C951" s="91"/>
      <c r="D951" s="91"/>
      <c r="E951" s="91"/>
      <c r="F951" s="91"/>
      <c r="G951" s="91"/>
      <c r="H951" s="98"/>
      <c r="I951" s="91"/>
      <c r="J951" s="97"/>
      <c r="K951" s="97"/>
      <c r="L951" s="99"/>
      <c r="M951" s="100"/>
      <c r="N951" s="101"/>
      <c r="O951" s="91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</row>
    <row r="952">
      <c r="A952" s="91"/>
      <c r="B952" s="91"/>
      <c r="C952" s="91"/>
      <c r="D952" s="91"/>
      <c r="E952" s="91"/>
      <c r="F952" s="91"/>
      <c r="G952" s="91"/>
      <c r="H952" s="98"/>
      <c r="I952" s="91"/>
      <c r="J952" s="97"/>
      <c r="K952" s="97"/>
      <c r="L952" s="99"/>
      <c r="M952" s="100"/>
      <c r="N952" s="101"/>
      <c r="O952" s="91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</row>
    <row r="953">
      <c r="A953" s="91"/>
      <c r="B953" s="91"/>
      <c r="C953" s="91"/>
      <c r="D953" s="91"/>
      <c r="E953" s="91"/>
      <c r="F953" s="91"/>
      <c r="G953" s="91"/>
      <c r="H953" s="98"/>
      <c r="I953" s="91"/>
      <c r="J953" s="97"/>
      <c r="K953" s="97"/>
      <c r="L953" s="99"/>
      <c r="M953" s="100"/>
      <c r="N953" s="101"/>
      <c r="O953" s="91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</row>
    <row r="954">
      <c r="A954" s="91"/>
      <c r="B954" s="91"/>
      <c r="C954" s="91"/>
      <c r="D954" s="91"/>
      <c r="E954" s="91"/>
      <c r="F954" s="91"/>
      <c r="G954" s="91"/>
      <c r="H954" s="98"/>
      <c r="I954" s="91"/>
      <c r="J954" s="97"/>
      <c r="K954" s="97"/>
      <c r="L954" s="99"/>
      <c r="M954" s="100"/>
      <c r="N954" s="101"/>
      <c r="O954" s="91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</row>
    <row r="955">
      <c r="A955" s="91"/>
      <c r="B955" s="91"/>
      <c r="C955" s="91"/>
      <c r="D955" s="91"/>
      <c r="E955" s="91"/>
      <c r="F955" s="91"/>
      <c r="G955" s="91"/>
      <c r="H955" s="98"/>
      <c r="I955" s="91"/>
      <c r="J955" s="97"/>
      <c r="K955" s="97"/>
      <c r="L955" s="99"/>
      <c r="M955" s="100"/>
      <c r="N955" s="101"/>
      <c r="O955" s="91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</row>
    <row r="956">
      <c r="A956" s="91"/>
      <c r="B956" s="91"/>
      <c r="C956" s="91"/>
      <c r="D956" s="91"/>
      <c r="E956" s="91"/>
      <c r="F956" s="91"/>
      <c r="G956" s="91"/>
      <c r="H956" s="98"/>
      <c r="I956" s="91"/>
      <c r="J956" s="97"/>
      <c r="K956" s="97"/>
      <c r="L956" s="99"/>
      <c r="M956" s="100"/>
      <c r="N956" s="101"/>
      <c r="O956" s="91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</row>
    <row r="957">
      <c r="A957" s="91"/>
      <c r="B957" s="91"/>
      <c r="C957" s="91"/>
      <c r="D957" s="91"/>
      <c r="E957" s="91"/>
      <c r="F957" s="91"/>
      <c r="G957" s="91"/>
      <c r="H957" s="98"/>
      <c r="I957" s="91"/>
      <c r="J957" s="97"/>
      <c r="K957" s="97"/>
      <c r="L957" s="99"/>
      <c r="M957" s="100"/>
      <c r="N957" s="101"/>
      <c r="O957" s="91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</row>
    <row r="958">
      <c r="A958" s="91"/>
      <c r="B958" s="91"/>
      <c r="C958" s="91"/>
      <c r="D958" s="91"/>
      <c r="E958" s="91"/>
      <c r="F958" s="91"/>
      <c r="G958" s="91"/>
      <c r="H958" s="98"/>
      <c r="I958" s="91"/>
      <c r="J958" s="97"/>
      <c r="K958" s="97"/>
      <c r="L958" s="99"/>
      <c r="M958" s="100"/>
      <c r="N958" s="101"/>
      <c r="O958" s="91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</row>
    <row r="959">
      <c r="A959" s="91"/>
      <c r="B959" s="91"/>
      <c r="C959" s="91"/>
      <c r="D959" s="91"/>
      <c r="E959" s="91"/>
      <c r="F959" s="91"/>
      <c r="G959" s="91"/>
      <c r="H959" s="98"/>
      <c r="I959" s="91"/>
      <c r="J959" s="97"/>
      <c r="K959" s="97"/>
      <c r="L959" s="99"/>
      <c r="M959" s="100"/>
      <c r="N959" s="101"/>
      <c r="O959" s="91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</row>
    <row r="960">
      <c r="A960" s="91"/>
      <c r="B960" s="91"/>
      <c r="C960" s="91"/>
      <c r="D960" s="91"/>
      <c r="E960" s="91"/>
      <c r="F960" s="91"/>
      <c r="G960" s="91"/>
      <c r="H960" s="98"/>
      <c r="I960" s="91"/>
      <c r="J960" s="97"/>
      <c r="K960" s="97"/>
      <c r="L960" s="99"/>
      <c r="M960" s="100"/>
      <c r="N960" s="101"/>
      <c r="O960" s="91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</row>
    <row r="961">
      <c r="A961" s="91"/>
      <c r="B961" s="91"/>
      <c r="C961" s="91"/>
      <c r="D961" s="91"/>
      <c r="E961" s="91"/>
      <c r="F961" s="91"/>
      <c r="G961" s="91"/>
      <c r="H961" s="98"/>
      <c r="I961" s="91"/>
      <c r="J961" s="97"/>
      <c r="K961" s="97"/>
      <c r="L961" s="99"/>
      <c r="M961" s="100"/>
      <c r="N961" s="101"/>
      <c r="O961" s="91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</row>
    <row r="962">
      <c r="A962" s="91"/>
      <c r="B962" s="91"/>
      <c r="C962" s="91"/>
      <c r="D962" s="91"/>
      <c r="E962" s="91"/>
      <c r="F962" s="91"/>
      <c r="G962" s="91"/>
      <c r="H962" s="98"/>
      <c r="I962" s="91"/>
      <c r="J962" s="97"/>
      <c r="K962" s="97"/>
      <c r="L962" s="99"/>
      <c r="M962" s="100"/>
      <c r="N962" s="101"/>
      <c r="O962" s="91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</row>
    <row r="963">
      <c r="A963" s="91"/>
      <c r="B963" s="91"/>
      <c r="C963" s="91"/>
      <c r="D963" s="91"/>
      <c r="E963" s="91"/>
      <c r="F963" s="91"/>
      <c r="G963" s="91"/>
      <c r="H963" s="98"/>
      <c r="I963" s="91"/>
      <c r="J963" s="97"/>
      <c r="K963" s="97"/>
      <c r="L963" s="99"/>
      <c r="M963" s="100"/>
      <c r="N963" s="101"/>
      <c r="O963" s="91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</row>
    <row r="964">
      <c r="A964" s="91"/>
      <c r="B964" s="91"/>
      <c r="C964" s="91"/>
      <c r="D964" s="91"/>
      <c r="E964" s="91"/>
      <c r="F964" s="91"/>
      <c r="G964" s="91"/>
      <c r="H964" s="98"/>
      <c r="I964" s="91"/>
      <c r="J964" s="97"/>
      <c r="K964" s="97"/>
      <c r="L964" s="99"/>
      <c r="M964" s="100"/>
      <c r="N964" s="101"/>
      <c r="O964" s="91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</row>
    <row r="965">
      <c r="A965" s="91"/>
      <c r="B965" s="91"/>
      <c r="C965" s="91"/>
      <c r="D965" s="91"/>
      <c r="E965" s="91"/>
      <c r="F965" s="91"/>
      <c r="G965" s="91"/>
      <c r="H965" s="98"/>
      <c r="I965" s="91"/>
      <c r="J965" s="97"/>
      <c r="K965" s="97"/>
      <c r="L965" s="99"/>
      <c r="M965" s="100"/>
      <c r="N965" s="101"/>
      <c r="O965" s="91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</row>
    <row r="966">
      <c r="A966" s="91"/>
      <c r="B966" s="91"/>
      <c r="C966" s="91"/>
      <c r="D966" s="91"/>
      <c r="E966" s="91"/>
      <c r="F966" s="91"/>
      <c r="G966" s="91"/>
      <c r="H966" s="98"/>
      <c r="I966" s="91"/>
      <c r="J966" s="97"/>
      <c r="K966" s="97"/>
      <c r="L966" s="99"/>
      <c r="M966" s="100"/>
      <c r="N966" s="101"/>
      <c r="O966" s="91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</row>
    <row r="967">
      <c r="A967" s="91"/>
      <c r="B967" s="91"/>
      <c r="C967" s="91"/>
      <c r="D967" s="91"/>
      <c r="E967" s="91"/>
      <c r="F967" s="91"/>
      <c r="G967" s="91"/>
      <c r="H967" s="98"/>
      <c r="I967" s="91"/>
      <c r="J967" s="97"/>
      <c r="K967" s="97"/>
      <c r="L967" s="99"/>
      <c r="M967" s="100"/>
      <c r="N967" s="101"/>
      <c r="O967" s="91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</row>
    <row r="968">
      <c r="A968" s="91"/>
      <c r="B968" s="91"/>
      <c r="C968" s="91"/>
      <c r="D968" s="91"/>
      <c r="E968" s="91"/>
      <c r="F968" s="91"/>
      <c r="G968" s="91"/>
      <c r="H968" s="98"/>
      <c r="I968" s="91"/>
      <c r="J968" s="97"/>
      <c r="K968" s="97"/>
      <c r="L968" s="99"/>
      <c r="M968" s="100"/>
      <c r="N968" s="101"/>
      <c r="O968" s="91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</row>
    <row r="969">
      <c r="A969" s="91"/>
      <c r="B969" s="91"/>
      <c r="C969" s="91"/>
      <c r="D969" s="91"/>
      <c r="E969" s="91"/>
      <c r="F969" s="91"/>
      <c r="G969" s="91"/>
      <c r="H969" s="98"/>
      <c r="I969" s="91"/>
      <c r="J969" s="97"/>
      <c r="K969" s="97"/>
      <c r="L969" s="99"/>
      <c r="M969" s="100"/>
      <c r="N969" s="101"/>
      <c r="O969" s="91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</row>
    <row r="970">
      <c r="A970" s="91"/>
      <c r="B970" s="91"/>
      <c r="C970" s="91"/>
      <c r="D970" s="91"/>
      <c r="E970" s="91"/>
      <c r="F970" s="91"/>
      <c r="G970" s="91"/>
      <c r="H970" s="98"/>
      <c r="I970" s="91"/>
      <c r="J970" s="97"/>
      <c r="K970" s="97"/>
      <c r="L970" s="99"/>
      <c r="M970" s="100"/>
      <c r="N970" s="101"/>
      <c r="O970" s="91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</row>
    <row r="971">
      <c r="A971" s="91"/>
      <c r="B971" s="91"/>
      <c r="C971" s="91"/>
      <c r="D971" s="91"/>
      <c r="E971" s="91"/>
      <c r="F971" s="91"/>
      <c r="G971" s="91"/>
      <c r="H971" s="98"/>
      <c r="I971" s="91"/>
      <c r="J971" s="97"/>
      <c r="K971" s="97"/>
      <c r="L971" s="99"/>
      <c r="M971" s="100"/>
      <c r="N971" s="101"/>
      <c r="O971" s="91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</row>
    <row r="972">
      <c r="A972" s="91"/>
      <c r="B972" s="91"/>
      <c r="C972" s="91"/>
      <c r="D972" s="91"/>
      <c r="E972" s="91"/>
      <c r="F972" s="91"/>
      <c r="G972" s="91"/>
      <c r="H972" s="98"/>
      <c r="I972" s="91"/>
      <c r="J972" s="97"/>
      <c r="K972" s="97"/>
      <c r="L972" s="99"/>
      <c r="M972" s="100"/>
      <c r="N972" s="101"/>
      <c r="O972" s="91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</row>
    <row r="973">
      <c r="A973" s="91"/>
      <c r="B973" s="91"/>
      <c r="C973" s="91"/>
      <c r="D973" s="91"/>
      <c r="E973" s="91"/>
      <c r="F973" s="91"/>
      <c r="G973" s="91"/>
      <c r="H973" s="98"/>
      <c r="I973" s="91"/>
      <c r="J973" s="97"/>
      <c r="K973" s="97"/>
      <c r="L973" s="99"/>
      <c r="M973" s="100"/>
      <c r="N973" s="101"/>
      <c r="O973" s="91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</row>
    <row r="974">
      <c r="A974" s="91"/>
      <c r="B974" s="91"/>
      <c r="C974" s="91"/>
      <c r="D974" s="91"/>
      <c r="E974" s="91"/>
      <c r="F974" s="91"/>
      <c r="G974" s="91"/>
      <c r="H974" s="98"/>
      <c r="I974" s="91"/>
      <c r="J974" s="97"/>
      <c r="K974" s="97"/>
      <c r="L974" s="99"/>
      <c r="M974" s="100"/>
      <c r="N974" s="101"/>
      <c r="O974" s="91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</row>
    <row r="975">
      <c r="A975" s="91"/>
      <c r="B975" s="91"/>
      <c r="C975" s="91"/>
      <c r="D975" s="91"/>
      <c r="E975" s="91"/>
      <c r="F975" s="91"/>
      <c r="G975" s="91"/>
      <c r="H975" s="98"/>
      <c r="I975" s="91"/>
      <c r="J975" s="97"/>
      <c r="K975" s="97"/>
      <c r="L975" s="99"/>
      <c r="M975" s="100"/>
      <c r="N975" s="101"/>
      <c r="O975" s="91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</row>
    <row r="976">
      <c r="A976" s="91"/>
      <c r="B976" s="91"/>
      <c r="C976" s="91"/>
      <c r="D976" s="91"/>
      <c r="E976" s="91"/>
      <c r="F976" s="91"/>
      <c r="G976" s="91"/>
      <c r="H976" s="98"/>
      <c r="I976" s="91"/>
      <c r="J976" s="97"/>
      <c r="K976" s="97"/>
      <c r="L976" s="99"/>
      <c r="M976" s="100"/>
      <c r="N976" s="101"/>
      <c r="O976" s="91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</row>
    <row r="977">
      <c r="A977" s="91"/>
      <c r="B977" s="91"/>
      <c r="C977" s="91"/>
      <c r="D977" s="91"/>
      <c r="E977" s="91"/>
      <c r="F977" s="91"/>
      <c r="G977" s="91"/>
      <c r="H977" s="98"/>
      <c r="I977" s="91"/>
      <c r="J977" s="97"/>
      <c r="K977" s="97"/>
      <c r="L977" s="99"/>
      <c r="M977" s="100"/>
      <c r="N977" s="101"/>
      <c r="O977" s="91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</row>
    <row r="978">
      <c r="A978" s="91"/>
      <c r="B978" s="91"/>
      <c r="C978" s="91"/>
      <c r="D978" s="91"/>
      <c r="E978" s="91"/>
      <c r="F978" s="91"/>
      <c r="G978" s="91"/>
      <c r="H978" s="98"/>
      <c r="I978" s="91"/>
      <c r="J978" s="97"/>
      <c r="K978" s="97"/>
      <c r="L978" s="99"/>
      <c r="M978" s="100"/>
      <c r="N978" s="101"/>
      <c r="O978" s="91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</row>
    <row r="979">
      <c r="A979" s="91"/>
      <c r="B979" s="91"/>
      <c r="C979" s="91"/>
      <c r="D979" s="91"/>
      <c r="E979" s="91"/>
      <c r="F979" s="91"/>
      <c r="G979" s="91"/>
      <c r="H979" s="98"/>
      <c r="I979" s="91"/>
      <c r="J979" s="97"/>
      <c r="K979" s="97"/>
      <c r="L979" s="99"/>
      <c r="M979" s="100"/>
      <c r="N979" s="101"/>
      <c r="O979" s="91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</row>
    <row r="980">
      <c r="A980" s="91"/>
      <c r="B980" s="91"/>
      <c r="C980" s="91"/>
      <c r="D980" s="91"/>
      <c r="E980" s="91"/>
      <c r="F980" s="91"/>
      <c r="G980" s="91"/>
      <c r="H980" s="98"/>
      <c r="I980" s="91"/>
      <c r="J980" s="97"/>
      <c r="K980" s="97"/>
      <c r="L980" s="99"/>
      <c r="M980" s="100"/>
      <c r="N980" s="101"/>
      <c r="O980" s="91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</row>
    <row r="981">
      <c r="A981" s="91"/>
      <c r="B981" s="91"/>
      <c r="C981" s="91"/>
      <c r="D981" s="91"/>
      <c r="E981" s="91"/>
      <c r="F981" s="91"/>
      <c r="G981" s="91"/>
      <c r="H981" s="98"/>
      <c r="I981" s="91"/>
      <c r="J981" s="97"/>
      <c r="K981" s="97"/>
      <c r="L981" s="99"/>
      <c r="M981" s="100"/>
      <c r="N981" s="101"/>
      <c r="O981" s="91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</row>
    <row r="982">
      <c r="A982" s="91"/>
      <c r="B982" s="91"/>
      <c r="C982" s="91"/>
      <c r="D982" s="91"/>
      <c r="E982" s="91"/>
      <c r="F982" s="91"/>
      <c r="G982" s="91"/>
      <c r="H982" s="98"/>
      <c r="I982" s="91"/>
      <c r="J982" s="97"/>
      <c r="K982" s="97"/>
      <c r="L982" s="99"/>
      <c r="M982" s="100"/>
      <c r="N982" s="101"/>
      <c r="O982" s="91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</row>
    <row r="983">
      <c r="A983" s="91"/>
      <c r="B983" s="91"/>
      <c r="C983" s="91"/>
      <c r="D983" s="91"/>
      <c r="E983" s="91"/>
      <c r="F983" s="91"/>
      <c r="G983" s="91"/>
      <c r="H983" s="98"/>
      <c r="I983" s="91"/>
      <c r="J983" s="97"/>
      <c r="K983" s="97"/>
      <c r="L983" s="99"/>
      <c r="M983" s="100"/>
      <c r="N983" s="101"/>
      <c r="O983" s="91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</row>
    <row r="984">
      <c r="A984" s="91"/>
      <c r="B984" s="91"/>
      <c r="C984" s="91"/>
      <c r="D984" s="91"/>
      <c r="E984" s="91"/>
      <c r="F984" s="91"/>
      <c r="G984" s="91"/>
      <c r="H984" s="98"/>
      <c r="I984" s="91"/>
      <c r="J984" s="97"/>
      <c r="K984" s="97"/>
      <c r="L984" s="99"/>
      <c r="M984" s="100"/>
      <c r="N984" s="101"/>
      <c r="O984" s="91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</row>
    <row r="985">
      <c r="A985" s="91"/>
      <c r="B985" s="91"/>
      <c r="C985" s="91"/>
      <c r="D985" s="91"/>
      <c r="E985" s="91"/>
      <c r="F985" s="91"/>
      <c r="G985" s="91"/>
      <c r="H985" s="98"/>
      <c r="I985" s="91"/>
      <c r="J985" s="97"/>
      <c r="K985" s="97"/>
      <c r="L985" s="99"/>
      <c r="M985" s="100"/>
      <c r="N985" s="101"/>
      <c r="O985" s="91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</row>
    <row r="986">
      <c r="A986" s="91"/>
      <c r="B986" s="91"/>
      <c r="C986" s="91"/>
      <c r="D986" s="91"/>
      <c r="E986" s="91"/>
      <c r="F986" s="91"/>
      <c r="G986" s="91"/>
      <c r="H986" s="98"/>
      <c r="I986" s="91"/>
      <c r="J986" s="97"/>
      <c r="K986" s="97"/>
      <c r="L986" s="99"/>
      <c r="M986" s="100"/>
      <c r="N986" s="101"/>
      <c r="O986" s="91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</row>
    <row r="987">
      <c r="A987" s="91"/>
      <c r="B987" s="91"/>
      <c r="C987" s="91"/>
      <c r="D987" s="91"/>
      <c r="E987" s="91"/>
      <c r="F987" s="91"/>
      <c r="G987" s="91"/>
      <c r="H987" s="98"/>
      <c r="I987" s="91"/>
      <c r="J987" s="97"/>
      <c r="K987" s="97"/>
      <c r="L987" s="99"/>
      <c r="M987" s="100"/>
      <c r="N987" s="101"/>
      <c r="O987" s="91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</row>
    <row r="988">
      <c r="A988" s="91"/>
      <c r="B988" s="91"/>
      <c r="C988" s="91"/>
      <c r="D988" s="91"/>
      <c r="E988" s="91"/>
      <c r="F988" s="91"/>
      <c r="G988" s="91"/>
      <c r="H988" s="98"/>
      <c r="I988" s="91"/>
      <c r="J988" s="97"/>
      <c r="K988" s="97"/>
      <c r="L988" s="99"/>
      <c r="M988" s="100"/>
      <c r="N988" s="101"/>
      <c r="O988" s="91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</row>
    <row r="989">
      <c r="A989" s="91"/>
      <c r="B989" s="91"/>
      <c r="C989" s="91"/>
      <c r="D989" s="91"/>
      <c r="E989" s="91"/>
      <c r="F989" s="91"/>
      <c r="G989" s="91"/>
      <c r="H989" s="98"/>
      <c r="I989" s="91"/>
      <c r="J989" s="97"/>
      <c r="K989" s="97"/>
      <c r="L989" s="99"/>
      <c r="M989" s="100"/>
      <c r="N989" s="101"/>
      <c r="O989" s="91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</row>
    <row r="990">
      <c r="A990" s="91"/>
      <c r="B990" s="91"/>
      <c r="C990" s="91"/>
      <c r="D990" s="91"/>
      <c r="E990" s="91"/>
      <c r="F990" s="91"/>
      <c r="G990" s="91"/>
      <c r="H990" s="98"/>
      <c r="I990" s="91"/>
      <c r="J990" s="97"/>
      <c r="K990" s="97"/>
      <c r="L990" s="99"/>
      <c r="M990" s="100"/>
      <c r="N990" s="101"/>
      <c r="O990" s="91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</row>
    <row r="991">
      <c r="A991" s="91"/>
      <c r="B991" s="91"/>
      <c r="C991" s="91"/>
      <c r="D991" s="91"/>
      <c r="E991" s="91"/>
      <c r="F991" s="91"/>
      <c r="G991" s="91"/>
      <c r="H991" s="98"/>
      <c r="I991" s="91"/>
      <c r="J991" s="97"/>
      <c r="K991" s="97"/>
      <c r="L991" s="99"/>
      <c r="M991" s="100"/>
      <c r="N991" s="101"/>
      <c r="O991" s="91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</row>
    <row r="992">
      <c r="A992" s="91"/>
      <c r="B992" s="91"/>
      <c r="C992" s="91"/>
      <c r="D992" s="91"/>
      <c r="E992" s="91"/>
      <c r="F992" s="91"/>
      <c r="G992" s="91"/>
      <c r="H992" s="98"/>
      <c r="I992" s="91"/>
      <c r="J992" s="97"/>
      <c r="K992" s="97"/>
      <c r="L992" s="99"/>
      <c r="M992" s="100"/>
      <c r="N992" s="101"/>
      <c r="O992" s="91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</row>
    <row r="993">
      <c r="A993" s="91"/>
      <c r="B993" s="91"/>
      <c r="C993" s="91"/>
      <c r="D993" s="91"/>
      <c r="E993" s="91"/>
      <c r="F993" s="91"/>
      <c r="G993" s="91"/>
      <c r="H993" s="98"/>
      <c r="I993" s="91"/>
      <c r="J993" s="97"/>
      <c r="K993" s="97"/>
      <c r="L993" s="99"/>
      <c r="M993" s="100"/>
      <c r="N993" s="101"/>
      <c r="O993" s="91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</row>
    <row r="994">
      <c r="A994" s="91"/>
      <c r="B994" s="91"/>
      <c r="C994" s="91"/>
      <c r="D994" s="91"/>
      <c r="E994" s="91"/>
      <c r="F994" s="91"/>
      <c r="G994" s="91"/>
      <c r="H994" s="98"/>
      <c r="I994" s="91"/>
      <c r="J994" s="97"/>
      <c r="K994" s="97"/>
      <c r="L994" s="99"/>
      <c r="M994" s="100"/>
      <c r="N994" s="101"/>
      <c r="O994" s="91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</row>
    <row r="995">
      <c r="A995" s="91"/>
      <c r="B995" s="91"/>
      <c r="C995" s="91"/>
      <c r="D995" s="91"/>
      <c r="E995" s="91"/>
      <c r="F995" s="91"/>
      <c r="G995" s="91"/>
      <c r="H995" s="98"/>
      <c r="I995" s="91"/>
      <c r="J995" s="97"/>
      <c r="K995" s="97"/>
      <c r="L995" s="99"/>
      <c r="M995" s="100"/>
      <c r="N995" s="101"/>
      <c r="O995" s="91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</row>
    <row r="996">
      <c r="A996" s="91"/>
      <c r="B996" s="91"/>
      <c r="C996" s="91"/>
      <c r="D996" s="91"/>
      <c r="E996" s="91"/>
      <c r="F996" s="91"/>
      <c r="G996" s="91"/>
      <c r="H996" s="98"/>
      <c r="I996" s="91"/>
      <c r="J996" s="97"/>
      <c r="K996" s="97"/>
      <c r="L996" s="99"/>
      <c r="M996" s="100"/>
      <c r="N996" s="101"/>
      <c r="O996" s="91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</row>
    <row r="997">
      <c r="A997" s="91"/>
      <c r="B997" s="91"/>
      <c r="C997" s="91"/>
      <c r="D997" s="91"/>
      <c r="E997" s="91"/>
      <c r="F997" s="91"/>
      <c r="G997" s="91"/>
      <c r="H997" s="98"/>
      <c r="I997" s="91"/>
      <c r="J997" s="97"/>
      <c r="K997" s="97"/>
      <c r="L997" s="99"/>
      <c r="M997" s="100"/>
      <c r="N997" s="101"/>
      <c r="O997" s="91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</row>
    <row r="998">
      <c r="A998" s="91"/>
      <c r="B998" s="91"/>
      <c r="C998" s="91"/>
      <c r="D998" s="91"/>
      <c r="E998" s="91"/>
      <c r="F998" s="91"/>
      <c r="G998" s="91"/>
      <c r="H998" s="98"/>
      <c r="I998" s="91"/>
      <c r="J998" s="97"/>
      <c r="K998" s="97"/>
      <c r="L998" s="99"/>
      <c r="M998" s="100"/>
      <c r="N998" s="101"/>
      <c r="O998" s="91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</row>
    <row r="999">
      <c r="A999" s="91"/>
      <c r="B999" s="91"/>
      <c r="C999" s="91"/>
      <c r="D999" s="91"/>
      <c r="E999" s="91"/>
      <c r="F999" s="91"/>
      <c r="G999" s="91"/>
      <c r="H999" s="98"/>
      <c r="I999" s="91"/>
      <c r="J999" s="97"/>
      <c r="K999" s="97"/>
      <c r="L999" s="99"/>
      <c r="M999" s="100"/>
      <c r="N999" s="101"/>
      <c r="O999" s="91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D999" s="90"/>
    </row>
    <row r="1000">
      <c r="A1000" s="91"/>
      <c r="B1000" s="91"/>
      <c r="C1000" s="91"/>
      <c r="D1000" s="91"/>
      <c r="E1000" s="91"/>
      <c r="F1000" s="91"/>
      <c r="G1000" s="91"/>
      <c r="H1000" s="98"/>
      <c r="I1000" s="91"/>
      <c r="J1000" s="97"/>
      <c r="K1000" s="97"/>
      <c r="L1000" s="99"/>
      <c r="M1000" s="100"/>
      <c r="N1000" s="101"/>
      <c r="O1000" s="91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D1000" s="90"/>
    </row>
    <row r="1001">
      <c r="A1001" s="91"/>
      <c r="B1001" s="91"/>
      <c r="C1001" s="91"/>
      <c r="D1001" s="91"/>
      <c r="E1001" s="91"/>
      <c r="F1001" s="91"/>
      <c r="G1001" s="91"/>
      <c r="H1001" s="98"/>
      <c r="I1001" s="91"/>
      <c r="J1001" s="97"/>
      <c r="K1001" s="97"/>
      <c r="L1001" s="99"/>
      <c r="M1001" s="100"/>
      <c r="N1001" s="101"/>
      <c r="O1001" s="91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  <c r="AC1001" s="90"/>
      <c r="AD1001" s="90"/>
    </row>
    <row r="1002">
      <c r="A1002" s="91"/>
      <c r="B1002" s="91"/>
      <c r="C1002" s="91"/>
      <c r="D1002" s="91"/>
      <c r="E1002" s="91"/>
      <c r="F1002" s="91"/>
      <c r="G1002" s="91"/>
      <c r="H1002" s="98"/>
      <c r="I1002" s="91"/>
      <c r="J1002" s="97"/>
      <c r="K1002" s="97"/>
      <c r="L1002" s="99"/>
      <c r="M1002" s="100"/>
      <c r="N1002" s="101"/>
      <c r="O1002" s="91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  <c r="AC1002" s="90"/>
      <c r="AD1002" s="90"/>
    </row>
    <row r="1003">
      <c r="A1003" s="91"/>
      <c r="B1003" s="91"/>
      <c r="C1003" s="91"/>
      <c r="D1003" s="91"/>
      <c r="E1003" s="91"/>
      <c r="F1003" s="91"/>
      <c r="G1003" s="91"/>
      <c r="H1003" s="98"/>
      <c r="I1003" s="91"/>
      <c r="J1003" s="97"/>
      <c r="K1003" s="97"/>
      <c r="L1003" s="99"/>
      <c r="M1003" s="100"/>
      <c r="N1003" s="101"/>
      <c r="O1003" s="91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90"/>
      <c r="AD1003" s="90"/>
    </row>
    <row r="1004">
      <c r="A1004" s="91"/>
      <c r="B1004" s="91"/>
      <c r="C1004" s="91"/>
      <c r="D1004" s="91"/>
      <c r="E1004" s="91"/>
      <c r="F1004" s="91"/>
      <c r="G1004" s="91"/>
      <c r="H1004" s="98"/>
      <c r="I1004" s="91"/>
      <c r="J1004" s="97"/>
      <c r="K1004" s="97"/>
      <c r="L1004" s="99"/>
      <c r="M1004" s="100"/>
      <c r="N1004" s="101"/>
      <c r="O1004" s="91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  <c r="AC1004" s="90"/>
      <c r="AD1004" s="90"/>
    </row>
  </sheetData>
  <autoFilter ref="$A$1:$O$1004"/>
  <dataValidations>
    <dataValidation type="list" allowBlank="1" showErrorMessage="1" sqref="I32:I73">
      <formula1>"ILO,CAM,MOLL,LIM,ARE,TAC,MOQ"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3.29"/>
    <col customWidth="1" min="4" max="4" width="13.86"/>
    <col customWidth="1" min="5" max="5" width="10.57"/>
    <col customWidth="1" min="6" max="6" width="10.86"/>
    <col customWidth="1" min="7" max="7" width="4.0"/>
    <col customWidth="1" min="8" max="8" width="15.57"/>
  </cols>
  <sheetData>
    <row r="2">
      <c r="C2" s="138" t="s">
        <v>2660</v>
      </c>
    </row>
    <row r="3">
      <c r="C3" s="139" t="s">
        <v>18</v>
      </c>
      <c r="D3" s="139" t="s">
        <v>2661</v>
      </c>
      <c r="E3" s="139" t="s">
        <v>2662</v>
      </c>
      <c r="F3" s="139" t="s">
        <v>2663</v>
      </c>
      <c r="G3" s="140"/>
      <c r="H3" s="141" t="s">
        <v>2664</v>
      </c>
    </row>
    <row r="4">
      <c r="C4" s="142">
        <v>45500.0</v>
      </c>
      <c r="D4" s="142">
        <v>46961.0</v>
      </c>
      <c r="E4" s="143">
        <v>1600.0</v>
      </c>
      <c r="F4" s="144">
        <f>D4-C4</f>
        <v>1461</v>
      </c>
      <c r="G4" s="140"/>
      <c r="H4" s="145">
        <f>E4/F4</f>
        <v>1.095140315</v>
      </c>
    </row>
    <row r="5">
      <c r="C5" s="139" t="s">
        <v>2665</v>
      </c>
      <c r="D5" s="139" t="s">
        <v>2666</v>
      </c>
      <c r="E5" s="139" t="s">
        <v>2667</v>
      </c>
      <c r="F5" s="139" t="s">
        <v>2668</v>
      </c>
      <c r="G5" s="140"/>
      <c r="H5" s="140"/>
    </row>
    <row r="6">
      <c r="C6" s="142">
        <v>45568.0</v>
      </c>
      <c r="D6" s="144">
        <f>C6-C4</f>
        <v>68</v>
      </c>
      <c r="E6" s="146">
        <f>D6*H4</f>
        <v>74.46954141</v>
      </c>
      <c r="F6" s="147">
        <f>E4-E6</f>
        <v>1525.530459</v>
      </c>
      <c r="G6" s="140"/>
      <c r="H6" s="140"/>
    </row>
    <row r="8">
      <c r="C8" s="138" t="s">
        <v>2669</v>
      </c>
    </row>
    <row r="9">
      <c r="C9" s="139" t="s">
        <v>18</v>
      </c>
      <c r="D9" s="139" t="s">
        <v>2661</v>
      </c>
      <c r="E9" s="139" t="s">
        <v>2662</v>
      </c>
      <c r="F9" s="139" t="s">
        <v>2663</v>
      </c>
      <c r="G9" s="140"/>
      <c r="H9" s="141" t="s">
        <v>2664</v>
      </c>
    </row>
    <row r="10">
      <c r="C10" s="142">
        <v>45261.0</v>
      </c>
      <c r="D10" s="142">
        <v>46357.0</v>
      </c>
      <c r="E10" s="143">
        <v>60.0</v>
      </c>
      <c r="F10" s="144">
        <f>D10-C10</f>
        <v>1096</v>
      </c>
      <c r="G10" s="140"/>
      <c r="H10" s="145">
        <f>E10/F10</f>
        <v>0.05474452555</v>
      </c>
    </row>
    <row r="11">
      <c r="C11" s="139" t="s">
        <v>2665</v>
      </c>
      <c r="D11" s="139" t="s">
        <v>2666</v>
      </c>
      <c r="E11" s="139" t="s">
        <v>2667</v>
      </c>
      <c r="F11" s="139" t="s">
        <v>2668</v>
      </c>
      <c r="G11" s="140"/>
      <c r="H11" s="140"/>
    </row>
    <row r="12">
      <c r="C12" s="142">
        <v>45548.0</v>
      </c>
      <c r="D12" s="144">
        <f>C12-C10</f>
        <v>287</v>
      </c>
      <c r="E12" s="146">
        <f>D12*H10</f>
        <v>15.71167883</v>
      </c>
      <c r="F12" s="147">
        <f>E10-E12</f>
        <v>44.28832117</v>
      </c>
      <c r="G12" s="140"/>
      <c r="H12" s="140"/>
    </row>
    <row r="15">
      <c r="E15" s="148" t="s">
        <v>2670</v>
      </c>
      <c r="F15" s="149">
        <f>F6+F12</f>
        <v>1569.81878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2.43"/>
    <col customWidth="1" min="3" max="3" width="9.71"/>
    <col customWidth="1" min="4" max="4" width="49.71"/>
    <col customWidth="1" min="5" max="5" width="9.43"/>
    <col customWidth="1" min="6" max="6" width="9.71"/>
    <col customWidth="1" min="7" max="7" width="12.0"/>
    <col customWidth="1" min="8" max="8" width="15.57"/>
    <col customWidth="1" min="9" max="9" width="30.43"/>
  </cols>
  <sheetData>
    <row r="1">
      <c r="A1" s="150" t="str">
        <f>IFERROR(__xludf.DUMMYFUNCTION("IMPORTRANGE(""1Lu1nJ-hXTHgmrcwYzsli5D5MW63GYflSzQboXbHzUXs"",""'PERSONAL'!A:I"")"),"ID")</f>
        <v>ID</v>
      </c>
      <c r="B1" s="151" t="str">
        <f>IFERROR(__xludf.DUMMYFUNCTION("""COMPUTED_VALUE"""),"F. INGRESO")</f>
        <v>F. INGRESO</v>
      </c>
      <c r="C1" s="152" t="str">
        <f>IFERROR(__xludf.DUMMYFUNCTION("""COMPUTED_VALUE"""),"DNI")</f>
        <v>DNI</v>
      </c>
      <c r="D1" s="150" t="str">
        <f>IFERROR(__xludf.DUMMYFUNCTION("""COMPUTED_VALUE"""),"NOMBRE COMPLETO")</f>
        <v>NOMBRE COMPLETO</v>
      </c>
      <c r="E1" s="150" t="str">
        <f>IFERROR(__xludf.DUMMYFUNCTION("""COMPUTED_VALUE"""),"EMPRESA")</f>
        <v>EMPRESA</v>
      </c>
      <c r="F1" s="150" t="str">
        <f>IFERROR(__xludf.DUMMYFUNCTION("""COMPUTED_VALUE"""),"SEDE")</f>
        <v>SEDE</v>
      </c>
      <c r="G1" s="150" t="str">
        <f>IFERROR(__xludf.DUMMYFUNCTION("""COMPUTED_VALUE"""),"ACTIVIDADES")</f>
        <v>ACTIVIDADES</v>
      </c>
      <c r="H1" s="150" t="str">
        <f>IFERROR(__xludf.DUMMYFUNCTION("""COMPUTED_VALUE"""),"AREA")</f>
        <v>AREA</v>
      </c>
      <c r="I1" s="150" t="str">
        <f>IFERROR(__xludf.DUMMYFUNCTION("""COMPUTED_VALUE"""),"CARGO")</f>
        <v>CARGO</v>
      </c>
      <c r="J1" s="150"/>
      <c r="K1" s="150"/>
      <c r="L1" s="153"/>
      <c r="M1" s="150"/>
      <c r="N1" s="150"/>
      <c r="O1" s="150"/>
      <c r="P1" s="154"/>
      <c r="Q1" s="154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</row>
    <row r="2">
      <c r="A2" s="155">
        <f>IFERROR(__xludf.DUMMYFUNCTION("""COMPUTED_VALUE"""),1.0)</f>
        <v>1</v>
      </c>
      <c r="B2" s="156"/>
      <c r="C2" s="157" t="str">
        <f>IFERROR(__xludf.DUMMYFUNCTION("""COMPUTED_VALUE"""),"47530230")</f>
        <v>47530230</v>
      </c>
      <c r="D2" s="158" t="str">
        <f>IFERROR(__xludf.DUMMYFUNCTION("""COMPUTED_VALUE"""),"RAMOS QUISPE, JOSUE PEDRO")</f>
        <v>RAMOS QUISPE, JOSUE PEDRO</v>
      </c>
      <c r="E2" s="158" t="str">
        <f>IFERROR(__xludf.DUMMYFUNCTION("""COMPUTED_VALUE"""),"CAB")</f>
        <v>CAB</v>
      </c>
      <c r="F2" s="158" t="str">
        <f>IFERROR(__xludf.DUMMYFUNCTION("""COMPUTED_VALUE"""),"ILO")</f>
        <v>ILO</v>
      </c>
      <c r="G2" s="158" t="str">
        <f>IFERROR(__xludf.DUMMYFUNCTION("""COMPUTED_VALUE"""),"OFICINA")</f>
        <v>OFICINA</v>
      </c>
      <c r="H2" s="158" t="str">
        <f>IFERROR(__xludf.DUMMYFUNCTION("""COMPUTED_VALUE"""),"NOC")</f>
        <v>NOC</v>
      </c>
      <c r="I2" s="158" t="str">
        <f>IFERROR(__xludf.DUMMYFUNCTION("""COMPUTED_VALUE"""),"SUPERVISOR NOC")</f>
        <v>SUPERVISOR NOC</v>
      </c>
      <c r="J2" s="155"/>
      <c r="K2" s="158"/>
      <c r="L2" s="158"/>
      <c r="M2" s="159"/>
      <c r="N2" s="158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</row>
    <row r="3">
      <c r="A3" s="155">
        <f>IFERROR(__xludf.DUMMYFUNCTION("""COMPUTED_VALUE"""),2.0)</f>
        <v>2</v>
      </c>
      <c r="B3" s="156"/>
      <c r="C3" s="157" t="str">
        <f>IFERROR(__xludf.DUMMYFUNCTION("""COMPUTED_VALUE"""),"49058424")</f>
        <v>49058424</v>
      </c>
      <c r="D3" s="158" t="str">
        <f>IFERROR(__xludf.DUMMYFUNCTION("""COMPUTED_VALUE"""),"GUSEN DE CHAVEZ, SIMONE")</f>
        <v>GUSEN DE CHAVEZ, SIMONE</v>
      </c>
      <c r="E3" s="158" t="str">
        <f>IFERROR(__xludf.DUMMYFUNCTION("""COMPUTED_VALUE"""),"CAB")</f>
        <v>CAB</v>
      </c>
      <c r="F3" s="158" t="str">
        <f>IFERROR(__xludf.DUMMYFUNCTION("""COMPUTED_VALUE"""),"ILO")</f>
        <v>ILO</v>
      </c>
      <c r="G3" s="158" t="str">
        <f>IFERROR(__xludf.DUMMYFUNCTION("""COMPUTED_VALUE"""),"OFICINA")</f>
        <v>OFICINA</v>
      </c>
      <c r="H3" s="158" t="str">
        <f>IFERROR(__xludf.DUMMYFUNCTION("""COMPUTED_VALUE"""),"ATC")</f>
        <v>ATC</v>
      </c>
      <c r="I3" s="158" t="str">
        <f>IFERROR(__xludf.DUMMYFUNCTION("""COMPUTED_VALUE"""),"ASESOR DE ATENCION AL CLIENTE")</f>
        <v>ASESOR DE ATENCION AL CLIENTE</v>
      </c>
      <c r="J3" s="155"/>
      <c r="K3" s="158"/>
      <c r="L3" s="158"/>
      <c r="M3" s="159"/>
      <c r="N3" s="158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</row>
    <row r="4">
      <c r="A4" s="155">
        <f>IFERROR(__xludf.DUMMYFUNCTION("""COMPUTED_VALUE"""),3.0)</f>
        <v>3</v>
      </c>
      <c r="B4" s="156"/>
      <c r="C4" s="157" t="str">
        <f>IFERROR(__xludf.DUMMYFUNCTION("""COMPUTED_VALUE"""),"04327781")</f>
        <v>04327781</v>
      </c>
      <c r="D4" s="158" t="str">
        <f>IFERROR(__xludf.DUMMYFUNCTION("""COMPUTED_VALUE"""),"VALDERREY CISNERO, JHONNY JOSE")</f>
        <v>VALDERREY CISNERO, JHONNY JOSE</v>
      </c>
      <c r="E4" s="158" t="str">
        <f>IFERROR(__xludf.DUMMYFUNCTION("""COMPUTED_VALUE"""),"CAB")</f>
        <v>CAB</v>
      </c>
      <c r="F4" s="158" t="str">
        <f>IFERROR(__xludf.DUMMYFUNCTION("""COMPUTED_VALUE"""),"ILO")</f>
        <v>ILO</v>
      </c>
      <c r="G4" s="158" t="str">
        <f>IFERROR(__xludf.DUMMYFUNCTION("""COMPUTED_VALUE"""),"OFICINA")</f>
        <v>OFICINA</v>
      </c>
      <c r="H4" s="158" t="str">
        <f>IFERROR(__xludf.DUMMYFUNCTION("""COMPUTED_VALUE"""),"LOGISTICA")</f>
        <v>LOGISTICA</v>
      </c>
      <c r="I4" s="158" t="str">
        <f>IFERROR(__xludf.DUMMYFUNCTION("""COMPUTED_VALUE"""),"SUPERVISOR LOGISTICO")</f>
        <v>SUPERVISOR LOGISTICO</v>
      </c>
      <c r="J4" s="155"/>
      <c r="K4" s="158"/>
      <c r="L4" s="158"/>
      <c r="M4" s="159"/>
      <c r="N4" s="158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</row>
    <row r="5">
      <c r="A5" s="155">
        <f>IFERROR(__xludf.DUMMYFUNCTION("""COMPUTED_VALUE"""),4.0)</f>
        <v>4</v>
      </c>
      <c r="B5" s="156"/>
      <c r="C5" s="157" t="str">
        <f>IFERROR(__xludf.DUMMYFUNCTION("""COMPUTED_VALUE"""),"4639139")</f>
        <v>4639139</v>
      </c>
      <c r="D5" s="158" t="str">
        <f>IFERROR(__xludf.DUMMYFUNCTION("""COMPUTED_VALUE"""),"CORTEZ GONZALES, ROSARIO HAYDEE")</f>
        <v>CORTEZ GONZALES, ROSARIO HAYDEE</v>
      </c>
      <c r="E5" s="158" t="str">
        <f>IFERROR(__xludf.DUMMYFUNCTION("""COMPUTED_VALUE"""),"CAB")</f>
        <v>CAB</v>
      </c>
      <c r="F5" s="158" t="str">
        <f>IFERROR(__xludf.DUMMYFUNCTION("""COMPUTED_VALUE"""),"ILO")</f>
        <v>ILO</v>
      </c>
      <c r="G5" s="158" t="str">
        <f>IFERROR(__xludf.DUMMYFUNCTION("""COMPUTED_VALUE"""),"OFICINA")</f>
        <v>OFICINA</v>
      </c>
      <c r="H5" s="158" t="str">
        <f>IFERROR(__xludf.DUMMYFUNCTION("""COMPUTED_VALUE"""),"ADMINISTRACION")</f>
        <v>ADMINISTRACION</v>
      </c>
      <c r="I5" s="158" t="str">
        <f>IFERROR(__xludf.DUMMYFUNCTION("""COMPUTED_VALUE"""),"APODERADA")</f>
        <v>APODERADA</v>
      </c>
      <c r="J5" s="155"/>
      <c r="K5" s="158"/>
      <c r="L5" s="158"/>
      <c r="M5" s="159"/>
      <c r="N5" s="158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</row>
    <row r="6">
      <c r="A6" s="155">
        <f>IFERROR(__xludf.DUMMYFUNCTION("""COMPUTED_VALUE"""),5.0)</f>
        <v>5</v>
      </c>
      <c r="B6" s="156"/>
      <c r="C6" s="157" t="str">
        <f>IFERROR(__xludf.DUMMYFUNCTION("""COMPUTED_VALUE"""),"4646763")</f>
        <v>4646763</v>
      </c>
      <c r="D6" s="158" t="str">
        <f>IFERROR(__xludf.DUMMYFUNCTION("""COMPUTED_VALUE"""),"MAMANI MEDINA, PATRICIA ELBA ELIZABETH")</f>
        <v>MAMANI MEDINA, PATRICIA ELBA ELIZABETH</v>
      </c>
      <c r="E6" s="158" t="str">
        <f>IFERROR(__xludf.DUMMYFUNCTION("""COMPUTED_VALUE"""),"CAB")</f>
        <v>CAB</v>
      </c>
      <c r="F6" s="158" t="str">
        <f>IFERROR(__xludf.DUMMYFUNCTION("""COMPUTED_VALUE"""),"ILO")</f>
        <v>ILO</v>
      </c>
      <c r="G6" s="158" t="str">
        <f>IFERROR(__xludf.DUMMYFUNCTION("""COMPUTED_VALUE"""),"OFICINA")</f>
        <v>OFICINA</v>
      </c>
      <c r="H6" s="158" t="str">
        <f>IFERROR(__xludf.DUMMYFUNCTION("""COMPUTED_VALUE"""),"LOGISTICA")</f>
        <v>LOGISTICA</v>
      </c>
      <c r="I6" s="158" t="str">
        <f>IFERROR(__xludf.DUMMYFUNCTION("""COMPUTED_VALUE"""),"ASISTENTE DE COMPRAS")</f>
        <v>ASISTENTE DE COMPRAS</v>
      </c>
      <c r="J6" s="155"/>
      <c r="K6" s="158"/>
      <c r="L6" s="158"/>
      <c r="M6" s="159"/>
      <c r="N6" s="158"/>
      <c r="O6" s="153"/>
      <c r="P6" s="158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</row>
    <row r="7">
      <c r="A7" s="155">
        <f>IFERROR(__xludf.DUMMYFUNCTION("""COMPUTED_VALUE"""),6.0)</f>
        <v>6</v>
      </c>
      <c r="B7" s="156"/>
      <c r="C7" s="157" t="str">
        <f>IFERROR(__xludf.DUMMYFUNCTION("""COMPUTED_VALUE"""),"4748665")</f>
        <v>4748665</v>
      </c>
      <c r="D7" s="158" t="str">
        <f>IFERROR(__xludf.DUMMYFUNCTION("""COMPUTED_VALUE"""),"FLORES CARDOZA, JOHNNY ROBERTO")</f>
        <v>FLORES CARDOZA, JOHNNY ROBERTO</v>
      </c>
      <c r="E7" s="158" t="str">
        <f>IFERROR(__xludf.DUMMYFUNCTION("""COMPUTED_VALUE"""),"CAB")</f>
        <v>CAB</v>
      </c>
      <c r="F7" s="158" t="str">
        <f>IFERROR(__xludf.DUMMYFUNCTION("""COMPUTED_VALUE"""),"ILO")</f>
        <v>ILO</v>
      </c>
      <c r="G7" s="158" t="str">
        <f>IFERROR(__xludf.DUMMYFUNCTION("""COMPUTED_VALUE"""),"CAMPO")</f>
        <v>CAMPO</v>
      </c>
      <c r="H7" s="158" t="str">
        <f>IFERROR(__xludf.DUMMYFUNCTION("""COMPUTED_VALUE"""),"OPERACIONES")</f>
        <v>OPERACIONES</v>
      </c>
      <c r="I7" s="158" t="str">
        <f>IFERROR(__xludf.DUMMYFUNCTION("""COMPUTED_VALUE"""),"TECNICOS DE SERVICIOS")</f>
        <v>TECNICOS DE SERVICIOS</v>
      </c>
      <c r="J7" s="155"/>
      <c r="K7" s="153"/>
      <c r="L7" s="153"/>
      <c r="M7" s="153"/>
      <c r="N7" s="158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</row>
    <row r="8">
      <c r="A8" s="155">
        <f>IFERROR(__xludf.DUMMYFUNCTION("""COMPUTED_VALUE"""),7.0)</f>
        <v>7</v>
      </c>
      <c r="B8" s="156"/>
      <c r="C8" s="157" t="str">
        <f>IFERROR(__xludf.DUMMYFUNCTION("""COMPUTED_VALUE"""),"30407970")</f>
        <v>30407970</v>
      </c>
      <c r="D8" s="158" t="str">
        <f>IFERROR(__xludf.DUMMYFUNCTION("""COMPUTED_VALUE"""),"ORTIZ ROSAS, ROSA ISABEL")</f>
        <v>ORTIZ ROSAS, ROSA ISABEL</v>
      </c>
      <c r="E8" s="158" t="str">
        <f>IFERROR(__xludf.DUMMYFUNCTION("""COMPUTED_VALUE"""),"CAB")</f>
        <v>CAB</v>
      </c>
      <c r="F8" s="158" t="str">
        <f>IFERROR(__xludf.DUMMYFUNCTION("""COMPUTED_VALUE"""),"CAMANA")</f>
        <v>CAMANA</v>
      </c>
      <c r="G8" s="158" t="str">
        <f>IFERROR(__xludf.DUMMYFUNCTION("""COMPUTED_VALUE"""),"OFICINA")</f>
        <v>OFICINA</v>
      </c>
      <c r="H8" s="158" t="str">
        <f>IFERROR(__xludf.DUMMYFUNCTION("""COMPUTED_VALUE"""),"ATC")</f>
        <v>ATC</v>
      </c>
      <c r="I8" s="158" t="str">
        <f>IFERROR(__xludf.DUMMYFUNCTION("""COMPUTED_VALUE"""),"ASESOR DE ATENCION AL CLIENTE")</f>
        <v>ASESOR DE ATENCION AL CLIENTE</v>
      </c>
      <c r="J8" s="155"/>
      <c r="K8" s="158"/>
      <c r="L8" s="158"/>
      <c r="M8" s="159"/>
      <c r="N8" s="158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</row>
    <row r="9">
      <c r="A9" s="155">
        <f>IFERROR(__xludf.DUMMYFUNCTION("""COMPUTED_VALUE"""),8.0)</f>
        <v>8</v>
      </c>
      <c r="B9" s="156"/>
      <c r="C9" s="157" t="str">
        <f>IFERROR(__xludf.DUMMYFUNCTION("""COMPUTED_VALUE"""),"30422356")</f>
        <v>30422356</v>
      </c>
      <c r="D9" s="158" t="str">
        <f>IFERROR(__xludf.DUMMYFUNCTION("""COMPUTED_VALUE"""),"HUANCA CARNERO, MAGALY ROCIO")</f>
        <v>HUANCA CARNERO, MAGALY ROCIO</v>
      </c>
      <c r="E9" s="153"/>
      <c r="F9" s="158" t="str">
        <f>IFERROR(__xludf.DUMMYFUNCTION("""COMPUTED_VALUE"""),"CAMANA")</f>
        <v>CAMANA</v>
      </c>
      <c r="G9" s="158" t="str">
        <f>IFERROR(__xludf.DUMMYFUNCTION("""COMPUTED_VALUE"""),"CAMPO")</f>
        <v>CAMPO</v>
      </c>
      <c r="H9" s="158" t="str">
        <f>IFERROR(__xludf.DUMMYFUNCTION("""COMPUTED_VALUE"""),"VENTAS")</f>
        <v>VENTAS</v>
      </c>
      <c r="I9" s="158" t="str">
        <f>IFERROR(__xludf.DUMMYFUNCTION("""COMPUTED_VALUE"""),"PROMOTOR DE VENTAS DE CAMPO")</f>
        <v>PROMOTOR DE VENTAS DE CAMPO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</row>
    <row r="10">
      <c r="A10" s="155">
        <f>IFERROR(__xludf.DUMMYFUNCTION("""COMPUTED_VALUE"""),9.0)</f>
        <v>9</v>
      </c>
      <c r="B10" s="156"/>
      <c r="C10" s="157" t="str">
        <f>IFERROR(__xludf.DUMMYFUNCTION("""COMPUTED_VALUE"""),"30423220")</f>
        <v>30423220</v>
      </c>
      <c r="D10" s="158" t="str">
        <f>IFERROR(__xludf.DUMMYFUNCTION("""COMPUTED_VALUE"""),"CUEVA CHIRME, MIGUEL GABRIEL")</f>
        <v>CUEVA CHIRME, MIGUEL GABRIEL</v>
      </c>
      <c r="E10" s="158" t="str">
        <f>IFERROR(__xludf.DUMMYFUNCTION("""COMPUTED_VALUE"""),"CAB")</f>
        <v>CAB</v>
      </c>
      <c r="F10" s="158" t="str">
        <f>IFERROR(__xludf.DUMMYFUNCTION("""COMPUTED_VALUE"""),"CAMANA")</f>
        <v>CAMANA</v>
      </c>
      <c r="G10" s="158" t="str">
        <f>IFERROR(__xludf.DUMMYFUNCTION("""COMPUTED_VALUE"""),"OFICINA")</f>
        <v>OFICINA</v>
      </c>
      <c r="H10" s="158" t="str">
        <f>IFERROR(__xludf.DUMMYFUNCTION("""COMPUTED_VALUE"""),"OPERACIONES")</f>
        <v>OPERACIONES</v>
      </c>
      <c r="I10" s="158" t="str">
        <f>IFERROR(__xludf.DUMMYFUNCTION("""COMPUTED_VALUE"""),"TECNICOS DE SERVICIOS")</f>
        <v>TECNICOS DE SERVICIOS</v>
      </c>
      <c r="J10" s="155"/>
      <c r="K10" s="153"/>
      <c r="L10" s="153"/>
      <c r="M10" s="153"/>
      <c r="N10" s="153"/>
      <c r="O10" s="153"/>
      <c r="P10" s="15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</row>
    <row r="11">
      <c r="A11" s="155">
        <f>IFERROR(__xludf.DUMMYFUNCTION("""COMPUTED_VALUE"""),10.0)</f>
        <v>10</v>
      </c>
      <c r="B11" s="156"/>
      <c r="C11" s="157" t="str">
        <f>IFERROR(__xludf.DUMMYFUNCTION("""COMPUTED_VALUE"""),"40225363")</f>
        <v>40225363</v>
      </c>
      <c r="D11" s="158" t="str">
        <f>IFERROR(__xludf.DUMMYFUNCTION("""COMPUTED_VALUE"""),"AGUILAR GAVILAN, EMERSON FRANCHEZCO")</f>
        <v>AGUILAR GAVILAN, EMERSON FRANCHEZCO</v>
      </c>
      <c r="E11" s="158" t="str">
        <f>IFERROR(__xludf.DUMMYFUNCTION("""COMPUTED_VALUE"""),"CAB")</f>
        <v>CAB</v>
      </c>
      <c r="F11" s="158" t="str">
        <f>IFERROR(__xludf.DUMMYFUNCTION("""COMPUTED_VALUE"""),"CAMANA")</f>
        <v>CAMANA</v>
      </c>
      <c r="G11" s="158" t="str">
        <f>IFERROR(__xludf.DUMMYFUNCTION("""COMPUTED_VALUE"""),"CAMPO")</f>
        <v>CAMPO</v>
      </c>
      <c r="H11" s="158" t="str">
        <f>IFERROR(__xludf.DUMMYFUNCTION("""COMPUTED_VALUE"""),"OPERACIONES")</f>
        <v>OPERACIONES</v>
      </c>
      <c r="I11" s="158" t="str">
        <f>IFERROR(__xludf.DUMMYFUNCTION("""COMPUTED_VALUE"""),"SUPERVISOR DE PEXT Y SERVICIOS")</f>
        <v>SUPERVISOR DE PEXT Y SERVICIOS</v>
      </c>
      <c r="J11" s="155"/>
      <c r="K11" s="158"/>
      <c r="L11" s="158"/>
      <c r="M11" s="159"/>
      <c r="N11" s="158"/>
      <c r="O11" s="153"/>
      <c r="P11" s="158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</row>
    <row r="12">
      <c r="A12" s="155">
        <f>IFERROR(__xludf.DUMMYFUNCTION("""COMPUTED_VALUE"""),11.0)</f>
        <v>11</v>
      </c>
      <c r="B12" s="156"/>
      <c r="C12" s="157" t="str">
        <f>IFERROR(__xludf.DUMMYFUNCTION("""COMPUTED_VALUE"""),"80262004")</f>
        <v>80262004</v>
      </c>
      <c r="D12" s="158" t="str">
        <f>IFERROR(__xludf.DUMMYFUNCTION("""COMPUTED_VALUE"""),"VALENCIA TORRES, MILAGROS YOVANA")</f>
        <v>VALENCIA TORRES, MILAGROS YOVANA</v>
      </c>
      <c r="E12" s="158" t="str">
        <f>IFERROR(__xludf.DUMMYFUNCTION("""COMPUTED_VALUE"""),"CAB")</f>
        <v>CAB</v>
      </c>
      <c r="F12" s="158" t="str">
        <f>IFERROR(__xludf.DUMMYFUNCTION("""COMPUTED_VALUE"""),"CAMANA")</f>
        <v>CAMANA</v>
      </c>
      <c r="G12" s="158" t="str">
        <f>IFERROR(__xludf.DUMMYFUNCTION("""COMPUTED_VALUE"""),"OFICINA")</f>
        <v>OFICINA</v>
      </c>
      <c r="H12" s="158" t="str">
        <f>IFERROR(__xludf.DUMMYFUNCTION("""COMPUTED_VALUE"""),"ATC")</f>
        <v>ATC</v>
      </c>
      <c r="I12" s="158" t="str">
        <f>IFERROR(__xludf.DUMMYFUNCTION("""COMPUTED_VALUE"""),"ASESOR DE ATENCION AL CLIENTE")</f>
        <v>ASESOR DE ATENCION AL CLIENTE</v>
      </c>
      <c r="J12" s="155"/>
      <c r="K12" s="158"/>
      <c r="L12" s="158"/>
      <c r="M12" s="159"/>
      <c r="N12" s="158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</row>
    <row r="13">
      <c r="A13" s="155">
        <f>IFERROR(__xludf.DUMMYFUNCTION("""COMPUTED_VALUE"""),12.0)</f>
        <v>12</v>
      </c>
      <c r="B13" s="156"/>
      <c r="C13" s="157" t="str">
        <f>IFERROR(__xludf.DUMMYFUNCTION("""COMPUTED_VALUE"""),"45420799")</f>
        <v>45420799</v>
      </c>
      <c r="D13" s="158" t="str">
        <f>IFERROR(__xludf.DUMMYFUNCTION("""COMPUTED_VALUE"""),"APAZA QUISPE, YASMANY JAEL")</f>
        <v>APAZA QUISPE, YASMANY JAEL</v>
      </c>
      <c r="E13" s="158" t="str">
        <f>IFERROR(__xludf.DUMMYFUNCTION("""COMPUTED_VALUE"""),"CAB")</f>
        <v>CAB</v>
      </c>
      <c r="F13" s="158" t="str">
        <f>IFERROR(__xludf.DUMMYFUNCTION("""COMPUTED_VALUE"""),"MOLLENDO")</f>
        <v>MOLLENDO</v>
      </c>
      <c r="G13" s="158" t="str">
        <f>IFERROR(__xludf.DUMMYFUNCTION("""COMPUTED_VALUE"""),"OFICINA")</f>
        <v>OFICINA</v>
      </c>
      <c r="H13" s="158" t="str">
        <f>IFERROR(__xludf.DUMMYFUNCTION("""COMPUTED_VALUE"""),"OPERACIONES")</f>
        <v>OPERACIONES</v>
      </c>
      <c r="I13" s="158" t="str">
        <f>IFERROR(__xludf.DUMMYFUNCTION("""COMPUTED_VALUE"""),"SUPERVISOR DE PEXT Y SERVICIOS")</f>
        <v>SUPERVISOR DE PEXT Y SERVICIOS</v>
      </c>
      <c r="J13" s="155"/>
      <c r="K13" s="158"/>
      <c r="L13" s="158"/>
      <c r="M13" s="159"/>
      <c r="N13" s="158"/>
      <c r="O13" s="153"/>
      <c r="P13" s="158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</row>
    <row r="14">
      <c r="A14" s="155">
        <f>IFERROR(__xludf.DUMMYFUNCTION("""COMPUTED_VALUE"""),13.0)</f>
        <v>13</v>
      </c>
      <c r="B14" s="156"/>
      <c r="C14" s="157" t="str">
        <f>IFERROR(__xludf.DUMMYFUNCTION("""COMPUTED_VALUE"""),"42837608")</f>
        <v>42837608</v>
      </c>
      <c r="D14" s="158" t="str">
        <f>IFERROR(__xludf.DUMMYFUNCTION("""COMPUTED_VALUE"""),"PINTO CORNEJO, GISELLA JOHANNA")</f>
        <v>PINTO CORNEJO, GISELLA JOHANNA</v>
      </c>
      <c r="E14" s="158" t="str">
        <f>IFERROR(__xludf.DUMMYFUNCTION("""COMPUTED_VALUE"""),"CAB")</f>
        <v>CAB</v>
      </c>
      <c r="F14" s="158" t="str">
        <f>IFERROR(__xludf.DUMMYFUNCTION("""COMPUTED_VALUE"""),"MOLLENDO")</f>
        <v>MOLLENDO</v>
      </c>
      <c r="G14" s="158" t="str">
        <f>IFERROR(__xludf.DUMMYFUNCTION("""COMPUTED_VALUE"""),"OFICINA")</f>
        <v>OFICINA</v>
      </c>
      <c r="H14" s="158" t="str">
        <f>IFERROR(__xludf.DUMMYFUNCTION("""COMPUTED_VALUE"""),"ATC")</f>
        <v>ATC</v>
      </c>
      <c r="I14" s="158" t="str">
        <f>IFERROR(__xludf.DUMMYFUNCTION("""COMPUTED_VALUE"""),"ASESOR DE ATENCION AL CLIENTE")</f>
        <v>ASESOR DE ATENCION AL CLIENTE</v>
      </c>
      <c r="J14" s="155"/>
      <c r="K14" s="153"/>
      <c r="L14" s="153"/>
      <c r="M14" s="153"/>
      <c r="N14" s="158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</row>
    <row r="15">
      <c r="A15" s="155">
        <f>IFERROR(__xludf.DUMMYFUNCTION("""COMPUTED_VALUE"""),14.0)</f>
        <v>14</v>
      </c>
      <c r="B15" s="156"/>
      <c r="C15" s="157" t="str">
        <f>IFERROR(__xludf.DUMMYFUNCTION("""COMPUTED_VALUE"""),"71651847")</f>
        <v>71651847</v>
      </c>
      <c r="D15" s="158" t="str">
        <f>IFERROR(__xludf.DUMMYFUNCTION("""COMPUTED_VALUE"""),"URURI PAREDES, JEANCARLOS ANGEL")</f>
        <v>URURI PAREDES, JEANCARLOS ANGEL</v>
      </c>
      <c r="E15" s="158" t="str">
        <f>IFERROR(__xludf.DUMMYFUNCTION("""COMPUTED_VALUE"""),"CAB")</f>
        <v>CAB</v>
      </c>
      <c r="F15" s="158" t="str">
        <f>IFERROR(__xludf.DUMMYFUNCTION("""COMPUTED_VALUE"""),"MOLLENDO")</f>
        <v>MOLLENDO</v>
      </c>
      <c r="G15" s="158" t="str">
        <f>IFERROR(__xludf.DUMMYFUNCTION("""COMPUTED_VALUE"""),"CAMPO")</f>
        <v>CAMPO</v>
      </c>
      <c r="H15" s="158" t="str">
        <f>IFERROR(__xludf.DUMMYFUNCTION("""COMPUTED_VALUE"""),"OPERACIONES")</f>
        <v>OPERACIONES</v>
      </c>
      <c r="I15" s="158" t="str">
        <f>IFERROR(__xludf.DUMMYFUNCTION("""COMPUTED_VALUE"""),"TECNICO DE MANTENIMIENTO REDES")</f>
        <v>TECNICO DE MANTENIMIENTO REDES</v>
      </c>
      <c r="J15" s="155"/>
      <c r="K15" s="158"/>
      <c r="L15" s="158"/>
      <c r="M15" s="159"/>
      <c r="N15" s="158"/>
      <c r="O15" s="153"/>
      <c r="P15" s="158"/>
      <c r="Q15" s="158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</row>
    <row r="16">
      <c r="A16" s="160">
        <f>IFERROR(__xludf.DUMMYFUNCTION("""COMPUTED_VALUE"""),16.0)</f>
        <v>16</v>
      </c>
      <c r="B16" s="161"/>
      <c r="C16" s="162" t="str">
        <f>IFERROR(__xludf.DUMMYFUNCTION("""COMPUTED_VALUE"""),"29272164")</f>
        <v>29272164</v>
      </c>
      <c r="D16" s="163" t="str">
        <f>IFERROR(__xludf.DUMMYFUNCTION("""COMPUTED_VALUE"""),"ALVAREZ HERRERA VDA DE GONZALES, PATRICIA TATIANA")</f>
        <v>ALVAREZ HERRERA VDA DE GONZALES, PATRICIA TATIANA</v>
      </c>
      <c r="E16" s="153" t="str">
        <f>IFERROR(__xludf.DUMMYFUNCTION("""COMPUTED_VALUE"""),"CAB")</f>
        <v>CAB</v>
      </c>
      <c r="F16" s="158" t="str">
        <f>IFERROR(__xludf.DUMMYFUNCTION("""COMPUTED_VALUE"""),"LIMA")</f>
        <v>LIMA</v>
      </c>
      <c r="G16" s="158" t="str">
        <f>IFERROR(__xludf.DUMMYFUNCTION("""COMPUTED_VALUE"""),"OFICINA")</f>
        <v>OFICINA</v>
      </c>
      <c r="H16" s="163" t="str">
        <f>IFERROR(__xludf.DUMMYFUNCTION("""COMPUTED_VALUE"""),"ACCIONISTA")</f>
        <v>ACCIONISTA</v>
      </c>
      <c r="I16" s="163" t="str">
        <f>IFERROR(__xludf.DUMMYFUNCTION("""COMPUTED_VALUE"""),"APODERADA")</f>
        <v>APODERADA</v>
      </c>
      <c r="J16" s="160"/>
      <c r="K16" s="164"/>
      <c r="L16" s="164"/>
      <c r="M16" s="164"/>
      <c r="N16" s="158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</row>
    <row r="17">
      <c r="A17" s="155">
        <f>IFERROR(__xludf.DUMMYFUNCTION("""COMPUTED_VALUE"""),17.0)</f>
        <v>17</v>
      </c>
      <c r="B17" s="156"/>
      <c r="C17" s="157" t="str">
        <f>IFERROR(__xludf.DUMMYFUNCTION("""COMPUTED_VALUE"""),"45723596")</f>
        <v>45723596</v>
      </c>
      <c r="D17" s="158" t="str">
        <f>IFERROR(__xludf.DUMMYFUNCTION("""COMPUTED_VALUE"""),"GONZALES ALVAREZ, ANA LUCIA")</f>
        <v>GONZALES ALVAREZ, ANA LUCIA</v>
      </c>
      <c r="E17" s="158" t="str">
        <f>IFERROR(__xludf.DUMMYFUNCTION("""COMPUTED_VALUE"""),"CAB")</f>
        <v>CAB</v>
      </c>
      <c r="F17" s="158" t="str">
        <f>IFERROR(__xludf.DUMMYFUNCTION("""COMPUTED_VALUE"""),"LIMA")</f>
        <v>LIMA</v>
      </c>
      <c r="G17" s="158" t="str">
        <f>IFERROR(__xludf.DUMMYFUNCTION("""COMPUTED_VALUE"""),"OFICINA")</f>
        <v>OFICINA</v>
      </c>
      <c r="H17" s="158" t="str">
        <f>IFERROR(__xludf.DUMMYFUNCTION("""COMPUTED_VALUE"""),"ACCIONISTA")</f>
        <v>ACCIONISTA</v>
      </c>
      <c r="I17" s="158" t="str">
        <f>IFERROR(__xludf.DUMMYFUNCTION("""COMPUTED_VALUE"""),"GERENTE GENERAL")</f>
        <v>GERENTE GENERAL</v>
      </c>
      <c r="J17" s="155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</row>
    <row r="18">
      <c r="A18" s="155">
        <f>IFERROR(__xludf.DUMMYFUNCTION("""COMPUTED_VALUE"""),18.0)</f>
        <v>18</v>
      </c>
      <c r="B18" s="156"/>
      <c r="C18" s="157" t="str">
        <f>IFERROR(__xludf.DUMMYFUNCTION("""COMPUTED_VALUE"""),"75706764")</f>
        <v>75706764</v>
      </c>
      <c r="D18" s="158" t="str">
        <f>IFERROR(__xludf.DUMMYFUNCTION("""COMPUTED_VALUE"""),"APAZA LINARES, JEAN CARLOS ALEXANDER")</f>
        <v>APAZA LINARES, JEAN CARLOS ALEXANDER</v>
      </c>
      <c r="E18" s="158" t="str">
        <f>IFERROR(__xludf.DUMMYFUNCTION("""COMPUTED_VALUE"""),"CAB")</f>
        <v>CAB</v>
      </c>
      <c r="F18" s="158" t="str">
        <f>IFERROR(__xludf.DUMMYFUNCTION("""COMPUTED_VALUE"""),"AREQUIPA")</f>
        <v>AREQUIPA</v>
      </c>
      <c r="G18" s="158" t="str">
        <f>IFERROR(__xludf.DUMMYFUNCTION("""COMPUTED_VALUE"""),"CAMPO")</f>
        <v>CAMPO</v>
      </c>
      <c r="H18" s="158" t="str">
        <f>IFERROR(__xludf.DUMMYFUNCTION("""COMPUTED_VALUE"""),"PROYECTOS")</f>
        <v>PROYECTOS</v>
      </c>
      <c r="I18" s="158" t="str">
        <f>IFERROR(__xludf.DUMMYFUNCTION("""COMPUTED_VALUE"""),"SUPERVISOR REGIONAL DE PROYECTOS")</f>
        <v>SUPERVISOR REGIONAL DE PROYECTOS</v>
      </c>
      <c r="J18" s="155"/>
      <c r="K18" s="158"/>
      <c r="L18" s="158"/>
      <c r="M18" s="159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</row>
    <row r="19">
      <c r="A19" s="155">
        <f>IFERROR(__xludf.DUMMYFUNCTION("""COMPUTED_VALUE"""),19.0)</f>
        <v>19</v>
      </c>
      <c r="B19" s="156"/>
      <c r="C19" s="157" t="str">
        <f>IFERROR(__xludf.DUMMYFUNCTION("""COMPUTED_VALUE"""),"71246901")</f>
        <v>71246901</v>
      </c>
      <c r="D19" s="158" t="str">
        <f>IFERROR(__xludf.DUMMYFUNCTION("""COMPUTED_VALUE"""),"GONZALES ALVAREZ, MARIA FERNANDA")</f>
        <v>GONZALES ALVAREZ, MARIA FERNANDA</v>
      </c>
      <c r="E19" s="158" t="str">
        <f>IFERROR(__xludf.DUMMYFUNCTION("""COMPUTED_VALUE"""),"CAF")</f>
        <v>CAF</v>
      </c>
      <c r="F19" s="158" t="str">
        <f>IFERROR(__xludf.DUMMYFUNCTION("""COMPUTED_VALUE"""),"AREQUIPA")</f>
        <v>AREQUIPA</v>
      </c>
      <c r="G19" s="158" t="str">
        <f>IFERROR(__xludf.DUMMYFUNCTION("""COMPUTED_VALUE"""),"OFICINA")</f>
        <v>OFICINA</v>
      </c>
      <c r="H19" s="158" t="str">
        <f>IFERROR(__xludf.DUMMYFUNCTION("""COMPUTED_VALUE"""),"RECURSOS HUMANOS")</f>
        <v>RECURSOS HUMANOS</v>
      </c>
      <c r="I19" s="158" t="str">
        <f>IFERROR(__xludf.DUMMYFUNCTION("""COMPUTED_VALUE"""),"COORDINADORA CLIMA ORGANIZACIONAL")</f>
        <v>COORDINADORA CLIMA ORGANIZACIONAL</v>
      </c>
      <c r="J19" s="153"/>
      <c r="K19" s="153"/>
      <c r="L19" s="153"/>
      <c r="M19" s="153"/>
      <c r="N19" s="158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</row>
    <row r="20">
      <c r="A20" s="155">
        <f>IFERROR(__xludf.DUMMYFUNCTION("""COMPUTED_VALUE"""),20.0)</f>
        <v>20</v>
      </c>
      <c r="B20" s="156"/>
      <c r="C20" s="157" t="str">
        <f>IFERROR(__xludf.DUMMYFUNCTION("""COMPUTED_VALUE"""),"73508600")</f>
        <v>73508600</v>
      </c>
      <c r="D20" s="158" t="str">
        <f>IFERROR(__xludf.DUMMYFUNCTION("""COMPUTED_VALUE"""),"CORDERO BALCON, VLADIMIR CHRISTIAN")</f>
        <v>CORDERO BALCON, VLADIMIR CHRISTIAN</v>
      </c>
      <c r="E20" s="158" t="str">
        <f>IFERROR(__xludf.DUMMYFUNCTION("""COMPUTED_VALUE"""),"CAF")</f>
        <v>CAF</v>
      </c>
      <c r="F20" s="158" t="str">
        <f>IFERROR(__xludf.DUMMYFUNCTION("""COMPUTED_VALUE"""),"ILO")</f>
        <v>ILO</v>
      </c>
      <c r="G20" s="158" t="str">
        <f>IFERROR(__xludf.DUMMYFUNCTION("""COMPUTED_VALUE"""),"OFICINA")</f>
        <v>OFICINA</v>
      </c>
      <c r="H20" s="158" t="str">
        <f>IFERROR(__xludf.DUMMYFUNCTION("""COMPUTED_VALUE"""),"OPERACIONES")</f>
        <v>OPERACIONES</v>
      </c>
      <c r="I20" s="158" t="str">
        <f>IFERROR(__xludf.DUMMYFUNCTION("""COMPUTED_VALUE"""),"SUPERVISOR DE PEXT Y SERVICIOS")</f>
        <v>SUPERVISOR DE PEXT Y SERVICIOS</v>
      </c>
      <c r="J20" s="155"/>
      <c r="K20" s="158"/>
      <c r="L20" s="158"/>
      <c r="M20" s="159"/>
      <c r="N20" s="153"/>
      <c r="O20" s="153"/>
      <c r="P20" s="158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</row>
    <row r="21">
      <c r="A21" s="155">
        <f>IFERROR(__xludf.DUMMYFUNCTION("""COMPUTED_VALUE"""),21.0)</f>
        <v>21</v>
      </c>
      <c r="B21" s="156"/>
      <c r="C21" s="157" t="str">
        <f>IFERROR(__xludf.DUMMYFUNCTION("""COMPUTED_VALUE"""),"73618834")</f>
        <v>73618834</v>
      </c>
      <c r="D21" s="158" t="str">
        <f>IFERROR(__xludf.DUMMYFUNCTION("""COMPUTED_VALUE"""),"ARAGON PONCE, DANIKA YULISSA")</f>
        <v>ARAGON PONCE, DANIKA YULISSA</v>
      </c>
      <c r="E21" s="158" t="str">
        <f>IFERROR(__xludf.DUMMYFUNCTION("""COMPUTED_VALUE"""),"CAF")</f>
        <v>CAF</v>
      </c>
      <c r="F21" s="158" t="str">
        <f>IFERROR(__xludf.DUMMYFUNCTION("""COMPUTED_VALUE"""),"ILO")</f>
        <v>ILO</v>
      </c>
      <c r="G21" s="158" t="str">
        <f>IFERROR(__xludf.DUMMYFUNCTION("""COMPUTED_VALUE"""),"OFICINA")</f>
        <v>OFICINA</v>
      </c>
      <c r="H21" s="158" t="str">
        <f>IFERROR(__xludf.DUMMYFUNCTION("""COMPUTED_VALUE"""),"CONTABILIDAD")</f>
        <v>CONTABILIDAD</v>
      </c>
      <c r="I21" s="158" t="str">
        <f>IFERROR(__xludf.DUMMYFUNCTION("""COMPUTED_VALUE"""),"SUPERVISORA CONTABLE")</f>
        <v>SUPERVISORA CONTABLE</v>
      </c>
      <c r="J21" s="155"/>
      <c r="K21" s="158"/>
      <c r="L21" s="158"/>
      <c r="M21" s="159"/>
      <c r="N21" s="158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</row>
    <row r="22">
      <c r="A22" s="155">
        <f>IFERROR(__xludf.DUMMYFUNCTION("""COMPUTED_VALUE"""),22.0)</f>
        <v>22</v>
      </c>
      <c r="B22" s="156"/>
      <c r="C22" s="157" t="str">
        <f>IFERROR(__xludf.DUMMYFUNCTION("""COMPUTED_VALUE"""),"74621395")</f>
        <v>74621395</v>
      </c>
      <c r="D22" s="158" t="str">
        <f>IFERROR(__xludf.DUMMYFUNCTION("""COMPUTED_VALUE"""),"CALCINA FUENTES, DANIEL NAHUN")</f>
        <v>CALCINA FUENTES, DANIEL NAHUN</v>
      </c>
      <c r="E22" s="158" t="str">
        <f>IFERROR(__xludf.DUMMYFUNCTION("""COMPUTED_VALUE"""),"CAF")</f>
        <v>CAF</v>
      </c>
      <c r="F22" s="158" t="str">
        <f>IFERROR(__xludf.DUMMYFUNCTION("""COMPUTED_VALUE"""),"AREQUIPA")</f>
        <v>AREQUIPA</v>
      </c>
      <c r="G22" s="158" t="str">
        <f>IFERROR(__xludf.DUMMYFUNCTION("""COMPUTED_VALUE"""),"OFICINA")</f>
        <v>OFICINA</v>
      </c>
      <c r="H22" s="158" t="str">
        <f>IFERROR(__xludf.DUMMYFUNCTION("""COMPUTED_VALUE"""),"TI")</f>
        <v>TI</v>
      </c>
      <c r="I22" s="158" t="str">
        <f>IFERROR(__xludf.DUMMYFUNCTION("""COMPUTED_VALUE"""),"ANALISTA DE PROGRAMACION Y TI")</f>
        <v>ANALISTA DE PROGRAMACION Y TI</v>
      </c>
      <c r="J22" s="155"/>
      <c r="K22" s="158"/>
      <c r="L22" s="158"/>
      <c r="M22" s="159"/>
      <c r="N22" s="158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</row>
    <row r="23">
      <c r="A23" s="155">
        <f>IFERROR(__xludf.DUMMYFUNCTION("""COMPUTED_VALUE"""),23.0)</f>
        <v>23</v>
      </c>
      <c r="B23" s="156"/>
      <c r="C23" s="157" t="str">
        <f>IFERROR(__xludf.DUMMYFUNCTION("""COMPUTED_VALUE"""),"46609211")</f>
        <v>46609211</v>
      </c>
      <c r="D23" s="158" t="str">
        <f>IFERROR(__xludf.DUMMYFUNCTION("""COMPUTED_VALUE"""),"SALAS AYSA, BERNARDINO")</f>
        <v>SALAS AYSA, BERNARDINO</v>
      </c>
      <c r="E23" s="158" t="str">
        <f>IFERROR(__xludf.DUMMYFUNCTION("""COMPUTED_VALUE"""),"CAF")</f>
        <v>CAF</v>
      </c>
      <c r="F23" s="158" t="str">
        <f>IFERROR(__xludf.DUMMYFUNCTION("""COMPUTED_VALUE"""),"TACNA")</f>
        <v>TACNA</v>
      </c>
      <c r="G23" s="153" t="str">
        <f>IFERROR(__xludf.DUMMYFUNCTION("""COMPUTED_VALUE"""),"CAMPO")</f>
        <v>CAMPO</v>
      </c>
      <c r="H23" s="158" t="str">
        <f>IFERROR(__xludf.DUMMYFUNCTION("""COMPUTED_VALUE"""),"OPERACIONES")</f>
        <v>OPERACIONES</v>
      </c>
      <c r="I23" s="158" t="str">
        <f>IFERROR(__xludf.DUMMYFUNCTION("""COMPUTED_VALUE"""),"TECNICO DE PLANTA EXTERNA")</f>
        <v>TECNICO DE PLANTA EXTERNA</v>
      </c>
      <c r="J23" s="155"/>
      <c r="K23" s="158"/>
      <c r="L23" s="158"/>
      <c r="M23" s="159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</row>
    <row r="24">
      <c r="A24" s="155">
        <f>IFERROR(__xludf.DUMMYFUNCTION("""COMPUTED_VALUE"""),24.0)</f>
        <v>24</v>
      </c>
      <c r="B24" s="156"/>
      <c r="C24" s="157" t="str">
        <f>IFERROR(__xludf.DUMMYFUNCTION("""COMPUTED_VALUE"""),"71246902")</f>
        <v>71246902</v>
      </c>
      <c r="D24" s="158" t="str">
        <f>IFERROR(__xludf.DUMMYFUNCTION("""COMPUTED_VALUE"""),"GONZALES ALVAREZ, LUIS IGNACIO")</f>
        <v>GONZALES ALVAREZ, LUIS IGNACIO</v>
      </c>
      <c r="E24" s="158" t="str">
        <f>IFERROR(__xludf.DUMMYFUNCTION("""COMPUTED_VALUE"""),"CAF")</f>
        <v>CAF</v>
      </c>
      <c r="F24" s="158" t="str">
        <f>IFERROR(__xludf.DUMMYFUNCTION("""COMPUTED_VALUE"""),"LIMA")</f>
        <v>LIMA</v>
      </c>
      <c r="G24" s="158"/>
      <c r="H24" s="158" t="str">
        <f>IFERROR(__xludf.DUMMYFUNCTION("""COMPUTED_VALUE"""),"ACCIONISTA")</f>
        <v>ACCIONISTA</v>
      </c>
      <c r="I24" s="158" t="str">
        <f>IFERROR(__xludf.DUMMYFUNCTION("""COMPUTED_VALUE"""),"ANALISTA")</f>
        <v>ANALISTA</v>
      </c>
      <c r="J24" s="155"/>
      <c r="K24" s="153"/>
      <c r="L24" s="153"/>
      <c r="M24" s="153"/>
      <c r="N24" s="158"/>
      <c r="O24" s="153"/>
      <c r="P24" s="158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</row>
    <row r="25">
      <c r="A25" s="155">
        <f>IFERROR(__xludf.DUMMYFUNCTION("""COMPUTED_VALUE"""),25.0)</f>
        <v>25</v>
      </c>
      <c r="B25" s="156"/>
      <c r="C25" s="157" t="str">
        <f>IFERROR(__xludf.DUMMYFUNCTION("""COMPUTED_VALUE"""),"45424940")</f>
        <v>45424940</v>
      </c>
      <c r="D25" s="158" t="str">
        <f>IFERROR(__xludf.DUMMYFUNCTION("""COMPUTED_VALUE"""),"CCALLO COARITE, GINA JACKELYN")</f>
        <v>CCALLO COARITE, GINA JACKELYN</v>
      </c>
      <c r="E25" s="158" t="str">
        <f>IFERROR(__xludf.DUMMYFUNCTION("""COMPUTED_VALUE"""),"CAF")</f>
        <v>CAF</v>
      </c>
      <c r="F25" s="158" t="str">
        <f>IFERROR(__xludf.DUMMYFUNCTION("""COMPUTED_VALUE"""),"TACNA")</f>
        <v>TACNA</v>
      </c>
      <c r="G25" s="153"/>
      <c r="H25" s="158" t="str">
        <f>IFERROR(__xludf.DUMMYFUNCTION("""COMPUTED_VALUE"""),"ATC")</f>
        <v>ATC</v>
      </c>
      <c r="I25" s="158" t="str">
        <f>IFERROR(__xludf.DUMMYFUNCTION("""COMPUTED_VALUE"""),"ASESOR DE ATENCION AL CLIENTE")</f>
        <v>ASESOR DE ATENCION AL CLIENTE</v>
      </c>
      <c r="J25" s="155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</row>
    <row r="26">
      <c r="A26" s="155">
        <f>IFERROR(__xludf.DUMMYFUNCTION("""COMPUTED_VALUE"""),26.0)</f>
        <v>26</v>
      </c>
      <c r="B26" s="156"/>
      <c r="C26" s="157" t="str">
        <f>IFERROR(__xludf.DUMMYFUNCTION("""COMPUTED_VALUE"""),"45295416")</f>
        <v>45295416</v>
      </c>
      <c r="D26" s="158" t="str">
        <f>IFERROR(__xludf.DUMMYFUNCTION("""COMPUTED_VALUE"""),"ZAVALA MELENDEZ, JORGE")</f>
        <v>ZAVALA MELENDEZ, JORGE</v>
      </c>
      <c r="E26" s="158" t="str">
        <f>IFERROR(__xludf.DUMMYFUNCTION("""COMPUTED_VALUE"""),"CAF")</f>
        <v>CAF</v>
      </c>
      <c r="F26" s="158" t="str">
        <f>IFERROR(__xludf.DUMMYFUNCTION("""COMPUTED_VALUE"""),"TACNA")</f>
        <v>TACNA</v>
      </c>
      <c r="G26" s="153" t="str">
        <f>IFERROR(__xludf.DUMMYFUNCTION("""COMPUTED_VALUE"""),"OFICINA")</f>
        <v>OFICINA</v>
      </c>
      <c r="H26" s="158" t="str">
        <f>IFERROR(__xludf.DUMMYFUNCTION("""COMPUTED_VALUE"""),"OPERACIONES")</f>
        <v>OPERACIONES</v>
      </c>
      <c r="I26" s="158" t="str">
        <f>IFERROR(__xludf.DUMMYFUNCTION("""COMPUTED_VALUE"""),"SUPERVISOR DE PEXT Y SERVICIOS")</f>
        <v>SUPERVISOR DE PEXT Y SERVICIOS</v>
      </c>
      <c r="J26" s="155"/>
      <c r="K26" s="158"/>
      <c r="L26" s="158"/>
      <c r="M26" s="159"/>
      <c r="N26" s="158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</row>
    <row r="27">
      <c r="A27" s="155">
        <f>IFERROR(__xludf.DUMMYFUNCTION("""COMPUTED_VALUE"""),27.0)</f>
        <v>27</v>
      </c>
      <c r="B27" s="156"/>
      <c r="C27" s="157" t="str">
        <f>IFERROR(__xludf.DUMMYFUNCTION("""COMPUTED_VALUE"""),"29714941")</f>
        <v>29714941</v>
      </c>
      <c r="D27" s="158" t="str">
        <f>IFERROR(__xludf.DUMMYFUNCTION("""COMPUTED_VALUE"""),"CALDERON VILCHES, UGO LUIS")</f>
        <v>CALDERON VILCHES, UGO LUIS</v>
      </c>
      <c r="E27" s="158" t="str">
        <f>IFERROR(__xludf.DUMMYFUNCTION("""COMPUTED_VALUE"""),"CAF")</f>
        <v>CAF</v>
      </c>
      <c r="F27" s="158" t="str">
        <f>IFERROR(__xludf.DUMMYFUNCTION("""COMPUTED_VALUE"""),"AREQUIPA")</f>
        <v>AREQUIPA</v>
      </c>
      <c r="G27" s="158" t="str">
        <f>IFERROR(__xludf.DUMMYFUNCTION("""COMPUTED_VALUE"""),"OFICINA")</f>
        <v>OFICINA</v>
      </c>
      <c r="H27" s="158" t="str">
        <f>IFERROR(__xludf.DUMMYFUNCTION("""COMPUTED_VALUE"""),"EJECUTIVO")</f>
        <v>EJECUTIVO</v>
      </c>
      <c r="I27" s="158" t="str">
        <f>IFERROR(__xludf.DUMMYFUNCTION("""COMPUTED_VALUE"""),"GERENTE DE ADMINISTRACION Y FINANZAS")</f>
        <v>GERENTE DE ADMINISTRACION Y FINANZAS</v>
      </c>
      <c r="J27" s="155"/>
      <c r="K27" s="158"/>
      <c r="L27" s="158"/>
      <c r="M27" s="159"/>
      <c r="N27" s="158"/>
      <c r="O27" s="153"/>
      <c r="P27" s="158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</row>
    <row r="28">
      <c r="A28" s="155">
        <f>IFERROR(__xludf.DUMMYFUNCTION("""COMPUTED_VALUE"""),31.0)</f>
        <v>31</v>
      </c>
      <c r="B28" s="156"/>
      <c r="C28" s="157" t="str">
        <f>IFERROR(__xludf.DUMMYFUNCTION("""COMPUTED_VALUE"""),"76069590")</f>
        <v>76069590</v>
      </c>
      <c r="D28" s="158" t="str">
        <f>IFERROR(__xludf.DUMMYFUNCTION("""COMPUTED_VALUE"""),"PONCE CUADROS, VICTOR ANDRE")</f>
        <v>PONCE CUADROS, VICTOR ANDRE</v>
      </c>
      <c r="E28" s="158" t="str">
        <f>IFERROR(__xludf.DUMMYFUNCTION("""COMPUTED_VALUE"""),"CAF")</f>
        <v>CAF</v>
      </c>
      <c r="F28" s="158" t="str">
        <f>IFERROR(__xludf.DUMMYFUNCTION("""COMPUTED_VALUE"""),"AREQUIPA")</f>
        <v>AREQUIPA</v>
      </c>
      <c r="G28" s="158" t="str">
        <f>IFERROR(__xludf.DUMMYFUNCTION("""COMPUTED_VALUE"""),"OFICINA")</f>
        <v>OFICINA</v>
      </c>
      <c r="H28" s="158" t="str">
        <f>IFERROR(__xludf.DUMMYFUNCTION("""COMPUTED_VALUE"""),"CONTAC CENTER")</f>
        <v>CONTAC CENTER</v>
      </c>
      <c r="I28" s="158" t="str">
        <f>IFERROR(__xludf.DUMMYFUNCTION("""COMPUTED_VALUE"""),"SUPERVISOR DE CONTACT CENTER")</f>
        <v>SUPERVISOR DE CONTACT CENTER</v>
      </c>
      <c r="J28" s="155"/>
      <c r="K28" s="158"/>
      <c r="L28" s="158"/>
      <c r="M28" s="159"/>
      <c r="N28" s="158"/>
      <c r="O28" s="153"/>
      <c r="P28" s="158"/>
      <c r="Q28" s="158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</row>
    <row r="29">
      <c r="A29" s="155">
        <f>IFERROR(__xludf.DUMMYFUNCTION("""COMPUTED_VALUE"""),32.0)</f>
        <v>32</v>
      </c>
      <c r="B29" s="156"/>
      <c r="C29" s="157" t="str">
        <f>IFERROR(__xludf.DUMMYFUNCTION("""COMPUTED_VALUE"""),"4650068")</f>
        <v>4650068</v>
      </c>
      <c r="D29" s="158" t="str">
        <f>IFERROR(__xludf.DUMMYFUNCTION("""COMPUTED_VALUE"""),"LUJAN LOAYZA, EDITH ROSMERY")</f>
        <v>LUJAN LOAYZA, EDITH ROSMERY</v>
      </c>
      <c r="E29" s="158" t="str">
        <f>IFERROR(__xludf.DUMMYFUNCTION("""COMPUTED_VALUE"""),"MAF")</f>
        <v>MAF</v>
      </c>
      <c r="F29" s="158" t="str">
        <f>IFERROR(__xludf.DUMMYFUNCTION("""COMPUTED_VALUE"""),"ILO")</f>
        <v>ILO</v>
      </c>
      <c r="G29" s="153"/>
      <c r="H29" s="158" t="str">
        <f>IFERROR(__xludf.DUMMYFUNCTION("""COMPUTED_VALUE"""),"ATC")</f>
        <v>ATC</v>
      </c>
      <c r="I29" s="158" t="str">
        <f>IFERROR(__xludf.DUMMYFUNCTION("""COMPUTED_VALUE"""),"ASISTENTE NEGOCIO")</f>
        <v>ASISTENTE NEGOCIO</v>
      </c>
      <c r="J29" s="153"/>
      <c r="K29" s="158"/>
      <c r="L29" s="158"/>
      <c r="M29" s="159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</row>
    <row r="30">
      <c r="A30" s="155">
        <f>IFERROR(__xludf.DUMMYFUNCTION("""COMPUTED_VALUE"""),33.0)</f>
        <v>33</v>
      </c>
      <c r="B30" s="156"/>
      <c r="C30" s="157" t="str">
        <f>IFERROR(__xludf.DUMMYFUNCTION("""COMPUTED_VALUE"""),"47747018")</f>
        <v>47747018</v>
      </c>
      <c r="D30" s="158" t="str">
        <f>IFERROR(__xludf.DUMMYFUNCTION("""COMPUTED_VALUE"""),"MAMANI DURAN, MIRIAN MAGALY")</f>
        <v>MAMANI DURAN, MIRIAN MAGALY</v>
      </c>
      <c r="E30" s="158" t="str">
        <f>IFERROR(__xludf.DUMMYFUNCTION("""COMPUTED_VALUE"""),"MAF")</f>
        <v>MAF</v>
      </c>
      <c r="F30" s="158" t="str">
        <f>IFERROR(__xludf.DUMMYFUNCTION("""COMPUTED_VALUE"""),"ILO")</f>
        <v>ILO</v>
      </c>
      <c r="G30" s="153"/>
      <c r="H30" s="158" t="str">
        <f>IFERROR(__xludf.DUMMYFUNCTION("""COMPUTED_VALUE"""),"OPERACIONES")</f>
        <v>OPERACIONES</v>
      </c>
      <c r="I30" s="158" t="str">
        <f>IFERROR(__xludf.DUMMYFUNCTION("""COMPUTED_VALUE"""),"SUPERVISORA DE ADMINISTRACION TECNICA")</f>
        <v>SUPERVISORA DE ADMINISTRACION TECNICA</v>
      </c>
      <c r="J30" s="155"/>
      <c r="K30" s="158"/>
      <c r="L30" s="158"/>
      <c r="M30" s="159"/>
      <c r="N30" s="158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</row>
    <row r="31">
      <c r="A31" s="155">
        <f>IFERROR(__xludf.DUMMYFUNCTION("""COMPUTED_VALUE"""),34.0)</f>
        <v>34</v>
      </c>
      <c r="B31" s="156"/>
      <c r="C31" s="157" t="str">
        <f>IFERROR(__xludf.DUMMYFUNCTION("""COMPUTED_VALUE"""),"70134931")</f>
        <v>70134931</v>
      </c>
      <c r="D31" s="158" t="str">
        <f>IFERROR(__xludf.DUMMYFUNCTION("""COMPUTED_VALUE"""),"AMESQUITA SANCHEZ, HUBER YANCARLOS")</f>
        <v>AMESQUITA SANCHEZ, HUBER YANCARLOS</v>
      </c>
      <c r="E31" s="158" t="str">
        <f>IFERROR(__xludf.DUMMYFUNCTION("""COMPUTED_VALUE"""),"MAF")</f>
        <v>MAF</v>
      </c>
      <c r="F31" s="158" t="str">
        <f>IFERROR(__xludf.DUMMYFUNCTION("""COMPUTED_VALUE"""),"ILO")</f>
        <v>ILO</v>
      </c>
      <c r="G31" s="153" t="str">
        <f>IFERROR(__xludf.DUMMYFUNCTION("""COMPUTED_VALUE"""),"CAMPO")</f>
        <v>CAMPO</v>
      </c>
      <c r="H31" s="158" t="str">
        <f>IFERROR(__xludf.DUMMYFUNCTION("""COMPUTED_VALUE"""),"OPERACIONES")</f>
        <v>OPERACIONES</v>
      </c>
      <c r="I31" s="158" t="str">
        <f>IFERROR(__xludf.DUMMYFUNCTION("""COMPUTED_VALUE"""),"TECNICOS DE SERVICIOS")</f>
        <v>TECNICOS DE SERVICIOS</v>
      </c>
      <c r="J31" s="155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</row>
    <row r="32">
      <c r="A32" s="155">
        <f>IFERROR(__xludf.DUMMYFUNCTION("""COMPUTED_VALUE"""),35.0)</f>
        <v>35</v>
      </c>
      <c r="B32" s="156"/>
      <c r="C32" s="157" t="str">
        <f>IFERROR(__xludf.DUMMYFUNCTION("""COMPUTED_VALUE"""),"72026588")</f>
        <v>72026588</v>
      </c>
      <c r="D32" s="158" t="str">
        <f>IFERROR(__xludf.DUMMYFUNCTION("""COMPUTED_VALUE"""),"CRUZ CHAMBILLA, GABI FIORELA")</f>
        <v>CRUZ CHAMBILLA, GABI FIORELA</v>
      </c>
      <c r="E32" s="158" t="str">
        <f>IFERROR(__xludf.DUMMYFUNCTION("""COMPUTED_VALUE"""),"MAF")</f>
        <v>MAF</v>
      </c>
      <c r="F32" s="158" t="str">
        <f>IFERROR(__xludf.DUMMYFUNCTION("""COMPUTED_VALUE"""),"ILO")</f>
        <v>ILO</v>
      </c>
      <c r="G32" s="153"/>
      <c r="H32" s="158" t="str">
        <f>IFERROR(__xludf.DUMMYFUNCTION("""COMPUTED_VALUE"""),"FINANZAS")</f>
        <v>FINANZAS</v>
      </c>
      <c r="I32" s="158" t="str">
        <f>IFERROR(__xludf.DUMMYFUNCTION("""COMPUTED_VALUE"""),"ASISTENTE DE FINANZAS")</f>
        <v>ASISTENTE DE FINANZAS</v>
      </c>
      <c r="J32" s="155"/>
      <c r="K32" s="158"/>
      <c r="L32" s="158"/>
      <c r="M32" s="159"/>
      <c r="N32" s="158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</row>
    <row r="33">
      <c r="A33" s="155">
        <f>IFERROR(__xludf.DUMMYFUNCTION("""COMPUTED_VALUE"""),36.0)</f>
        <v>36</v>
      </c>
      <c r="B33" s="156"/>
      <c r="C33" s="157" t="str">
        <f>IFERROR(__xludf.DUMMYFUNCTION("""COMPUTED_VALUE"""),"74205230")</f>
        <v>74205230</v>
      </c>
      <c r="D33" s="158" t="str">
        <f>IFERROR(__xludf.DUMMYFUNCTION("""COMPUTED_VALUE"""),"ABANTO GALVAN, JHONNY GUILLERMO")</f>
        <v>ABANTO GALVAN, JHONNY GUILLERMO</v>
      </c>
      <c r="E33" s="158" t="str">
        <f>IFERROR(__xludf.DUMMYFUNCTION("""COMPUTED_VALUE"""),"MAF")</f>
        <v>MAF</v>
      </c>
      <c r="F33" s="158" t="str">
        <f>IFERROR(__xludf.DUMMYFUNCTION("""COMPUTED_VALUE"""),"ILO")</f>
        <v>ILO</v>
      </c>
      <c r="G33" s="153"/>
      <c r="H33" s="158" t="str">
        <f>IFERROR(__xludf.DUMMYFUNCTION("""COMPUTED_VALUE"""),"JEFATURA")</f>
        <v>JEFATURA</v>
      </c>
      <c r="I33" s="158" t="str">
        <f>IFERROR(__xludf.DUMMYFUNCTION("""COMPUTED_VALUE"""),"JEFE DE ATENCION Y EXPERIENCIA AL CLIENTE")</f>
        <v>JEFE DE ATENCION Y EXPERIENCIA AL CLIENTE</v>
      </c>
      <c r="J33" s="155"/>
      <c r="K33" s="158"/>
      <c r="L33" s="158"/>
      <c r="M33" s="159"/>
      <c r="N33" s="158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</row>
    <row r="34">
      <c r="A34" s="155">
        <f>IFERROR(__xludf.DUMMYFUNCTION("""COMPUTED_VALUE"""),37.0)</f>
        <v>37</v>
      </c>
      <c r="B34" s="156"/>
      <c r="C34" s="157" t="str">
        <f>IFERROR(__xludf.DUMMYFUNCTION("""COMPUTED_VALUE"""),"2233686")</f>
        <v>2233686</v>
      </c>
      <c r="D34" s="158" t="str">
        <f>IFERROR(__xludf.DUMMYFUNCTION("""COMPUTED_VALUE"""),"GUERRA RAMIREZ, CARMEN ANDRELI")</f>
        <v>GUERRA RAMIREZ, CARMEN ANDRELI</v>
      </c>
      <c r="E34" s="158"/>
      <c r="F34" s="158" t="str">
        <f>IFERROR(__xludf.DUMMYFUNCTION("""COMPUTED_VALUE"""),"MOQUEGUA")</f>
        <v>MOQUEGUA</v>
      </c>
      <c r="G34" s="153"/>
      <c r="H34" s="158" t="str">
        <f>IFERROR(__xludf.DUMMYFUNCTION("""COMPUTED_VALUE"""),"VENTAS")</f>
        <v>VENTAS</v>
      </c>
      <c r="I34" s="158" t="str">
        <f>IFERROR(__xludf.DUMMYFUNCTION("""COMPUTED_VALUE"""),"PROMOTOR DE VENTAS")</f>
        <v>PROMOTOR DE VENTAS</v>
      </c>
      <c r="J34" s="155"/>
      <c r="K34" s="158"/>
      <c r="L34" s="158"/>
      <c r="M34" s="159"/>
      <c r="N34" s="158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</row>
    <row r="35">
      <c r="A35" s="155">
        <f>IFERROR(__xludf.DUMMYFUNCTION("""COMPUTED_VALUE"""),38.0)</f>
        <v>38</v>
      </c>
      <c r="B35" s="156"/>
      <c r="C35" s="157" t="str">
        <f>IFERROR(__xludf.DUMMYFUNCTION("""COMPUTED_VALUE"""),"73649932")</f>
        <v>73649932</v>
      </c>
      <c r="D35" s="158" t="str">
        <f>IFERROR(__xludf.DUMMYFUNCTION("""COMPUTED_VALUE"""),"VELASQUEZ CHAMBILLA, SILVERIO")</f>
        <v>VELASQUEZ CHAMBILLA, SILVERIO</v>
      </c>
      <c r="E35" s="158" t="str">
        <f>IFERROR(__xludf.DUMMYFUNCTION("""COMPUTED_VALUE"""),"MAF")</f>
        <v>MAF</v>
      </c>
      <c r="F35" s="158" t="str">
        <f>IFERROR(__xludf.DUMMYFUNCTION("""COMPUTED_VALUE"""),"MOQUEGUA")</f>
        <v>MOQUEGUA</v>
      </c>
      <c r="G35" s="158" t="str">
        <f>IFERROR(__xludf.DUMMYFUNCTION("""COMPUTED_VALUE"""),"OFICINA")</f>
        <v>OFICINA</v>
      </c>
      <c r="H35" s="158" t="str">
        <f>IFERROR(__xludf.DUMMYFUNCTION("""COMPUTED_VALUE"""),"OPERACIONES")</f>
        <v>OPERACIONES</v>
      </c>
      <c r="I35" s="158" t="str">
        <f>IFERROR(__xludf.DUMMYFUNCTION("""COMPUTED_VALUE"""),"SUPERVISOR DE TECNICOS")</f>
        <v>SUPERVISOR DE TECNICOS</v>
      </c>
      <c r="J35" s="155"/>
      <c r="K35" s="153"/>
      <c r="L35" s="153"/>
      <c r="M35" s="153"/>
      <c r="N35" s="158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</row>
    <row r="36">
      <c r="A36" s="155">
        <f>IFERROR(__xludf.DUMMYFUNCTION("""COMPUTED_VALUE"""),41.0)</f>
        <v>41</v>
      </c>
      <c r="B36" s="156"/>
      <c r="C36" s="157" t="str">
        <f>IFERROR(__xludf.DUMMYFUNCTION("""COMPUTED_VALUE"""),"29330786")</f>
        <v>29330786</v>
      </c>
      <c r="D36" s="158" t="str">
        <f>IFERROR(__xludf.DUMMYFUNCTION("""COMPUTED_VALUE"""),"CACERES CHOQUEHUANCA, PEDRO ARTURO")</f>
        <v>CACERES CHOQUEHUANCA, PEDRO ARTURO</v>
      </c>
      <c r="E36" s="158" t="str">
        <f>IFERROR(__xludf.DUMMYFUNCTION("""COMPUTED_VALUE"""),"MAF")</f>
        <v>MAF</v>
      </c>
      <c r="F36" s="158" t="str">
        <f>IFERROR(__xludf.DUMMYFUNCTION("""COMPUTED_VALUE"""),"AREQUIPA")</f>
        <v>AREQUIPA</v>
      </c>
      <c r="G36" s="153"/>
      <c r="H36" s="158" t="str">
        <f>IFERROR(__xludf.DUMMYFUNCTION("""COMPUTED_VALUE"""),"OPERACIONES")</f>
        <v>OPERACIONES</v>
      </c>
      <c r="I36" s="158" t="str">
        <f>IFERROR(__xludf.DUMMYFUNCTION("""COMPUTED_VALUE"""),"TECNICO PEXT Y SERVICIOS")</f>
        <v>TECNICO PEXT Y SERVICIOS</v>
      </c>
      <c r="J36" s="155"/>
      <c r="K36" s="158"/>
      <c r="L36" s="158"/>
      <c r="M36" s="159"/>
      <c r="N36" s="158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</row>
    <row r="37">
      <c r="A37" s="155">
        <f>IFERROR(__xludf.DUMMYFUNCTION("""COMPUTED_VALUE"""),42.0)</f>
        <v>42</v>
      </c>
      <c r="B37" s="156"/>
      <c r="C37" s="157" t="str">
        <f>IFERROR(__xludf.DUMMYFUNCTION("""COMPUTED_VALUE"""),"40918058")</f>
        <v>40918058</v>
      </c>
      <c r="D37" s="158" t="str">
        <f>IFERROR(__xludf.DUMMYFUNCTION("""COMPUTED_VALUE"""),"CARPIO ZUÑIGA, LUIS MIGUEL RONALD")</f>
        <v>CARPIO ZUÑIGA, LUIS MIGUEL RONALD</v>
      </c>
      <c r="E37" s="158" t="str">
        <f>IFERROR(__xludf.DUMMYFUNCTION("""COMPUTED_VALUE"""),"MAF")</f>
        <v>MAF</v>
      </c>
      <c r="F37" s="158" t="str">
        <f>IFERROR(__xludf.DUMMYFUNCTION("""COMPUTED_VALUE"""),"AREQUIPA")</f>
        <v>AREQUIPA</v>
      </c>
      <c r="G37" s="153"/>
      <c r="H37" s="158" t="str">
        <f>IFERROR(__xludf.DUMMYFUNCTION("""COMPUTED_VALUE"""),"OPERACIONES")</f>
        <v>OPERACIONES</v>
      </c>
      <c r="I37" s="158" t="str">
        <f>IFERROR(__xludf.DUMMYFUNCTION("""COMPUTED_VALUE"""),"JEFE DE OPERACIONES")</f>
        <v>JEFE DE OPERACIONES</v>
      </c>
      <c r="J37" s="155"/>
      <c r="K37" s="158"/>
      <c r="L37" s="158"/>
      <c r="M37" s="159"/>
      <c r="N37" s="158"/>
      <c r="O37" s="153"/>
      <c r="P37" s="158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</row>
    <row r="38">
      <c r="A38" s="155">
        <f>IFERROR(__xludf.DUMMYFUNCTION("""COMPUTED_VALUE"""),43.0)</f>
        <v>43</v>
      </c>
      <c r="B38" s="156"/>
      <c r="C38" s="157" t="str">
        <f>IFERROR(__xludf.DUMMYFUNCTION("""COMPUTED_VALUE"""),"70123156")</f>
        <v>70123156</v>
      </c>
      <c r="D38" s="158" t="str">
        <f>IFERROR(__xludf.DUMMYFUNCTION("""COMPUTED_VALUE"""),"GOMEZ MACHUCA, DARIO ISAIAS")</f>
        <v>GOMEZ MACHUCA, DARIO ISAIAS</v>
      </c>
      <c r="E38" s="153" t="str">
        <f>IFERROR(__xludf.DUMMYFUNCTION("""COMPUTED_VALUE"""),"MAF")</f>
        <v>MAF</v>
      </c>
      <c r="F38" s="158" t="str">
        <f>IFERROR(__xludf.DUMMYFUNCTION("""COMPUTED_VALUE"""),"AREQUIPA")</f>
        <v>AREQUIPA</v>
      </c>
      <c r="G38" s="153"/>
      <c r="H38" s="158" t="str">
        <f>IFERROR(__xludf.DUMMYFUNCTION("""COMPUTED_VALUE"""),"VENTAS")</f>
        <v>VENTAS</v>
      </c>
      <c r="I38" s="158" t="str">
        <f>IFERROR(__xludf.DUMMYFUNCTION("""COMPUTED_VALUE"""),"JEFE DE VENTAS REGIONAL")</f>
        <v>JEFE DE VENTAS REGIONAL</v>
      </c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</row>
    <row r="39">
      <c r="A39" s="155">
        <f>IFERROR(__xludf.DUMMYFUNCTION("""COMPUTED_VALUE"""),44.0)</f>
        <v>44</v>
      </c>
      <c r="B39" s="156"/>
      <c r="C39" s="157" t="str">
        <f>IFERROR(__xludf.DUMMYFUNCTION("""COMPUTED_VALUE"""),"47166295")</f>
        <v>47166295</v>
      </c>
      <c r="D39" s="158" t="str">
        <f>IFERROR(__xludf.DUMMYFUNCTION("""COMPUTED_VALUE"""),"CONDORI VARGAS, ANA MARIA")</f>
        <v>CONDORI VARGAS, ANA MARIA</v>
      </c>
      <c r="E39" s="158" t="str">
        <f>IFERROR(__xludf.DUMMYFUNCTION("""COMPUTED_VALUE"""),"EFI")</f>
        <v>EFI</v>
      </c>
      <c r="F39" s="158" t="str">
        <f>IFERROR(__xludf.DUMMYFUNCTION("""COMPUTED_VALUE"""),"ILO")</f>
        <v>ILO</v>
      </c>
      <c r="G39" s="158" t="str">
        <f>IFERROR(__xludf.DUMMYFUNCTION("""COMPUTED_VALUE"""),"OFICINA")</f>
        <v>OFICINA</v>
      </c>
      <c r="H39" s="158" t="str">
        <f>IFERROR(__xludf.DUMMYFUNCTION("""COMPUTED_VALUE"""),"NOC")</f>
        <v>NOC</v>
      </c>
      <c r="I39" s="150" t="str">
        <f>IFERROR(__xludf.DUMMYFUNCTION("""COMPUTED_VALUE"""),"ASISTENTE NOC")</f>
        <v>ASISTENTE NOC</v>
      </c>
      <c r="J39" s="155"/>
      <c r="K39" s="158"/>
      <c r="L39" s="158"/>
      <c r="M39" s="159"/>
      <c r="N39" s="158"/>
      <c r="O39" s="153"/>
      <c r="P39" s="158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</row>
    <row r="40">
      <c r="A40" s="155">
        <f>IFERROR(__xludf.DUMMYFUNCTION("""COMPUTED_VALUE"""),156.0)</f>
        <v>156</v>
      </c>
      <c r="B40" s="156">
        <f>IFERROR(__xludf.DUMMYFUNCTION("""COMPUTED_VALUE"""),45566.0)</f>
        <v>45566</v>
      </c>
      <c r="C40" s="157" t="str">
        <f>IFERROR(__xludf.DUMMYFUNCTION("""COMPUTED_VALUE"""),"70931849")</f>
        <v>70931849</v>
      </c>
      <c r="D40" s="158" t="str">
        <f>IFERROR(__xludf.DUMMYFUNCTION("""COMPUTED_VALUE"""),"OSORIA HUIMAN, ISABEL ROSA")</f>
        <v>OSORIA HUIMAN, ISABEL ROSA</v>
      </c>
      <c r="E40" s="158" t="str">
        <f>IFERROR(__xludf.DUMMYFUNCTION("""COMPUTED_VALUE"""),"PAL")</f>
        <v>PAL</v>
      </c>
      <c r="F40" s="158" t="str">
        <f>IFERROR(__xludf.DUMMYFUNCTION("""COMPUTED_VALUE"""),"ILO")</f>
        <v>ILO</v>
      </c>
      <c r="G40" s="153" t="str">
        <f>IFERROR(__xludf.DUMMYFUNCTION("""COMPUTED_VALUE"""),"OFICINA")</f>
        <v>OFICINA</v>
      </c>
      <c r="H40" s="158" t="str">
        <f>IFERROR(__xludf.DUMMYFUNCTION("""COMPUTED_VALUE"""),"CONTAC CENTER")</f>
        <v>CONTAC CENTER</v>
      </c>
      <c r="I40" s="158" t="str">
        <f>IFERROR(__xludf.DUMMYFUNCTION("""COMPUTED_VALUE"""),"ASESOR DE CONTACT CENTER")</f>
        <v>ASESOR DE CONTACT CENTER</v>
      </c>
      <c r="J40" s="155"/>
      <c r="K40" s="158"/>
      <c r="L40" s="158"/>
      <c r="M40" s="159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</row>
    <row r="41">
      <c r="A41" s="155">
        <f>IFERROR(__xludf.DUMMYFUNCTION("""COMPUTED_VALUE"""),47.0)</f>
        <v>47</v>
      </c>
      <c r="B41" s="156"/>
      <c r="C41" s="157" t="str">
        <f>IFERROR(__xludf.DUMMYFUNCTION("""COMPUTED_VALUE"""),"70305671")</f>
        <v>70305671</v>
      </c>
      <c r="D41" s="158" t="str">
        <f>IFERROR(__xludf.DUMMYFUNCTION("""COMPUTED_VALUE"""),"RAMOS ARCAYA, IANCA MARIA")</f>
        <v>RAMOS ARCAYA, IANCA MARIA</v>
      </c>
      <c r="E41" s="158"/>
      <c r="F41" s="158" t="str">
        <f>IFERROR(__xludf.DUMMYFUNCTION("""COMPUTED_VALUE"""),"ILO")</f>
        <v>ILO</v>
      </c>
      <c r="G41" s="153"/>
      <c r="H41" s="158" t="str">
        <f>IFERROR(__xludf.DUMMYFUNCTION("""COMPUTED_VALUE"""),"CONTABILIDAD")</f>
        <v>CONTABILIDAD</v>
      </c>
      <c r="I41" s="158" t="str">
        <f>IFERROR(__xludf.DUMMYFUNCTION("""COMPUTED_VALUE"""),"ASISTENTE CONTABLE")</f>
        <v>ASISTENTE CONTABLE</v>
      </c>
      <c r="J41" s="155"/>
      <c r="K41" s="158"/>
      <c r="L41" s="158"/>
      <c r="M41" s="159"/>
      <c r="N41" s="158"/>
      <c r="O41" s="153"/>
      <c r="P41" s="158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</row>
    <row r="42">
      <c r="A42" s="155">
        <f>IFERROR(__xludf.DUMMYFUNCTION("""COMPUTED_VALUE"""),48.0)</f>
        <v>48</v>
      </c>
      <c r="B42" s="156"/>
      <c r="C42" s="157" t="str">
        <f>IFERROR(__xludf.DUMMYFUNCTION("""COMPUTED_VALUE"""),"71704064")</f>
        <v>71704064</v>
      </c>
      <c r="D42" s="158" t="str">
        <f>IFERROR(__xludf.DUMMYFUNCTION("""COMPUTED_VALUE"""),"LOPEZ SAMO, MARICELA ALEXANDRA")</f>
        <v>LOPEZ SAMO, MARICELA ALEXANDRA</v>
      </c>
      <c r="E42" s="158" t="str">
        <f>IFERROR(__xludf.DUMMYFUNCTION("""COMPUTED_VALUE"""),"EFI")</f>
        <v>EFI</v>
      </c>
      <c r="F42" s="158" t="str">
        <f>IFERROR(__xludf.DUMMYFUNCTION("""COMPUTED_VALUE"""),"ILO")</f>
        <v>ILO</v>
      </c>
      <c r="G42" s="153" t="str">
        <f>IFERROR(__xludf.DUMMYFUNCTION("""COMPUTED_VALUE"""),"OFICINA")</f>
        <v>OFICINA</v>
      </c>
      <c r="H42" s="158" t="str">
        <f>IFERROR(__xludf.DUMMYFUNCTION("""COMPUTED_VALUE"""),"ADM TECNICA")</f>
        <v>ADM TECNICA</v>
      </c>
      <c r="I42" s="158" t="str">
        <f>IFERROR(__xludf.DUMMYFUNCTION("""COMPUTED_VALUE"""),"COORDINADORA DE ADM. TECNICA")</f>
        <v>COORDINADORA DE ADM. TECNICA</v>
      </c>
      <c r="J42" s="155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</row>
    <row r="43">
      <c r="A43" s="155">
        <f>IFERROR(__xludf.DUMMYFUNCTION("""COMPUTED_VALUE"""),51.0)</f>
        <v>51</v>
      </c>
      <c r="B43" s="156"/>
      <c r="C43" s="157" t="str">
        <f>IFERROR(__xludf.DUMMYFUNCTION("""COMPUTED_VALUE"""),"45124577")</f>
        <v>45124577</v>
      </c>
      <c r="D43" s="158" t="str">
        <f>IFERROR(__xludf.DUMMYFUNCTION("""COMPUTED_VALUE"""),"CRUZ CARLOS, RICHARD ARMANDO")</f>
        <v>CRUZ CARLOS, RICHARD ARMANDO</v>
      </c>
      <c r="E43" s="158" t="str">
        <f>IFERROR(__xludf.DUMMYFUNCTION("""COMPUTED_VALUE"""),"CAB")</f>
        <v>CAB</v>
      </c>
      <c r="F43" s="158" t="str">
        <f>IFERROR(__xludf.DUMMYFUNCTION("""COMPUTED_VALUE"""),"CAMANA")</f>
        <v>CAMANA</v>
      </c>
      <c r="G43" s="153" t="str">
        <f>IFERROR(__xludf.DUMMYFUNCTION("""COMPUTED_VALUE"""),"CAMPO")</f>
        <v>CAMPO</v>
      </c>
      <c r="H43" s="158" t="str">
        <f>IFERROR(__xludf.DUMMYFUNCTION("""COMPUTED_VALUE"""),"OPERACIONES")</f>
        <v>OPERACIONES</v>
      </c>
      <c r="I43" s="158" t="str">
        <f>IFERROR(__xludf.DUMMYFUNCTION("""COMPUTED_VALUE"""),"TECNICOS DE SERVICIOS")</f>
        <v>TECNICOS DE SERVICIOS</v>
      </c>
      <c r="J43" s="155"/>
      <c r="K43" s="158"/>
      <c r="L43" s="158"/>
      <c r="M43" s="159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</row>
    <row r="44">
      <c r="A44" s="155">
        <f>IFERROR(__xludf.DUMMYFUNCTION("""COMPUTED_VALUE"""),52.0)</f>
        <v>52</v>
      </c>
      <c r="B44" s="156"/>
      <c r="C44" s="157" t="str">
        <f>IFERROR(__xludf.DUMMYFUNCTION("""COMPUTED_VALUE"""),"76180732")</f>
        <v>76180732</v>
      </c>
      <c r="D44" s="158" t="str">
        <f>IFERROR(__xludf.DUMMYFUNCTION("""COMPUTED_VALUE"""),"URRUTIA NAVARRO, SERGIO ROMAN")</f>
        <v>URRUTIA NAVARRO, SERGIO ROMAN</v>
      </c>
      <c r="E44" s="158"/>
      <c r="F44" s="158" t="str">
        <f>IFERROR(__xludf.DUMMYFUNCTION("""COMPUTED_VALUE"""),"MOLLENDO")</f>
        <v>MOLLENDO</v>
      </c>
      <c r="G44" s="153" t="str">
        <f>IFERROR(__xludf.DUMMYFUNCTION("""COMPUTED_VALUE"""),"CAMPO")</f>
        <v>CAMPO</v>
      </c>
      <c r="H44" s="158" t="str">
        <f>IFERROR(__xludf.DUMMYFUNCTION("""COMPUTED_VALUE"""),"OPERACIONES")</f>
        <v>OPERACIONES</v>
      </c>
      <c r="I44" s="158" t="str">
        <f>IFERROR(__xludf.DUMMYFUNCTION("""COMPUTED_VALUE"""),"TECNICO DE MANTENIMIENTO REDES")</f>
        <v>TECNICO DE MANTENIMIENTO REDES</v>
      </c>
      <c r="J44" s="155"/>
      <c r="K44" s="158"/>
      <c r="L44" s="158"/>
      <c r="M44" s="159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</row>
    <row r="45">
      <c r="A45" s="155">
        <f>IFERROR(__xludf.DUMMYFUNCTION("""COMPUTED_VALUE"""),53.0)</f>
        <v>53</v>
      </c>
      <c r="B45" s="156"/>
      <c r="C45" s="157" t="str">
        <f>IFERROR(__xludf.DUMMYFUNCTION("""COMPUTED_VALUE"""),"43797413")</f>
        <v>43797413</v>
      </c>
      <c r="D45" s="158" t="str">
        <f>IFERROR(__xludf.DUMMYFUNCTION("""COMPUTED_VALUE"""),"GUTIERREZ PAURO, SMITH JORGE")</f>
        <v>GUTIERREZ PAURO, SMITH JORGE</v>
      </c>
      <c r="E45" s="158" t="str">
        <f>IFERROR(__xludf.DUMMYFUNCTION("""COMPUTED_VALUE"""),"EFI")</f>
        <v>EFI</v>
      </c>
      <c r="F45" s="158" t="str">
        <f>IFERROR(__xludf.DUMMYFUNCTION("""COMPUTED_VALUE"""),"MOQUEGUA")</f>
        <v>MOQUEGUA</v>
      </c>
      <c r="G45" s="158" t="str">
        <f>IFERROR(__xludf.DUMMYFUNCTION("""COMPUTED_VALUE"""),"CAMPO")</f>
        <v>CAMPO</v>
      </c>
      <c r="H45" s="158" t="str">
        <f>IFERROR(__xludf.DUMMYFUNCTION("""COMPUTED_VALUE"""),"OPERACIONES")</f>
        <v>OPERACIONES</v>
      </c>
      <c r="I45" s="158" t="str">
        <f>IFERROR(__xludf.DUMMYFUNCTION("""COMPUTED_VALUE"""),"TECNICOS DE SERVICIOS")</f>
        <v>TECNICOS DE SERVICIOS</v>
      </c>
      <c r="J45" s="155"/>
      <c r="K45" s="158"/>
      <c r="L45" s="158"/>
      <c r="M45" s="159"/>
      <c r="N45" s="158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</row>
    <row r="46">
      <c r="A46" s="155">
        <f>IFERROR(__xludf.DUMMYFUNCTION("""COMPUTED_VALUE"""),54.0)</f>
        <v>54</v>
      </c>
      <c r="B46" s="156"/>
      <c r="C46" s="157" t="str">
        <f>IFERROR(__xludf.DUMMYFUNCTION("""COMPUTED_VALUE"""),"72856812")</f>
        <v>72856812</v>
      </c>
      <c r="D46" s="158" t="str">
        <f>IFERROR(__xludf.DUMMYFUNCTION("""COMPUTED_VALUE"""),"TEJADA CHOQUEHUANCA, SCOTT FAVIO")</f>
        <v>TEJADA CHOQUEHUANCA, SCOTT FAVIO</v>
      </c>
      <c r="E46" s="158" t="str">
        <f>IFERROR(__xludf.DUMMYFUNCTION("""COMPUTED_VALUE"""),"EFI")</f>
        <v>EFI</v>
      </c>
      <c r="F46" s="158" t="str">
        <f>IFERROR(__xludf.DUMMYFUNCTION("""COMPUTED_VALUE"""),"MOQUEGUA")</f>
        <v>MOQUEGUA</v>
      </c>
      <c r="G46" s="153" t="str">
        <f>IFERROR(__xludf.DUMMYFUNCTION("""COMPUTED_VALUE"""),"CAMPO")</f>
        <v>CAMPO</v>
      </c>
      <c r="H46" s="158" t="str">
        <f>IFERROR(__xludf.DUMMYFUNCTION("""COMPUTED_VALUE"""),"OPERACIONES")</f>
        <v>OPERACIONES</v>
      </c>
      <c r="I46" s="158" t="str">
        <f>IFERROR(__xludf.DUMMYFUNCTION("""COMPUTED_VALUE"""),"TECNICOS DE SERVICIOS")</f>
        <v>TECNICOS DE SERVICIOS</v>
      </c>
      <c r="J46" s="155"/>
      <c r="K46" s="153"/>
      <c r="L46" s="153"/>
      <c r="M46" s="153"/>
      <c r="N46" s="158"/>
      <c r="O46" s="153"/>
      <c r="P46" s="158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</row>
    <row r="47">
      <c r="A47" s="155">
        <f>IFERROR(__xludf.DUMMYFUNCTION("""COMPUTED_VALUE"""),55.0)</f>
        <v>55</v>
      </c>
      <c r="B47" s="156"/>
      <c r="C47" s="157" t="str">
        <f>IFERROR(__xludf.DUMMYFUNCTION("""COMPUTED_VALUE"""),"44008270")</f>
        <v>44008270</v>
      </c>
      <c r="D47" s="158" t="str">
        <f>IFERROR(__xludf.DUMMYFUNCTION("""COMPUTED_VALUE"""),"MENDEZ CORONADO, JOSUE ISMAEL")</f>
        <v>MENDEZ CORONADO, JOSUE ISMAEL</v>
      </c>
      <c r="E47" s="158" t="str">
        <f>IFERROR(__xludf.DUMMYFUNCTION("""COMPUTED_VALUE"""),"EFI")</f>
        <v>EFI</v>
      </c>
      <c r="F47" s="158" t="str">
        <f>IFERROR(__xludf.DUMMYFUNCTION("""COMPUTED_VALUE"""),"TACNA")</f>
        <v>TACNA</v>
      </c>
      <c r="G47" s="158" t="str">
        <f>IFERROR(__xludf.DUMMYFUNCTION("""COMPUTED_VALUE"""),"CAMPO")</f>
        <v>CAMPO</v>
      </c>
      <c r="H47" s="158" t="str">
        <f>IFERROR(__xludf.DUMMYFUNCTION("""COMPUTED_VALUE"""),"OPERACIONES")</f>
        <v>OPERACIONES</v>
      </c>
      <c r="I47" s="158" t="str">
        <f>IFERROR(__xludf.DUMMYFUNCTION("""COMPUTED_VALUE"""),"TECNICOS DE SERVICIOS")</f>
        <v>TECNICOS DE SERVICIOS</v>
      </c>
      <c r="J47" s="155"/>
      <c r="K47" s="158"/>
      <c r="L47" s="158"/>
      <c r="M47" s="159"/>
      <c r="N47" s="158"/>
      <c r="O47" s="153"/>
      <c r="P47" s="158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</row>
    <row r="48">
      <c r="A48" s="155">
        <f>IFERROR(__xludf.DUMMYFUNCTION("""COMPUTED_VALUE"""),56.0)</f>
        <v>56</v>
      </c>
      <c r="B48" s="156"/>
      <c r="C48" s="157" t="str">
        <f>IFERROR(__xludf.DUMMYFUNCTION("""COMPUTED_VALUE"""),"45080377")</f>
        <v>45080377</v>
      </c>
      <c r="D48" s="158" t="str">
        <f>IFERROR(__xludf.DUMMYFUNCTION("""COMPUTED_VALUE"""),"TICONA TICONA, JORGE JOEL CHRISTIAN")</f>
        <v>TICONA TICONA, JORGE JOEL CHRISTIAN</v>
      </c>
      <c r="E48" s="153" t="str">
        <f>IFERROR(__xludf.DUMMYFUNCTION("""COMPUTED_VALUE"""),"EFI")</f>
        <v>EFI</v>
      </c>
      <c r="F48" s="158" t="str">
        <f>IFERROR(__xludf.DUMMYFUNCTION("""COMPUTED_VALUE"""),"TACNA")</f>
        <v>TACNA</v>
      </c>
      <c r="G48" s="153" t="str">
        <f>IFERROR(__xludf.DUMMYFUNCTION("""COMPUTED_VALUE"""),"CAMPO")</f>
        <v>CAMPO</v>
      </c>
      <c r="H48" s="158" t="str">
        <f>IFERROR(__xludf.DUMMYFUNCTION("""COMPUTED_VALUE"""),"OPERACIONES")</f>
        <v>OPERACIONES</v>
      </c>
      <c r="I48" s="158" t="str">
        <f>IFERROR(__xludf.DUMMYFUNCTION("""COMPUTED_VALUE"""),"TECNICO PEXT Y SERVICIOS")</f>
        <v>TECNICO PEXT Y SERVICIOS</v>
      </c>
      <c r="J48" s="155"/>
      <c r="K48" s="158"/>
      <c r="L48" s="158"/>
      <c r="M48" s="159"/>
      <c r="N48" s="158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</row>
    <row r="49">
      <c r="A49" s="155">
        <f>IFERROR(__xludf.DUMMYFUNCTION("""COMPUTED_VALUE"""),57.0)</f>
        <v>57</v>
      </c>
      <c r="B49" s="156"/>
      <c r="C49" s="157" t="str">
        <f>IFERROR(__xludf.DUMMYFUNCTION("""COMPUTED_VALUE"""),"47680335")</f>
        <v>47680335</v>
      </c>
      <c r="D49" s="158" t="str">
        <f>IFERROR(__xludf.DUMMYFUNCTION("""COMPUTED_VALUE"""),"RAMIREZ LARRIEGA, LUIS ABRAHAM PAOLO")</f>
        <v>RAMIREZ LARRIEGA, LUIS ABRAHAM PAOLO</v>
      </c>
      <c r="E49" s="158" t="str">
        <f>IFERROR(__xludf.DUMMYFUNCTION("""COMPUTED_VALUE"""),"EFI")</f>
        <v>EFI</v>
      </c>
      <c r="F49" s="158" t="str">
        <f>IFERROR(__xludf.DUMMYFUNCTION("""COMPUTED_VALUE"""),"TACNA")</f>
        <v>TACNA</v>
      </c>
      <c r="G49" s="158" t="str">
        <f>IFERROR(__xludf.DUMMYFUNCTION("""COMPUTED_VALUE"""),"CAMPO")</f>
        <v>CAMPO</v>
      </c>
      <c r="H49" s="158" t="str">
        <f>IFERROR(__xludf.DUMMYFUNCTION("""COMPUTED_VALUE"""),"OPERACIONES")</f>
        <v>OPERACIONES</v>
      </c>
      <c r="I49" s="158" t="str">
        <f>IFERROR(__xludf.DUMMYFUNCTION("""COMPUTED_VALUE"""),"TECNICO DE MANTENIMIENTO REDES")</f>
        <v>TECNICO DE MANTENIMIENTO REDES</v>
      </c>
      <c r="J49" s="155"/>
      <c r="K49" s="158"/>
      <c r="L49" s="158"/>
      <c r="M49" s="159"/>
      <c r="N49" s="158"/>
      <c r="O49" s="153"/>
      <c r="P49" s="158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</row>
    <row r="50">
      <c r="A50" s="155">
        <f>IFERROR(__xludf.DUMMYFUNCTION("""COMPUTED_VALUE"""),58.0)</f>
        <v>58</v>
      </c>
      <c r="B50" s="156"/>
      <c r="C50" s="157" t="str">
        <f>IFERROR(__xludf.DUMMYFUNCTION("""COMPUTED_VALUE"""),"48114590")</f>
        <v>48114590</v>
      </c>
      <c r="D50" s="158" t="str">
        <f>IFERROR(__xludf.DUMMYFUNCTION("""COMPUTED_VALUE"""),"CAJUSOL SANTA MARIA, ESTHER")</f>
        <v>CAJUSOL SANTA MARIA, ESTHER</v>
      </c>
      <c r="E50" s="153"/>
      <c r="F50" s="158" t="str">
        <f>IFERROR(__xludf.DUMMYFUNCTION("""COMPUTED_VALUE"""),"LIMA")</f>
        <v>LIMA</v>
      </c>
      <c r="G50" s="153"/>
      <c r="H50" s="158" t="str">
        <f>IFERROR(__xludf.DUMMYFUNCTION("""COMPUTED_VALUE"""),"ADMINISTRACION")</f>
        <v>ADMINISTRACION</v>
      </c>
      <c r="I50" s="158" t="str">
        <f>IFERROR(__xludf.DUMMYFUNCTION("""COMPUTED_VALUE"""),"ASISTENTE ADMINISTRATIVO")</f>
        <v>ASISTENTE ADMINISTRATIVO</v>
      </c>
      <c r="J50" s="155"/>
      <c r="K50" s="158"/>
      <c r="L50" s="158"/>
      <c r="M50" s="159"/>
      <c r="N50" s="158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</row>
    <row r="51">
      <c r="A51" s="155">
        <f>IFERROR(__xludf.DUMMYFUNCTION("""COMPUTED_VALUE"""),65.0)</f>
        <v>65</v>
      </c>
      <c r="B51" s="156"/>
      <c r="C51" s="157" t="str">
        <f>IFERROR(__xludf.DUMMYFUNCTION("""COMPUTED_VALUE"""),"46412217")</f>
        <v>46412217</v>
      </c>
      <c r="D51" s="158" t="str">
        <f>IFERROR(__xludf.DUMMYFUNCTION("""COMPUTED_VALUE"""),"MUÑOZ PEÑA, JAVIER AUGUSTO")</f>
        <v>MUÑOZ PEÑA, JAVIER AUGUSTO</v>
      </c>
      <c r="E51" s="158"/>
      <c r="F51" s="158" t="str">
        <f>IFERROR(__xludf.DUMMYFUNCTION("""COMPUTED_VALUE"""),"AREQUIPA")</f>
        <v>AREQUIPA</v>
      </c>
      <c r="G51" s="158"/>
      <c r="H51" s="158" t="str">
        <f>IFERROR(__xludf.DUMMYFUNCTION("""COMPUTED_VALUE"""),"VENTAS")</f>
        <v>VENTAS</v>
      </c>
      <c r="I51" s="158" t="str">
        <f>IFERROR(__xludf.DUMMYFUNCTION("""COMPUTED_VALUE"""),"ANALISTA DE CALIDAD Y PROCESOS")</f>
        <v>ANALISTA DE CALIDAD Y PROCESOS</v>
      </c>
      <c r="J51" s="155"/>
      <c r="K51" s="153"/>
      <c r="L51" s="153"/>
      <c r="M51" s="153"/>
      <c r="N51" s="153"/>
      <c r="O51" s="153"/>
      <c r="P51" s="158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</row>
    <row r="52">
      <c r="A52" s="155">
        <f>IFERROR(__xludf.DUMMYFUNCTION("""COMPUTED_VALUE"""),66.0)</f>
        <v>66</v>
      </c>
      <c r="B52" s="156"/>
      <c r="C52" s="157" t="str">
        <f>IFERROR(__xludf.DUMMYFUNCTION("""COMPUTED_VALUE"""),"70196367")</f>
        <v>70196367</v>
      </c>
      <c r="D52" s="158" t="str">
        <f>IFERROR(__xludf.DUMMYFUNCTION("""COMPUTED_VALUE"""),"ZAPATA MUÑOZ, ENA LILA")</f>
        <v>ZAPATA MUÑOZ, ENA LILA</v>
      </c>
      <c r="E52" s="153" t="str">
        <f>IFERROR(__xludf.DUMMYFUNCTION("""COMPUTED_VALUE"""),"EFI")</f>
        <v>EFI</v>
      </c>
      <c r="F52" s="158" t="str">
        <f>IFERROR(__xludf.DUMMYFUNCTION("""COMPUTED_VALUE"""),"ILO")</f>
        <v>ILO</v>
      </c>
      <c r="G52" s="158" t="str">
        <f>IFERROR(__xludf.DUMMYFUNCTION("""COMPUTED_VALUE"""),"OFICINA")</f>
        <v>OFICINA</v>
      </c>
      <c r="H52" s="158" t="str">
        <f>IFERROR(__xludf.DUMMYFUNCTION("""COMPUTED_VALUE"""),"NOC")</f>
        <v>NOC</v>
      </c>
      <c r="I52" s="158" t="str">
        <f>IFERROR(__xludf.DUMMYFUNCTION("""COMPUTED_VALUE"""),"ASISTENTE NOC")</f>
        <v>ASISTENTE NOC</v>
      </c>
      <c r="J52" s="155"/>
      <c r="K52" s="158"/>
      <c r="L52" s="158"/>
      <c r="M52" s="159"/>
      <c r="N52" s="153"/>
      <c r="O52" s="153"/>
      <c r="P52" s="158"/>
      <c r="Q52" s="158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</row>
    <row r="53">
      <c r="A53" s="155">
        <f>IFERROR(__xludf.DUMMYFUNCTION("""COMPUTED_VALUE"""),67.0)</f>
        <v>67</v>
      </c>
      <c r="B53" s="156"/>
      <c r="C53" s="157" t="str">
        <f>IFERROR(__xludf.DUMMYFUNCTION("""COMPUTED_VALUE"""),"70294810")</f>
        <v>70294810</v>
      </c>
      <c r="D53" s="158" t="str">
        <f>IFERROR(__xludf.DUMMYFUNCTION("""COMPUTED_VALUE"""),"VALDIVIA MANRIQUE, LUCIANA MILAGROS")</f>
        <v>VALDIVIA MANRIQUE, LUCIANA MILAGROS</v>
      </c>
      <c r="E53" s="158"/>
      <c r="F53" s="158" t="str">
        <f>IFERROR(__xludf.DUMMYFUNCTION("""COMPUTED_VALUE"""),"ILO")</f>
        <v>ILO</v>
      </c>
      <c r="G53" s="158"/>
      <c r="H53" s="158" t="str">
        <f>IFERROR(__xludf.DUMMYFUNCTION("""COMPUTED_VALUE"""),"VENTAS")</f>
        <v>VENTAS</v>
      </c>
      <c r="I53" s="158" t="str">
        <f>IFERROR(__xludf.DUMMYFUNCTION("""COMPUTED_VALUE"""),"PROMOTOR DE VENTAS DE CAMPO")</f>
        <v>PROMOTOR DE VENTAS DE CAMPO</v>
      </c>
      <c r="J53" s="155"/>
      <c r="K53" s="153"/>
      <c r="L53" s="153"/>
      <c r="M53" s="153"/>
      <c r="N53" s="158"/>
      <c r="O53" s="153"/>
      <c r="P53" s="158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</row>
    <row r="54">
      <c r="A54" s="155">
        <f>IFERROR(__xludf.DUMMYFUNCTION("""COMPUTED_VALUE"""),68.0)</f>
        <v>68</v>
      </c>
      <c r="B54" s="156"/>
      <c r="C54" s="157" t="str">
        <f>IFERROR(__xludf.DUMMYFUNCTION("""COMPUTED_VALUE"""),"47611681")</f>
        <v>47611681</v>
      </c>
      <c r="D54" s="158" t="str">
        <f>IFERROR(__xludf.DUMMYFUNCTION("""COMPUTED_VALUE"""),"RUIZ PELAEZ, SHARON SOLANSH")</f>
        <v>RUIZ PELAEZ, SHARON SOLANSH</v>
      </c>
      <c r="E54" s="158"/>
      <c r="F54" s="158" t="str">
        <f>IFERROR(__xludf.DUMMYFUNCTION("""COMPUTED_VALUE"""),"ILO")</f>
        <v>ILO</v>
      </c>
      <c r="G54" s="158" t="str">
        <f>IFERROR(__xludf.DUMMYFUNCTION("""COMPUTED_VALUE"""),"OFICINA")</f>
        <v>OFICINA</v>
      </c>
      <c r="H54" s="158" t="str">
        <f>IFERROR(__xludf.DUMMYFUNCTION("""COMPUTED_VALUE"""),"ADM TECNICA")</f>
        <v>ADM TECNICA</v>
      </c>
      <c r="I54" s="158" t="str">
        <f>IFERROR(__xludf.DUMMYFUNCTION("""COMPUTED_VALUE"""),"ASISTENTE DE ADMINISTRACION TECNICA")</f>
        <v>ASISTENTE DE ADMINISTRACION TECNICA</v>
      </c>
      <c r="J54" s="155"/>
      <c r="K54" s="153"/>
      <c r="L54" s="153"/>
      <c r="M54" s="153"/>
      <c r="N54" s="158"/>
      <c r="O54" s="153"/>
      <c r="P54" s="158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</row>
    <row r="55">
      <c r="A55" s="155">
        <f>IFERROR(__xludf.DUMMYFUNCTION("""COMPUTED_VALUE"""),69.0)</f>
        <v>69</v>
      </c>
      <c r="B55" s="156">
        <f>IFERROR(__xludf.DUMMYFUNCTION("""COMPUTED_VALUE"""),45597.0)</f>
        <v>45597</v>
      </c>
      <c r="C55" s="157" t="str">
        <f>IFERROR(__xludf.DUMMYFUNCTION("""COMPUTED_VALUE"""),"47635556")</f>
        <v>47635556</v>
      </c>
      <c r="D55" s="158" t="str">
        <f>IFERROR(__xludf.DUMMYFUNCTION("""COMPUTED_VALUE"""),"HUAMAN RODRIGUEZ, JUANA SHIRLEY")</f>
        <v>HUAMAN RODRIGUEZ, JUANA SHIRLEY</v>
      </c>
      <c r="E55" s="158" t="str">
        <f>IFERROR(__xludf.DUMMYFUNCTION("""COMPUTED_VALUE"""),"PAL")</f>
        <v>PAL</v>
      </c>
      <c r="F55" s="158" t="str">
        <f>IFERROR(__xludf.DUMMYFUNCTION("""COMPUTED_VALUE"""),"ILO")</f>
        <v>ILO</v>
      </c>
      <c r="G55" s="158" t="str">
        <f>IFERROR(__xludf.DUMMYFUNCTION("""COMPUTED_VALUE"""),"OFICINA")</f>
        <v>OFICINA</v>
      </c>
      <c r="H55" s="158" t="str">
        <f>IFERROR(__xludf.DUMMYFUNCTION("""COMPUTED_VALUE"""),"ATC")</f>
        <v>ATC</v>
      </c>
      <c r="I55" s="158" t="str">
        <f>IFERROR(__xludf.DUMMYFUNCTION("""COMPUTED_VALUE"""),"ASESOR DE ATENCION AL CLIENTE")</f>
        <v>ASESOR DE ATENCION AL CLIENTE</v>
      </c>
      <c r="J55" s="155"/>
      <c r="K55" s="153"/>
      <c r="L55" s="153"/>
      <c r="M55" s="153"/>
      <c r="N55" s="158"/>
      <c r="O55" s="153"/>
      <c r="P55" s="158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</row>
    <row r="56">
      <c r="A56" s="155">
        <f>IFERROR(__xludf.DUMMYFUNCTION("""COMPUTED_VALUE"""),70.0)</f>
        <v>70</v>
      </c>
      <c r="B56" s="156"/>
      <c r="C56" s="157" t="str">
        <f>IFERROR(__xludf.DUMMYFUNCTION("""COMPUTED_VALUE"""),"4653100")</f>
        <v>4653100</v>
      </c>
      <c r="D56" s="158" t="str">
        <f>IFERROR(__xludf.DUMMYFUNCTION("""COMPUTED_VALUE"""),"FARFAN CASTRO, FERNANDO ENRIQUE")</f>
        <v>FARFAN CASTRO, FERNANDO ENRIQUE</v>
      </c>
      <c r="E56" s="158"/>
      <c r="F56" s="158" t="str">
        <f>IFERROR(__xludf.DUMMYFUNCTION("""COMPUTED_VALUE"""),"ILO")</f>
        <v>ILO</v>
      </c>
      <c r="G56" s="158"/>
      <c r="H56" s="158" t="str">
        <f>IFERROR(__xludf.DUMMYFUNCTION("""COMPUTED_VALUE"""),"OPERACIONES")</f>
        <v>OPERACIONES</v>
      </c>
      <c r="I56" s="158" t="str">
        <f>IFERROR(__xludf.DUMMYFUNCTION("""COMPUTED_VALUE"""),"TECNICOS DE SERVICIOS")</f>
        <v>TECNICOS DE SERVICIOS</v>
      </c>
      <c r="J56" s="155"/>
      <c r="K56" s="153"/>
      <c r="L56" s="153"/>
      <c r="M56" s="153"/>
      <c r="N56" s="158"/>
      <c r="O56" s="153"/>
      <c r="P56" s="158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</row>
    <row r="57">
      <c r="A57" s="155">
        <f>IFERROR(__xludf.DUMMYFUNCTION("""COMPUTED_VALUE"""),71.0)</f>
        <v>71</v>
      </c>
      <c r="B57" s="156"/>
      <c r="C57" s="157" t="str">
        <f>IFERROR(__xludf.DUMMYFUNCTION("""COMPUTED_VALUE"""),"4749453")</f>
        <v>4749453</v>
      </c>
      <c r="D57" s="158" t="str">
        <f>IFERROR(__xludf.DUMMYFUNCTION("""COMPUTED_VALUE"""),"LEON HERRERA DE FERNANDEZ, GLENDA REGINA")</f>
        <v>LEON HERRERA DE FERNANDEZ, GLENDA REGINA</v>
      </c>
      <c r="E57" s="158"/>
      <c r="F57" s="158" t="str">
        <f>IFERROR(__xludf.DUMMYFUNCTION("""COMPUTED_VALUE"""),"ILO")</f>
        <v>ILO</v>
      </c>
      <c r="G57" s="158"/>
      <c r="H57" s="158" t="str">
        <f>IFERROR(__xludf.DUMMYFUNCTION("""COMPUTED_VALUE"""),"VENTAS")</f>
        <v>VENTAS</v>
      </c>
      <c r="I57" s="158" t="str">
        <f>IFERROR(__xludf.DUMMYFUNCTION("""COMPUTED_VALUE"""),"PROMOTOR DE VENTAS DE CAMPO")</f>
        <v>PROMOTOR DE VENTAS DE CAMPO</v>
      </c>
      <c r="J57" s="155"/>
      <c r="K57" s="153"/>
      <c r="L57" s="153"/>
      <c r="M57" s="153"/>
      <c r="N57" s="158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</row>
    <row r="58">
      <c r="A58" s="155">
        <f>IFERROR(__xludf.DUMMYFUNCTION("""COMPUTED_VALUE"""),72.0)</f>
        <v>72</v>
      </c>
      <c r="B58" s="156"/>
      <c r="C58" s="157" t="str">
        <f>IFERROR(__xludf.DUMMYFUNCTION("""COMPUTED_VALUE"""),"42082666")</f>
        <v>42082666</v>
      </c>
      <c r="D58" s="158" t="str">
        <f>IFERROR(__xludf.DUMMYFUNCTION("""COMPUTED_VALUE"""),"VALDIVIA MEJIA DE SERNAQUE, ERIKA DEYSI")</f>
        <v>VALDIVIA MEJIA DE SERNAQUE, ERIKA DEYSI</v>
      </c>
      <c r="E58" s="153"/>
      <c r="F58" s="158" t="str">
        <f>IFERROR(__xludf.DUMMYFUNCTION("""COMPUTED_VALUE"""),"ILO")</f>
        <v>ILO</v>
      </c>
      <c r="G58" s="153"/>
      <c r="H58" s="158" t="str">
        <f>IFERROR(__xludf.DUMMYFUNCTION("""COMPUTED_VALUE"""),"VENTAS")</f>
        <v>VENTAS</v>
      </c>
      <c r="I58" s="158" t="str">
        <f>IFERROR(__xludf.DUMMYFUNCTION("""COMPUTED_VALUE"""),"PROMOTOR DE VENTAS DE CAMPO")</f>
        <v>PROMOTOR DE VENTAS DE CAMPO</v>
      </c>
      <c r="J58" s="155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</row>
    <row r="59">
      <c r="A59" s="155">
        <f>IFERROR(__xludf.DUMMYFUNCTION("""COMPUTED_VALUE"""),73.0)</f>
        <v>73</v>
      </c>
      <c r="B59" s="156"/>
      <c r="C59" s="157" t="str">
        <f>IFERROR(__xludf.DUMMYFUNCTION("""COMPUTED_VALUE"""),"44165124")</f>
        <v>44165124</v>
      </c>
      <c r="D59" s="158" t="str">
        <f>IFERROR(__xludf.DUMMYFUNCTION("""COMPUTED_VALUE"""),"SALINAS JUAREZ, JONATHAN ANDRE")</f>
        <v>SALINAS JUAREZ, JONATHAN ANDRE</v>
      </c>
      <c r="E59" s="153"/>
      <c r="F59" s="158" t="str">
        <f>IFERROR(__xludf.DUMMYFUNCTION("""COMPUTED_VALUE"""),"ILO")</f>
        <v>ILO</v>
      </c>
      <c r="G59" s="153" t="str">
        <f>IFERROR(__xludf.DUMMYFUNCTION("""COMPUTED_VALUE"""),"OFICINA")</f>
        <v>OFICINA</v>
      </c>
      <c r="H59" s="158" t="str">
        <f>IFERROR(__xludf.DUMMYFUNCTION("""COMPUTED_VALUE"""),"ADM TECNICA")</f>
        <v>ADM TECNICA</v>
      </c>
      <c r="I59" s="158" t="str">
        <f>IFERROR(__xludf.DUMMYFUNCTION("""COMPUTED_VALUE"""),"ASISTENTE DE ADMINISTRACION TECNICA")</f>
        <v>ASISTENTE DE ADMINISTRACION TECNICA</v>
      </c>
      <c r="J59" s="155"/>
      <c r="K59" s="153"/>
      <c r="L59" s="153"/>
      <c r="M59" s="153"/>
      <c r="N59" s="158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</row>
    <row r="60">
      <c r="A60" s="155">
        <f>IFERROR(__xludf.DUMMYFUNCTION("""COMPUTED_VALUE"""),77.0)</f>
        <v>77</v>
      </c>
      <c r="B60" s="156"/>
      <c r="C60" s="157" t="str">
        <f>IFERROR(__xludf.DUMMYFUNCTION("""COMPUTED_VALUE"""),"61499676")</f>
        <v>61499676</v>
      </c>
      <c r="D60" s="158" t="str">
        <f>IFERROR(__xludf.DUMMYFUNCTION("""COMPUTED_VALUE"""),"COAILA COYA, ANA LUCERO")</f>
        <v>COAILA COYA, ANA LUCERO</v>
      </c>
      <c r="E60" s="153"/>
      <c r="F60" s="158" t="str">
        <f>IFERROR(__xludf.DUMMYFUNCTION("""COMPUTED_VALUE"""),"ILO")</f>
        <v>ILO</v>
      </c>
      <c r="G60" s="153"/>
      <c r="H60" s="158" t="str">
        <f>IFERROR(__xludf.DUMMYFUNCTION("""COMPUTED_VALUE"""),"ADMINISTRACION")</f>
        <v>ADMINISTRACION</v>
      </c>
      <c r="I60" s="158" t="str">
        <f>IFERROR(__xludf.DUMMYFUNCTION("""COMPUTED_VALUE"""),"ASISTENTE DE FINANZAS")</f>
        <v>ASISTENTE DE FINANZAS</v>
      </c>
      <c r="J60" s="155"/>
      <c r="K60" s="153"/>
      <c r="L60" s="153"/>
      <c r="M60" s="153"/>
      <c r="N60" s="158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</row>
    <row r="61">
      <c r="A61" s="155">
        <f>IFERROR(__xludf.DUMMYFUNCTION("""COMPUTED_VALUE"""),78.0)</f>
        <v>78</v>
      </c>
      <c r="B61" s="156"/>
      <c r="C61" s="157" t="str">
        <f>IFERROR(__xludf.DUMMYFUNCTION("""COMPUTED_VALUE"""),"70132760")</f>
        <v>70132760</v>
      </c>
      <c r="D61" s="158" t="str">
        <f>IFERROR(__xludf.DUMMYFUNCTION("""COMPUTED_VALUE"""),"RIVERA PRADO, KAROL NICOLE")</f>
        <v>RIVERA PRADO, KAROL NICOLE</v>
      </c>
      <c r="E61" s="153"/>
      <c r="F61" s="158" t="str">
        <f>IFERROR(__xludf.DUMMYFUNCTION("""COMPUTED_VALUE"""),"ILO")</f>
        <v>ILO</v>
      </c>
      <c r="G61" s="153" t="str">
        <f>IFERROR(__xludf.DUMMYFUNCTION("""COMPUTED_VALUE"""),"OFICINA")</f>
        <v>OFICINA</v>
      </c>
      <c r="H61" s="158" t="str">
        <f>IFERROR(__xludf.DUMMYFUNCTION("""COMPUTED_VALUE"""),"ADM TECNICA")</f>
        <v>ADM TECNICA</v>
      </c>
      <c r="I61" s="158" t="str">
        <f>IFERROR(__xludf.DUMMYFUNCTION("""COMPUTED_VALUE"""),"ASISTENTE DE ADMINISTRACION TECNICA")</f>
        <v>ASISTENTE DE ADMINISTRACION TECNICA</v>
      </c>
      <c r="J61" s="155"/>
      <c r="K61" s="153"/>
      <c r="L61" s="153"/>
      <c r="M61" s="153"/>
      <c r="N61" s="158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</row>
    <row r="62">
      <c r="A62" s="155">
        <f>IFERROR(__xludf.DUMMYFUNCTION("""COMPUTED_VALUE"""),153.0)</f>
        <v>153</v>
      </c>
      <c r="B62" s="156">
        <f>IFERROR(__xludf.DUMMYFUNCTION("""COMPUTED_VALUE"""),45566.0)</f>
        <v>45566</v>
      </c>
      <c r="C62" s="157" t="str">
        <f>IFERROR(__xludf.DUMMYFUNCTION("""COMPUTED_VALUE"""),"70132797")</f>
        <v>70132797</v>
      </c>
      <c r="D62" s="158" t="str">
        <f>IFERROR(__xludf.DUMMYFUNCTION("""COMPUTED_VALUE"""),"DONGO MARTINEZ, NYRZHA FABIOLA")</f>
        <v>DONGO MARTINEZ, NYRZHA FABIOLA</v>
      </c>
      <c r="E62" s="158" t="str">
        <f>IFERROR(__xludf.DUMMYFUNCTION("""COMPUTED_VALUE"""),"PAL")</f>
        <v>PAL</v>
      </c>
      <c r="F62" s="158" t="str">
        <f>IFERROR(__xludf.DUMMYFUNCTION("""COMPUTED_VALUE"""),"ILO")</f>
        <v>ILO</v>
      </c>
      <c r="G62" s="153" t="str">
        <f>IFERROR(__xludf.DUMMYFUNCTION("""COMPUTED_VALUE"""),"OFICINA")</f>
        <v>OFICINA</v>
      </c>
      <c r="H62" s="158" t="str">
        <f>IFERROR(__xludf.DUMMYFUNCTION("""COMPUTED_VALUE"""),"CONTAC CENTER")</f>
        <v>CONTAC CENTER</v>
      </c>
      <c r="I62" s="158" t="str">
        <f>IFERROR(__xludf.DUMMYFUNCTION("""COMPUTED_VALUE"""),"ASESOR DE CONTACT CENTER")</f>
        <v>ASESOR DE CONTACT CENTER</v>
      </c>
      <c r="J62" s="155"/>
      <c r="K62" s="158"/>
      <c r="L62" s="158"/>
      <c r="M62" s="159"/>
      <c r="N62" s="158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</row>
    <row r="63">
      <c r="A63" s="155">
        <f>IFERROR(__xludf.DUMMYFUNCTION("""COMPUTED_VALUE"""),154.0)</f>
        <v>154</v>
      </c>
      <c r="B63" s="156">
        <f>IFERROR(__xludf.DUMMYFUNCTION("""COMPUTED_VALUE"""),45566.0)</f>
        <v>45566</v>
      </c>
      <c r="C63" s="157" t="str">
        <f>IFERROR(__xludf.DUMMYFUNCTION("""COMPUTED_VALUE"""),"71957718")</f>
        <v>71957718</v>
      </c>
      <c r="D63" s="158" t="str">
        <f>IFERROR(__xludf.DUMMYFUNCTION("""COMPUTED_VALUE"""),"GALLEGOS CHALCO, ANDRES RODRIGO")</f>
        <v>GALLEGOS CHALCO, ANDRES RODRIGO</v>
      </c>
      <c r="E63" s="153" t="str">
        <f>IFERROR(__xludf.DUMMYFUNCTION("""COMPUTED_VALUE"""),"PAL")</f>
        <v>PAL</v>
      </c>
      <c r="F63" s="158" t="str">
        <f>IFERROR(__xludf.DUMMYFUNCTION("""COMPUTED_VALUE"""),"AREQUIPA")</f>
        <v>AREQUIPA</v>
      </c>
      <c r="G63" s="153" t="str">
        <f>IFERROR(__xludf.DUMMYFUNCTION("""COMPUTED_VALUE"""),"OFICINA")</f>
        <v>OFICINA</v>
      </c>
      <c r="H63" s="158" t="str">
        <f>IFERROR(__xludf.DUMMYFUNCTION("""COMPUTED_VALUE"""),"TELEVENTAS")</f>
        <v>TELEVENTAS</v>
      </c>
      <c r="I63" s="158" t="str">
        <f>IFERROR(__xludf.DUMMYFUNCTION("""COMPUTED_VALUE"""),"ASESOR DE TELEVENTAS")</f>
        <v>ASESOR DE TELEVENTAS</v>
      </c>
      <c r="J63" s="155"/>
      <c r="K63" s="158"/>
      <c r="L63" s="158"/>
      <c r="M63" s="159"/>
      <c r="N63" s="158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</row>
    <row r="64">
      <c r="A64" s="155">
        <f>IFERROR(__xludf.DUMMYFUNCTION("""COMPUTED_VALUE"""),151.0)</f>
        <v>151</v>
      </c>
      <c r="B64" s="156">
        <f>IFERROR(__xludf.DUMMYFUNCTION("""COMPUTED_VALUE"""),45566.0)</f>
        <v>45566</v>
      </c>
      <c r="C64" s="157" t="str">
        <f>IFERROR(__xludf.DUMMYFUNCTION("""COMPUTED_VALUE"""),"47593172")</f>
        <v>47593172</v>
      </c>
      <c r="D64" s="158" t="str">
        <f>IFERROR(__xludf.DUMMYFUNCTION("""COMPUTED_VALUE"""),"LESLIE ANDREINA TUERO RIVERA")</f>
        <v>LESLIE ANDREINA TUERO RIVERA</v>
      </c>
      <c r="E64" s="153" t="str">
        <f>IFERROR(__xludf.DUMMYFUNCTION("""COMPUTED_VALUE"""),"PAL")</f>
        <v>PAL</v>
      </c>
      <c r="F64" s="158" t="str">
        <f>IFERROR(__xludf.DUMMYFUNCTION("""COMPUTED_VALUE"""),"ILO")</f>
        <v>ILO</v>
      </c>
      <c r="G64" s="158" t="str">
        <f>IFERROR(__xludf.DUMMYFUNCTION("""COMPUTED_VALUE"""),"OFICINA")</f>
        <v>OFICINA</v>
      </c>
      <c r="H64" s="158" t="str">
        <f>IFERROR(__xludf.DUMMYFUNCTION("""COMPUTED_VALUE"""),"CONTAC CENTER")</f>
        <v>CONTAC CENTER</v>
      </c>
      <c r="I64" s="158" t="str">
        <f>IFERROR(__xludf.DUMMYFUNCTION("""COMPUTED_VALUE"""),"ASESOR DE CONTACT CENTER")</f>
        <v>ASESOR DE CONTACT CENTER</v>
      </c>
      <c r="J64" s="155"/>
      <c r="K64" s="158"/>
      <c r="L64" s="158"/>
      <c r="M64" s="159"/>
      <c r="N64" s="158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</row>
    <row r="65">
      <c r="A65" s="155">
        <f>IFERROR(__xludf.DUMMYFUNCTION("""COMPUTED_VALUE"""),82.0)</f>
        <v>82</v>
      </c>
      <c r="B65" s="156"/>
      <c r="C65" s="157" t="str">
        <f>IFERROR(__xludf.DUMMYFUNCTION("""COMPUTED_VALUE"""),"71719317")</f>
        <v>71719317</v>
      </c>
      <c r="D65" s="158" t="str">
        <f>IFERROR(__xludf.DUMMYFUNCTION("""COMPUTED_VALUE"""),"MELENDEZ HERRERA, ALEJANDRO GUILLERMO")</f>
        <v>MELENDEZ HERRERA, ALEJANDRO GUILLERMO</v>
      </c>
      <c r="E65" s="153"/>
      <c r="F65" s="158" t="str">
        <f>IFERROR(__xludf.DUMMYFUNCTION("""COMPUTED_VALUE"""),"ILO")</f>
        <v>ILO</v>
      </c>
      <c r="G65" s="153"/>
      <c r="H65" s="158" t="str">
        <f>IFERROR(__xludf.DUMMYFUNCTION("""COMPUTED_VALUE"""),"VENTAS")</f>
        <v>VENTAS</v>
      </c>
      <c r="I65" s="158" t="str">
        <f>IFERROR(__xludf.DUMMYFUNCTION("""COMPUTED_VALUE"""),"PROMOTOR DE VENTAS DE CAMPO")</f>
        <v>PROMOTOR DE VENTAS DE CAMPO</v>
      </c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</row>
    <row r="66">
      <c r="A66" s="155">
        <f>IFERROR(__xludf.DUMMYFUNCTION("""COMPUTED_VALUE"""),83.0)</f>
        <v>83</v>
      </c>
      <c r="B66" s="156"/>
      <c r="C66" s="157" t="str">
        <f>IFERROR(__xludf.DUMMYFUNCTION("""COMPUTED_VALUE"""),"72240905")</f>
        <v>72240905</v>
      </c>
      <c r="D66" s="158" t="str">
        <f>IFERROR(__xludf.DUMMYFUNCTION("""COMPUTED_VALUE"""),"NUÑEZ GALINDO, AMPARO LISBETH")</f>
        <v>NUÑEZ GALINDO, AMPARO LISBETH</v>
      </c>
      <c r="E66" s="153" t="str">
        <f>IFERROR(__xludf.DUMMYFUNCTION("""COMPUTED_VALUE"""),"PAL")</f>
        <v>PAL</v>
      </c>
      <c r="F66" s="158" t="str">
        <f>IFERROR(__xludf.DUMMYFUNCTION("""COMPUTED_VALUE"""),"ILO")</f>
        <v>ILO</v>
      </c>
      <c r="G66" s="158" t="str">
        <f>IFERROR(__xludf.DUMMYFUNCTION("""COMPUTED_VALUE"""),"OFICINA")</f>
        <v>OFICINA</v>
      </c>
      <c r="H66" s="158" t="str">
        <f>IFERROR(__xludf.DUMMYFUNCTION("""COMPUTED_VALUE"""),"NOC")</f>
        <v>NOC</v>
      </c>
      <c r="I66" s="158" t="str">
        <f>IFERROR(__xludf.DUMMYFUNCTION("""COMPUTED_VALUE"""),"ASISTENTE NOC")</f>
        <v>ASISTENTE NOC</v>
      </c>
      <c r="J66" s="155"/>
      <c r="K66" s="158"/>
      <c r="L66" s="158"/>
      <c r="M66" s="159"/>
      <c r="N66" s="158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</row>
    <row r="67">
      <c r="A67" s="155">
        <f>IFERROR(__xludf.DUMMYFUNCTION("""COMPUTED_VALUE"""),84.0)</f>
        <v>84</v>
      </c>
      <c r="B67" s="156"/>
      <c r="C67" s="157" t="str">
        <f>IFERROR(__xludf.DUMMYFUNCTION("""COMPUTED_VALUE"""),"72693811")</f>
        <v>72693811</v>
      </c>
      <c r="D67" s="158" t="str">
        <f>IFERROR(__xludf.DUMMYFUNCTION("""COMPUTED_VALUE"""),"SONCCO VIERA, DIEGO ARMANDO")</f>
        <v>SONCCO VIERA, DIEGO ARMANDO</v>
      </c>
      <c r="E67" s="153" t="str">
        <f>IFERROR(__xludf.DUMMYFUNCTION("""COMPUTED_VALUE"""),"EFI")</f>
        <v>EFI</v>
      </c>
      <c r="F67" s="158" t="str">
        <f>IFERROR(__xludf.DUMMYFUNCTION("""COMPUTED_VALUE"""),"ILO")</f>
        <v>ILO</v>
      </c>
      <c r="G67" s="158" t="str">
        <f>IFERROR(__xludf.DUMMYFUNCTION("""COMPUTED_VALUE"""),"OFICINA")</f>
        <v>OFICINA</v>
      </c>
      <c r="H67" s="158" t="str">
        <f>IFERROR(__xludf.DUMMYFUNCTION("""COMPUTED_VALUE"""),"NOC")</f>
        <v>NOC</v>
      </c>
      <c r="I67" s="158" t="str">
        <f>IFERROR(__xludf.DUMMYFUNCTION("""COMPUTED_VALUE"""),"OPERADOR NOC")</f>
        <v>OPERADOR NOC</v>
      </c>
      <c r="J67" s="155"/>
      <c r="K67" s="158"/>
      <c r="L67" s="158"/>
      <c r="M67" s="159"/>
      <c r="N67" s="158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</row>
    <row r="68">
      <c r="A68" s="160">
        <f>IFERROR(__xludf.DUMMYFUNCTION("""COMPUTED_VALUE"""),147.0)</f>
        <v>147</v>
      </c>
      <c r="B68" s="161">
        <f>IFERROR(__xludf.DUMMYFUNCTION("""COMPUTED_VALUE"""),45566.0)</f>
        <v>45566</v>
      </c>
      <c r="C68" s="162" t="str">
        <f>IFERROR(__xludf.DUMMYFUNCTION("""COMPUTED_VALUE"""),"72184634")</f>
        <v>72184634</v>
      </c>
      <c r="D68" s="163" t="str">
        <f>IFERROR(__xludf.DUMMYFUNCTION("""COMPUTED_VALUE"""),"LANDAURO MAMANI, GABRIELA")</f>
        <v>LANDAURO MAMANI, GABRIELA</v>
      </c>
      <c r="E68" s="153" t="str">
        <f>IFERROR(__xludf.DUMMYFUNCTION("""COMPUTED_VALUE"""),"PAL")</f>
        <v>PAL</v>
      </c>
      <c r="F68" s="158" t="str">
        <f>IFERROR(__xludf.DUMMYFUNCTION("""COMPUTED_VALUE"""),"ILO")</f>
        <v>ILO</v>
      </c>
      <c r="G68" s="153" t="str">
        <f>IFERROR(__xludf.DUMMYFUNCTION("""COMPUTED_VALUE"""),"OFICINA")</f>
        <v>OFICINA</v>
      </c>
      <c r="H68" s="163" t="str">
        <f>IFERROR(__xludf.DUMMYFUNCTION("""COMPUTED_VALUE"""),"CONTAC CENTER")</f>
        <v>CONTAC CENTER</v>
      </c>
      <c r="I68" s="163" t="str">
        <f>IFERROR(__xludf.DUMMYFUNCTION("""COMPUTED_VALUE"""),"ASESOR DE CONTACT CENTER")</f>
        <v>ASESOR DE CONTACT CENTER</v>
      </c>
      <c r="J68" s="160"/>
      <c r="K68" s="164"/>
      <c r="L68" s="164"/>
      <c r="M68" s="164"/>
      <c r="N68" s="164"/>
      <c r="O68" s="164"/>
      <c r="P68" s="163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</row>
    <row r="69">
      <c r="A69" s="155">
        <f>IFERROR(__xludf.DUMMYFUNCTION("""COMPUTED_VALUE"""),89.0)</f>
        <v>89</v>
      </c>
      <c r="B69" s="156"/>
      <c r="C69" s="157" t="str">
        <f>IFERROR(__xludf.DUMMYFUNCTION("""COMPUTED_VALUE"""),"75362422")</f>
        <v>75362422</v>
      </c>
      <c r="D69" s="158" t="str">
        <f>IFERROR(__xludf.DUMMYFUNCTION("""COMPUTED_VALUE"""),"HACHA VASQUEZ, MILTON DAVID")</f>
        <v>HACHA VASQUEZ, MILTON DAVID</v>
      </c>
      <c r="E69" s="153" t="str">
        <f>IFERROR(__xludf.DUMMYFUNCTION("""COMPUTED_VALUE"""),"PAL")</f>
        <v>PAL</v>
      </c>
      <c r="F69" s="158" t="str">
        <f>IFERROR(__xludf.DUMMYFUNCTION("""COMPUTED_VALUE"""),"ILO")</f>
        <v>ILO</v>
      </c>
      <c r="G69" s="153" t="str">
        <f>IFERROR(__xludf.DUMMYFUNCTION("""COMPUTED_VALUE"""),"OFICINA")</f>
        <v>OFICINA</v>
      </c>
      <c r="H69" s="158" t="str">
        <f>IFERROR(__xludf.DUMMYFUNCTION("""COMPUTED_VALUE"""),"TI")</f>
        <v>TI</v>
      </c>
      <c r="I69" s="158" t="str">
        <f>IFERROR(__xludf.DUMMYFUNCTION("""COMPUTED_VALUE"""),"ASISTENTE DE PROGRAMACION")</f>
        <v>ASISTENTE DE PROGRAMACION</v>
      </c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</row>
    <row r="70">
      <c r="A70" s="155">
        <f>IFERROR(__xludf.DUMMYFUNCTION("""COMPUTED_VALUE"""),90.0)</f>
        <v>90</v>
      </c>
      <c r="B70" s="156"/>
      <c r="C70" s="157" t="str">
        <f>IFERROR(__xludf.DUMMYFUNCTION("""COMPUTED_VALUE"""),"76452096")</f>
        <v>76452096</v>
      </c>
      <c r="D70" s="158" t="str">
        <f>IFERROR(__xludf.DUMMYFUNCTION("""COMPUTED_VALUE"""),"CASTILLO LLACHI, FERNANDO ELIAS")</f>
        <v>CASTILLO LLACHI, FERNANDO ELIAS</v>
      </c>
      <c r="E70" s="153" t="str">
        <f>IFERROR(__xludf.DUMMYFUNCTION("""COMPUTED_VALUE"""),"PAL")</f>
        <v>PAL</v>
      </c>
      <c r="F70" s="158" t="str">
        <f>IFERROR(__xludf.DUMMYFUNCTION("""COMPUTED_VALUE"""),"ILO")</f>
        <v>ILO</v>
      </c>
      <c r="G70" s="153" t="str">
        <f>IFERROR(__xludf.DUMMYFUNCTION("""COMPUTED_VALUE"""),"OFICINA")</f>
        <v>OFICINA</v>
      </c>
      <c r="H70" s="158" t="str">
        <f>IFERROR(__xludf.DUMMYFUNCTION("""COMPUTED_VALUE"""),"NOC")</f>
        <v>NOC</v>
      </c>
      <c r="I70" s="158" t="str">
        <f>IFERROR(__xludf.DUMMYFUNCTION("""COMPUTED_VALUE"""),"ASISTENTE NOC")</f>
        <v>ASISTENTE NOC</v>
      </c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</row>
    <row r="71">
      <c r="A71" s="155">
        <f>IFERROR(__xludf.DUMMYFUNCTION("""COMPUTED_VALUE"""),91.0)</f>
        <v>91</v>
      </c>
      <c r="B71" s="156"/>
      <c r="C71" s="157" t="str">
        <f>IFERROR(__xludf.DUMMYFUNCTION("""COMPUTED_VALUE"""),"9733896")</f>
        <v>9733896</v>
      </c>
      <c r="D71" s="158" t="str">
        <f>IFERROR(__xludf.DUMMYFUNCTION("""COMPUTED_VALUE"""),"BARRENECHEA SANCHEZ, JUAN GABRIEL")</f>
        <v>BARRENECHEA SANCHEZ, JUAN GABRIEL</v>
      </c>
      <c r="E71" s="153"/>
      <c r="F71" s="158" t="str">
        <f>IFERROR(__xludf.DUMMYFUNCTION("""COMPUTED_VALUE"""),"CAMANA")</f>
        <v>CAMANA</v>
      </c>
      <c r="G71" s="158"/>
      <c r="H71" s="158" t="str">
        <f>IFERROR(__xludf.DUMMYFUNCTION("""COMPUTED_VALUE"""),"VENTAS")</f>
        <v>VENTAS</v>
      </c>
      <c r="I71" s="158" t="str">
        <f>IFERROR(__xludf.DUMMYFUNCTION("""COMPUTED_VALUE"""),"PROMOTOR DE VENTAS DE CAMPO")</f>
        <v>PROMOTOR DE VENTAS DE CAMPO</v>
      </c>
      <c r="J71" s="155"/>
      <c r="K71" s="158"/>
      <c r="L71" s="158"/>
      <c r="M71" s="159"/>
      <c r="N71" s="158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>
      <c r="A72" s="155">
        <f>IFERROR(__xludf.DUMMYFUNCTION("""COMPUTED_VALUE"""),92.0)</f>
        <v>92</v>
      </c>
      <c r="B72" s="156"/>
      <c r="C72" s="157" t="str">
        <f>IFERROR(__xludf.DUMMYFUNCTION("""COMPUTED_VALUE"""),"44377679")</f>
        <v>44377679</v>
      </c>
      <c r="D72" s="158" t="str">
        <f>IFERROR(__xludf.DUMMYFUNCTION("""COMPUTED_VALUE"""),"PAREDES TICONA, DAYGORO ALEJANDRO")</f>
        <v>PAREDES TICONA, DAYGORO ALEJANDRO</v>
      </c>
      <c r="E72" s="153"/>
      <c r="F72" s="158" t="str">
        <f>IFERROR(__xludf.DUMMYFUNCTION("""COMPUTED_VALUE"""),"MOLLENDO")</f>
        <v>MOLLENDO</v>
      </c>
      <c r="G72" s="158"/>
      <c r="H72" s="158" t="str">
        <f>IFERROR(__xludf.DUMMYFUNCTION("""COMPUTED_VALUE"""),"VENTAS")</f>
        <v>VENTAS</v>
      </c>
      <c r="I72" s="158" t="str">
        <f>IFERROR(__xludf.DUMMYFUNCTION("""COMPUTED_VALUE"""),"PROMOTOR DE VENTAS DE CAMPO")</f>
        <v>PROMOTOR DE VENTAS DE CAMPO</v>
      </c>
      <c r="J72" s="155"/>
      <c r="K72" s="158"/>
      <c r="L72" s="158"/>
      <c r="M72" s="159"/>
      <c r="N72" s="158"/>
      <c r="O72" s="158"/>
      <c r="P72" s="158"/>
      <c r="Q72" s="158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>
      <c r="A73" s="155">
        <f>IFERROR(__xludf.DUMMYFUNCTION("""COMPUTED_VALUE"""),93.0)</f>
        <v>93</v>
      </c>
      <c r="B73" s="156"/>
      <c r="C73" s="157" t="str">
        <f>IFERROR(__xludf.DUMMYFUNCTION("""COMPUTED_VALUE"""),"77241339")</f>
        <v>77241339</v>
      </c>
      <c r="D73" s="158" t="str">
        <f>IFERROR(__xludf.DUMMYFUNCTION("""COMPUTED_VALUE"""),"FERNANDEZ VALDIVIA, BRENDA GERALDINE")</f>
        <v>FERNANDEZ VALDIVIA, BRENDA GERALDINE</v>
      </c>
      <c r="E73" s="153"/>
      <c r="F73" s="158" t="str">
        <f>IFERROR(__xludf.DUMMYFUNCTION("""COMPUTED_VALUE"""),"MOLLENDO")</f>
        <v>MOLLENDO</v>
      </c>
      <c r="G73" s="158"/>
      <c r="H73" s="158" t="str">
        <f>IFERROR(__xludf.DUMMYFUNCTION("""COMPUTED_VALUE"""),"VENTAS")</f>
        <v>VENTAS</v>
      </c>
      <c r="I73" s="158" t="str">
        <f>IFERROR(__xludf.DUMMYFUNCTION("""COMPUTED_VALUE"""),"TEAM LEADER")</f>
        <v>TEAM LEADER</v>
      </c>
      <c r="J73" s="155"/>
      <c r="K73" s="158"/>
      <c r="L73" s="158"/>
      <c r="M73" s="159"/>
      <c r="N73" s="158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</row>
    <row r="74">
      <c r="A74" s="155">
        <f>IFERROR(__xludf.DUMMYFUNCTION("""COMPUTED_VALUE"""),94.0)</f>
        <v>94</v>
      </c>
      <c r="B74" s="156"/>
      <c r="C74" s="157" t="str">
        <f>IFERROR(__xludf.DUMMYFUNCTION("""COMPUTED_VALUE"""),"42300741")</f>
        <v>42300741</v>
      </c>
      <c r="D74" s="158" t="str">
        <f>IFERROR(__xludf.DUMMYFUNCTION("""COMPUTED_VALUE"""),"VELEZ VIZCONDE, ADELA GLADYS")</f>
        <v>VELEZ VIZCONDE, ADELA GLADYS</v>
      </c>
      <c r="E74" s="153" t="str">
        <f>IFERROR(__xludf.DUMMYFUNCTION("""COMPUTED_VALUE"""),"EFI")</f>
        <v>EFI</v>
      </c>
      <c r="F74" s="158" t="str">
        <f>IFERROR(__xludf.DUMMYFUNCTION("""COMPUTED_VALUE"""),"MOQUEGUA")</f>
        <v>MOQUEGUA</v>
      </c>
      <c r="G74" s="153"/>
      <c r="H74" s="158" t="str">
        <f>IFERROR(__xludf.DUMMYFUNCTION("""COMPUTED_VALUE"""),"ATC")</f>
        <v>ATC</v>
      </c>
      <c r="I74" s="158" t="str">
        <f>IFERROR(__xludf.DUMMYFUNCTION("""COMPUTED_VALUE"""),"ASESOR DE ATENCION AL CLIENTE")</f>
        <v>ASESOR DE ATENCION AL CLIENTE</v>
      </c>
      <c r="J74" s="155"/>
      <c r="K74" s="153"/>
      <c r="L74" s="153"/>
      <c r="M74" s="153"/>
      <c r="N74" s="158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</row>
    <row r="75">
      <c r="A75" s="155">
        <f>IFERROR(__xludf.DUMMYFUNCTION("""COMPUTED_VALUE"""),95.0)</f>
        <v>95</v>
      </c>
      <c r="B75" s="156"/>
      <c r="C75" s="157" t="str">
        <f>IFERROR(__xludf.DUMMYFUNCTION("""COMPUTED_VALUE"""),"44416429")</f>
        <v>44416429</v>
      </c>
      <c r="D75" s="158" t="str">
        <f>IFERROR(__xludf.DUMMYFUNCTION("""COMPUTED_VALUE"""),"ASPAJO SALAS, JHORDANA DAFNA")</f>
        <v>ASPAJO SALAS, JHORDANA DAFNA</v>
      </c>
      <c r="E75" s="153"/>
      <c r="F75" s="158" t="str">
        <f>IFERROR(__xludf.DUMMYFUNCTION("""COMPUTED_VALUE"""),"MOQUEGUA")</f>
        <v>MOQUEGUA</v>
      </c>
      <c r="G75" s="158"/>
      <c r="H75" s="158" t="str">
        <f>IFERROR(__xludf.DUMMYFUNCTION("""COMPUTED_VALUE"""),"VENTAS")</f>
        <v>VENTAS</v>
      </c>
      <c r="I75" s="158" t="str">
        <f>IFERROR(__xludf.DUMMYFUNCTION("""COMPUTED_VALUE"""),"PROMOTOR DE VENTAS DE CAMPO")</f>
        <v>PROMOTOR DE VENTAS DE CAMPO</v>
      </c>
      <c r="J75" s="155"/>
      <c r="K75" s="158"/>
      <c r="L75" s="158"/>
      <c r="M75" s="159"/>
      <c r="N75" s="158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</row>
    <row r="76">
      <c r="A76" s="155">
        <f>IFERROR(__xludf.DUMMYFUNCTION("""COMPUTED_VALUE"""),96.0)</f>
        <v>96</v>
      </c>
      <c r="B76" s="156"/>
      <c r="C76" s="157" t="str">
        <f>IFERROR(__xludf.DUMMYFUNCTION("""COMPUTED_VALUE"""),"45148958")</f>
        <v>45148958</v>
      </c>
      <c r="D76" s="158" t="str">
        <f>IFERROR(__xludf.DUMMYFUNCTION("""COMPUTED_VALUE"""),"ESPINOZA CHUQUIMANGO, JOHN PIERRE SEGUNDO")</f>
        <v>ESPINOZA CHUQUIMANGO, JOHN PIERRE SEGUNDO</v>
      </c>
      <c r="E76" s="158"/>
      <c r="F76" s="158" t="str">
        <f>IFERROR(__xludf.DUMMYFUNCTION("""COMPUTED_VALUE"""),"MOQUEGUA")</f>
        <v>MOQUEGUA</v>
      </c>
      <c r="G76" s="158"/>
      <c r="H76" s="158" t="str">
        <f>IFERROR(__xludf.DUMMYFUNCTION("""COMPUTED_VALUE"""),"VENTAS")</f>
        <v>VENTAS</v>
      </c>
      <c r="I76" s="158" t="str">
        <f>IFERROR(__xludf.DUMMYFUNCTION("""COMPUTED_VALUE"""),"PROMOTOR DE VENTAS DE CAMPO")</f>
        <v>PROMOTOR DE VENTAS DE CAMPO</v>
      </c>
      <c r="J76" s="155"/>
      <c r="K76" s="158"/>
      <c r="L76" s="158"/>
      <c r="M76" s="159"/>
      <c r="N76" s="158"/>
      <c r="O76" s="153"/>
      <c r="P76" s="158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</row>
    <row r="77">
      <c r="A77" s="155">
        <f>IFERROR(__xludf.DUMMYFUNCTION("""COMPUTED_VALUE"""),97.0)</f>
        <v>97</v>
      </c>
      <c r="B77" s="156"/>
      <c r="C77" s="157" t="str">
        <f>IFERROR(__xludf.DUMMYFUNCTION("""COMPUTED_VALUE"""),"46560396")</f>
        <v>46560396</v>
      </c>
      <c r="D77" s="158" t="str">
        <f>IFERROR(__xludf.DUMMYFUNCTION("""COMPUTED_VALUE"""),"ATENCIO CASTILLO, RUTH VERONICA")</f>
        <v>ATENCIO CASTILLO, RUTH VERONICA</v>
      </c>
      <c r="E77" s="153"/>
      <c r="F77" s="158" t="str">
        <f>IFERROR(__xludf.DUMMYFUNCTION("""COMPUTED_VALUE"""),"MOQUEGUA")</f>
        <v>MOQUEGUA</v>
      </c>
      <c r="G77" s="158"/>
      <c r="H77" s="158" t="str">
        <f>IFERROR(__xludf.DUMMYFUNCTION("""COMPUTED_VALUE"""),"VENTAS")</f>
        <v>VENTAS</v>
      </c>
      <c r="I77" s="158" t="str">
        <f>IFERROR(__xludf.DUMMYFUNCTION("""COMPUTED_VALUE"""),"PROMOTOR DE VENTAS DE CAMPO")</f>
        <v>PROMOTOR DE VENTAS DE CAMPO</v>
      </c>
      <c r="J77" s="155"/>
      <c r="K77" s="158"/>
      <c r="L77" s="158"/>
      <c r="M77" s="159"/>
      <c r="N77" s="158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</row>
    <row r="78">
      <c r="A78" s="155">
        <f>IFERROR(__xludf.DUMMYFUNCTION("""COMPUTED_VALUE"""),98.0)</f>
        <v>98</v>
      </c>
      <c r="B78" s="156"/>
      <c r="C78" s="157" t="str">
        <f>IFERROR(__xludf.DUMMYFUNCTION("""COMPUTED_VALUE"""),"47590992")</f>
        <v>47590992</v>
      </c>
      <c r="D78" s="158" t="str">
        <f>IFERROR(__xludf.DUMMYFUNCTION("""COMPUTED_VALUE"""),"VILCA TORRES, GIANCARLOS MANUEL")</f>
        <v>VILCA TORRES, GIANCARLOS MANUEL</v>
      </c>
      <c r="E78" s="158"/>
      <c r="F78" s="158" t="str">
        <f>IFERROR(__xludf.DUMMYFUNCTION("""COMPUTED_VALUE"""),"TACNA")</f>
        <v>TACNA</v>
      </c>
      <c r="G78" s="158"/>
      <c r="H78" s="158" t="str">
        <f>IFERROR(__xludf.DUMMYFUNCTION("""COMPUTED_VALUE"""),"VENTAS")</f>
        <v>VENTAS</v>
      </c>
      <c r="I78" s="158" t="str">
        <f>IFERROR(__xludf.DUMMYFUNCTION("""COMPUTED_VALUE"""),"SUPERVISOR ZONAL DE VENTAS")</f>
        <v>SUPERVISOR ZONAL DE VENTAS</v>
      </c>
      <c r="J78" s="155"/>
      <c r="K78" s="158"/>
      <c r="L78" s="158"/>
      <c r="M78" s="159"/>
      <c r="N78" s="158"/>
      <c r="O78" s="153"/>
      <c r="P78" s="158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</row>
    <row r="79">
      <c r="A79" s="155">
        <f>IFERROR(__xludf.DUMMYFUNCTION("""COMPUTED_VALUE"""),99.0)</f>
        <v>99</v>
      </c>
      <c r="B79" s="156">
        <f>IFERROR(__xludf.DUMMYFUNCTION("""COMPUTED_VALUE"""),45597.0)</f>
        <v>45597</v>
      </c>
      <c r="C79" s="157" t="str">
        <f>IFERROR(__xludf.DUMMYFUNCTION("""COMPUTED_VALUE"""),"70775806")</f>
        <v>70775806</v>
      </c>
      <c r="D79" s="158" t="str">
        <f>IFERROR(__xludf.DUMMYFUNCTION("""COMPUTED_VALUE"""),"GAUNA TORRES, PATRICIA ALEXANDRA")</f>
        <v>GAUNA TORRES, PATRICIA ALEXANDRA</v>
      </c>
      <c r="E79" s="153" t="str">
        <f>IFERROR(__xludf.DUMMYFUNCTION("""COMPUTED_VALUE"""),"PAL")</f>
        <v>PAL</v>
      </c>
      <c r="F79" s="158" t="str">
        <f>IFERROR(__xludf.DUMMYFUNCTION("""COMPUTED_VALUE"""),"TACNA")</f>
        <v>TACNA</v>
      </c>
      <c r="G79" s="153" t="str">
        <f>IFERROR(__xludf.DUMMYFUNCTION("""COMPUTED_VALUE"""),"OFICINA")</f>
        <v>OFICINA</v>
      </c>
      <c r="H79" s="158" t="str">
        <f>IFERROR(__xludf.DUMMYFUNCTION("""COMPUTED_VALUE"""),"ATC")</f>
        <v>ATC</v>
      </c>
      <c r="I79" s="158" t="str">
        <f>IFERROR(__xludf.DUMMYFUNCTION("""COMPUTED_VALUE"""),"ASESOR DE ATENCION AL CLIENTE")</f>
        <v>ASESOR DE ATENCION AL CLIENTE</v>
      </c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</row>
    <row r="80">
      <c r="A80" s="155">
        <f>IFERROR(__xludf.DUMMYFUNCTION("""COMPUTED_VALUE"""),100.0)</f>
        <v>100</v>
      </c>
      <c r="B80" s="156"/>
      <c r="C80" s="157" t="str">
        <f>IFERROR(__xludf.DUMMYFUNCTION("""COMPUTED_VALUE"""),"71725683")</f>
        <v>71725683</v>
      </c>
      <c r="D80" s="158" t="str">
        <f>IFERROR(__xludf.DUMMYFUNCTION("""COMPUTED_VALUE"""),"BUENO CCORIMANYA, CRISTIAN ARMANDO")</f>
        <v>BUENO CCORIMANYA, CRISTIAN ARMANDO</v>
      </c>
      <c r="E80" s="153"/>
      <c r="F80" s="158" t="str">
        <f>IFERROR(__xludf.DUMMYFUNCTION("""COMPUTED_VALUE"""),"TACNA")</f>
        <v>TACNA</v>
      </c>
      <c r="G80" s="158"/>
      <c r="H80" s="158" t="str">
        <f>IFERROR(__xludf.DUMMYFUNCTION("""COMPUTED_VALUE"""),"VENTAS")</f>
        <v>VENTAS</v>
      </c>
      <c r="I80" s="158" t="str">
        <f>IFERROR(__xludf.DUMMYFUNCTION("""COMPUTED_VALUE"""),"PROMOTOR DE VENTAS DE CAMPO")</f>
        <v>PROMOTOR DE VENTAS DE CAMPO</v>
      </c>
      <c r="J80" s="155"/>
      <c r="K80" s="158"/>
      <c r="L80" s="158"/>
      <c r="M80" s="159"/>
      <c r="N80" s="158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</row>
    <row r="81">
      <c r="A81" s="155">
        <f>IFERROR(__xludf.DUMMYFUNCTION("""COMPUTED_VALUE"""),101.0)</f>
        <v>101</v>
      </c>
      <c r="B81" s="156"/>
      <c r="C81" s="157" t="str">
        <f>IFERROR(__xludf.DUMMYFUNCTION("""COMPUTED_VALUE"""),"74059445")</f>
        <v>74059445</v>
      </c>
      <c r="D81" s="158" t="str">
        <f>IFERROR(__xludf.DUMMYFUNCTION("""COMPUTED_VALUE"""),"CHAMBI MAMANI, LOURDES SHANTALLE")</f>
        <v>CHAMBI MAMANI, LOURDES SHANTALLE</v>
      </c>
      <c r="E81" s="153"/>
      <c r="F81" s="158" t="str">
        <f>IFERROR(__xludf.DUMMYFUNCTION("""COMPUTED_VALUE"""),"TACNA")</f>
        <v>TACNA</v>
      </c>
      <c r="G81" s="158"/>
      <c r="H81" s="158" t="str">
        <f>IFERROR(__xludf.DUMMYFUNCTION("""COMPUTED_VALUE"""),"VENTAS")</f>
        <v>VENTAS</v>
      </c>
      <c r="I81" s="158" t="str">
        <f>IFERROR(__xludf.DUMMYFUNCTION("""COMPUTED_VALUE"""),"PROMOTOR DE VENTAS DE CAMPO")</f>
        <v>PROMOTOR DE VENTAS DE CAMPO</v>
      </c>
      <c r="J81" s="155"/>
      <c r="K81" s="158"/>
      <c r="L81" s="158"/>
      <c r="M81" s="159"/>
      <c r="N81" s="158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</row>
    <row r="82">
      <c r="A82" s="155">
        <f>IFERROR(__xludf.DUMMYFUNCTION("""COMPUTED_VALUE"""),102.0)</f>
        <v>102</v>
      </c>
      <c r="B82" s="156"/>
      <c r="C82" s="157" t="str">
        <f>IFERROR(__xludf.DUMMYFUNCTION("""COMPUTED_VALUE"""),"77298941")</f>
        <v>77298941</v>
      </c>
      <c r="D82" s="158" t="str">
        <f>IFERROR(__xludf.DUMMYFUNCTION("""COMPUTED_VALUE"""),"VALDIVIA TAPIA, DAYANA BRIGIT")</f>
        <v>VALDIVIA TAPIA, DAYANA BRIGIT</v>
      </c>
      <c r="E82" s="158"/>
      <c r="F82" s="158" t="str">
        <f>IFERROR(__xludf.DUMMYFUNCTION("""COMPUTED_VALUE"""),"TACNA")</f>
        <v>TACNA</v>
      </c>
      <c r="G82" s="158"/>
      <c r="H82" s="158" t="str">
        <f>IFERROR(__xludf.DUMMYFUNCTION("""COMPUTED_VALUE"""),"VENTAS")</f>
        <v>VENTAS</v>
      </c>
      <c r="I82" s="158" t="str">
        <f>IFERROR(__xludf.DUMMYFUNCTION("""COMPUTED_VALUE"""),"PROMOTOR DE VENTAS DE CAMPO")</f>
        <v>PROMOTOR DE VENTAS DE CAMPO</v>
      </c>
      <c r="J82" s="155"/>
      <c r="K82" s="158"/>
      <c r="L82" s="158"/>
      <c r="M82" s="159"/>
      <c r="N82" s="158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</row>
    <row r="83">
      <c r="A83" s="155">
        <f>IFERROR(__xludf.DUMMYFUNCTION("""COMPUTED_VALUE"""),103.0)</f>
        <v>103</v>
      </c>
      <c r="B83" s="156"/>
      <c r="C83" s="157" t="str">
        <f>IFERROR(__xludf.DUMMYFUNCTION("""COMPUTED_VALUE"""),"77794406")</f>
        <v>77794406</v>
      </c>
      <c r="D83" s="158" t="str">
        <f>IFERROR(__xludf.DUMMYFUNCTION("""COMPUTED_VALUE"""),"LLACHO PACHECO, VICTOR ENRIQUE")</f>
        <v>LLACHO PACHECO, VICTOR ENRIQUE</v>
      </c>
      <c r="E83" s="153"/>
      <c r="F83" s="158" t="str">
        <f>IFERROR(__xludf.DUMMYFUNCTION("""COMPUTED_VALUE"""),"TACNA")</f>
        <v>TACNA</v>
      </c>
      <c r="G83" s="158"/>
      <c r="H83" s="158" t="str">
        <f>IFERROR(__xludf.DUMMYFUNCTION("""COMPUTED_VALUE"""),"VENTAS")</f>
        <v>VENTAS</v>
      </c>
      <c r="I83" s="158" t="str">
        <f>IFERROR(__xludf.DUMMYFUNCTION("""COMPUTED_VALUE"""),"PROMOTOR DE VENTAS DE CAMPO")</f>
        <v>PROMOTOR DE VENTAS DE CAMPO</v>
      </c>
      <c r="J83" s="155"/>
      <c r="K83" s="158"/>
      <c r="L83" s="158"/>
      <c r="M83" s="159"/>
      <c r="N83" s="158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</row>
    <row r="84">
      <c r="A84" s="155">
        <f>IFERROR(__xludf.DUMMYFUNCTION("""COMPUTED_VALUE"""),110.0)</f>
        <v>110</v>
      </c>
      <c r="B84" s="156">
        <f>IFERROR(__xludf.DUMMYFUNCTION("""COMPUTED_VALUE"""),45566.0)</f>
        <v>45566</v>
      </c>
      <c r="C84" s="157" t="str">
        <f>IFERROR(__xludf.DUMMYFUNCTION("""COMPUTED_VALUE"""),"003410746")</f>
        <v>003410746</v>
      </c>
      <c r="D84" s="158" t="str">
        <f>IFERROR(__xludf.DUMMYFUNCTION("""COMPUTED_VALUE"""),"BALZA GAMEZ, ERNESTO LUIS")</f>
        <v>BALZA GAMEZ, ERNESTO LUIS</v>
      </c>
      <c r="E84" s="158" t="str">
        <f>IFERROR(__xludf.DUMMYFUNCTION("""COMPUTED_VALUE"""),"PAL")</f>
        <v>PAL</v>
      </c>
      <c r="F84" s="158" t="str">
        <f>IFERROR(__xludf.DUMMYFUNCTION("""COMPUTED_VALUE"""),"AREQUIPA")</f>
        <v>AREQUIPA</v>
      </c>
      <c r="G84" s="158" t="str">
        <f>IFERROR(__xludf.DUMMYFUNCTION("""COMPUTED_VALUE"""),"OFICINA")</f>
        <v>OFICINA</v>
      </c>
      <c r="H84" s="158" t="str">
        <f>IFERROR(__xludf.DUMMYFUNCTION("""COMPUTED_VALUE"""),"TELEVENTAS")</f>
        <v>TELEVENTAS</v>
      </c>
      <c r="I84" s="158" t="str">
        <f>IFERROR(__xludf.DUMMYFUNCTION("""COMPUTED_VALUE"""),"ASESOR DE TELEVENTAS")</f>
        <v>ASESOR DE TELEVENTAS</v>
      </c>
      <c r="J84" s="155"/>
      <c r="K84" s="158"/>
      <c r="L84" s="158"/>
      <c r="M84" s="159"/>
      <c r="N84" s="158"/>
      <c r="O84" s="153"/>
      <c r="P84" s="158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</row>
    <row r="85">
      <c r="A85" s="155">
        <f>IFERROR(__xludf.DUMMYFUNCTION("""COMPUTED_VALUE"""),105.0)</f>
        <v>105</v>
      </c>
      <c r="B85" s="156"/>
      <c r="C85" s="157" t="str">
        <f>IFERROR(__xludf.DUMMYFUNCTION("""COMPUTED_VALUE"""),"29293745")</f>
        <v>29293745</v>
      </c>
      <c r="D85" s="158" t="str">
        <f>IFERROR(__xludf.DUMMYFUNCTION("""COMPUTED_VALUE"""),"GAMIO FALCETO DE RIVERA, GLORIA ADA ANTONIETA")</f>
        <v>GAMIO FALCETO DE RIVERA, GLORIA ADA ANTONIETA</v>
      </c>
      <c r="E85" s="153"/>
      <c r="F85" s="158" t="str">
        <f>IFERROR(__xludf.DUMMYFUNCTION("""COMPUTED_VALUE"""),"AREQUIPA")</f>
        <v>AREQUIPA</v>
      </c>
      <c r="G85" s="153"/>
      <c r="H85" s="158" t="str">
        <f>IFERROR(__xludf.DUMMYFUNCTION("""COMPUTED_VALUE"""),"VENTAS")</f>
        <v>VENTAS</v>
      </c>
      <c r="I85" s="158" t="str">
        <f>IFERROR(__xludf.DUMMYFUNCTION("""COMPUTED_VALUE"""),"PROMOTOR DE VENTAS DE CAMPO")</f>
        <v>PROMOTOR DE VENTAS DE CAMPO</v>
      </c>
      <c r="J85" s="155"/>
      <c r="K85" s="158"/>
      <c r="L85" s="158"/>
      <c r="M85" s="159"/>
      <c r="N85" s="158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</row>
    <row r="86">
      <c r="A86" s="155">
        <f>IFERROR(__xludf.DUMMYFUNCTION("""COMPUTED_VALUE"""),106.0)</f>
        <v>106</v>
      </c>
      <c r="B86" s="156"/>
      <c r="C86" s="157" t="str">
        <f>IFERROR(__xludf.DUMMYFUNCTION("""COMPUTED_VALUE"""),"40566130")</f>
        <v>40566130</v>
      </c>
      <c r="D86" s="158" t="str">
        <f>IFERROR(__xludf.DUMMYFUNCTION("""COMPUTED_VALUE"""),"JIMENEZ SALAS, DELIA SOLEDAD")</f>
        <v>JIMENEZ SALAS, DELIA SOLEDAD</v>
      </c>
      <c r="E86" s="153"/>
      <c r="F86" s="158" t="str">
        <f>IFERROR(__xludf.DUMMYFUNCTION("""COMPUTED_VALUE"""),"AREQUIPA")</f>
        <v>AREQUIPA</v>
      </c>
      <c r="G86" s="158"/>
      <c r="H86" s="158" t="str">
        <f>IFERROR(__xludf.DUMMYFUNCTION("""COMPUTED_VALUE"""),"VENTAS")</f>
        <v>VENTAS</v>
      </c>
      <c r="I86" s="158" t="str">
        <f>IFERROR(__xludf.DUMMYFUNCTION("""COMPUTED_VALUE"""),"PROMOTOR DE VENTAS DE CAMPO")</f>
        <v>PROMOTOR DE VENTAS DE CAMPO</v>
      </c>
      <c r="J86" s="155"/>
      <c r="K86" s="158"/>
      <c r="L86" s="158"/>
      <c r="M86" s="159"/>
      <c r="N86" s="158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</row>
    <row r="87">
      <c r="A87" s="155">
        <f>IFERROR(__xludf.DUMMYFUNCTION("""COMPUTED_VALUE"""),107.0)</f>
        <v>107</v>
      </c>
      <c r="B87" s="156"/>
      <c r="C87" s="157" t="str">
        <f>IFERROR(__xludf.DUMMYFUNCTION("""COMPUTED_VALUE"""),"42908052")</f>
        <v>42908052</v>
      </c>
      <c r="D87" s="158" t="str">
        <f>IFERROR(__xludf.DUMMYFUNCTION("""COMPUTED_VALUE"""),"TACCA QUISPE, ASUNTA KARINA")</f>
        <v>TACCA QUISPE, ASUNTA KARINA</v>
      </c>
      <c r="E87" s="153"/>
      <c r="F87" s="158" t="str">
        <f>IFERROR(__xludf.DUMMYFUNCTION("""COMPUTED_VALUE"""),"AREQUIPA")</f>
        <v>AREQUIPA</v>
      </c>
      <c r="G87" s="153"/>
      <c r="H87" s="158" t="str">
        <f>IFERROR(__xludf.DUMMYFUNCTION("""COMPUTED_VALUE"""),"VENTAS")</f>
        <v>VENTAS</v>
      </c>
      <c r="I87" s="158" t="str">
        <f>IFERROR(__xludf.DUMMYFUNCTION("""COMPUTED_VALUE"""),"PROMOTOR DE VENTAS DE CAMPO")</f>
        <v>PROMOTOR DE VENTAS DE CAMPO</v>
      </c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</row>
    <row r="88">
      <c r="A88" s="155">
        <f>IFERROR(__xludf.DUMMYFUNCTION("""COMPUTED_VALUE"""),108.0)</f>
        <v>108</v>
      </c>
      <c r="B88" s="156"/>
      <c r="C88" s="157" t="str">
        <f>IFERROR(__xludf.DUMMYFUNCTION("""COMPUTED_VALUE"""),"45895524")</f>
        <v>45895524</v>
      </c>
      <c r="D88" s="158" t="str">
        <f>IFERROR(__xludf.DUMMYFUNCTION("""COMPUTED_VALUE"""),"DONGO LOPEZ, WILLIAN ALFREDO")</f>
        <v>DONGO LOPEZ, WILLIAN ALFREDO</v>
      </c>
      <c r="E88" s="153"/>
      <c r="F88" s="158" t="str">
        <f>IFERROR(__xludf.DUMMYFUNCTION("""COMPUTED_VALUE"""),"AREQUIPA")</f>
        <v>AREQUIPA</v>
      </c>
      <c r="G88" s="153"/>
      <c r="H88" s="158" t="str">
        <f>IFERROR(__xludf.DUMMYFUNCTION("""COMPUTED_VALUE"""),"VENTAS")</f>
        <v>VENTAS</v>
      </c>
      <c r="I88" s="158" t="str">
        <f>IFERROR(__xludf.DUMMYFUNCTION("""COMPUTED_VALUE"""),"SUPERVISOR ZONAL DE VENTAS")</f>
        <v>SUPERVISOR ZONAL DE VENTAS</v>
      </c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</row>
    <row r="89">
      <c r="A89" s="155">
        <f>IFERROR(__xludf.DUMMYFUNCTION("""COMPUTED_VALUE"""),109.0)</f>
        <v>109</v>
      </c>
      <c r="B89" s="156"/>
      <c r="C89" s="157" t="str">
        <f>IFERROR(__xludf.DUMMYFUNCTION("""COMPUTED_VALUE"""),"70805177")</f>
        <v>70805177</v>
      </c>
      <c r="D89" s="158" t="str">
        <f>IFERROR(__xludf.DUMMYFUNCTION("""COMPUTED_VALUE"""),"FLORES MONTIEL, PAMELA")</f>
        <v>FLORES MONTIEL, PAMELA</v>
      </c>
      <c r="E89" s="153"/>
      <c r="F89" s="158" t="str">
        <f>IFERROR(__xludf.DUMMYFUNCTION("""COMPUTED_VALUE"""),"AREQUIPA")</f>
        <v>AREQUIPA</v>
      </c>
      <c r="G89" s="153"/>
      <c r="H89" s="158" t="str">
        <f>IFERROR(__xludf.DUMMYFUNCTION("""COMPUTED_VALUE"""),"VENTAS")</f>
        <v>VENTAS</v>
      </c>
      <c r="I89" s="158" t="str">
        <f>IFERROR(__xludf.DUMMYFUNCTION("""COMPUTED_VALUE"""),"PROMOTOR DE VENTAS DE CAMPO")</f>
        <v>PROMOTOR DE VENTAS DE CAMPO</v>
      </c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</row>
    <row r="90">
      <c r="A90" s="155">
        <f>IFERROR(__xludf.DUMMYFUNCTION("""COMPUTED_VALUE"""),111.0)</f>
        <v>111</v>
      </c>
      <c r="B90" s="156"/>
      <c r="C90" s="157" t="str">
        <f>IFERROR(__xludf.DUMMYFUNCTION("""COMPUTED_VALUE"""),"71002694")</f>
        <v>71002694</v>
      </c>
      <c r="D90" s="158" t="str">
        <f>IFERROR(__xludf.DUMMYFUNCTION("""COMPUTED_VALUE"""),"LUPACA MARTINEZ, MARCO AURELIO")</f>
        <v>LUPACA MARTINEZ, MARCO AURELIO</v>
      </c>
      <c r="E90" s="153"/>
      <c r="F90" s="158" t="str">
        <f>IFERROR(__xludf.DUMMYFUNCTION("""COMPUTED_VALUE"""),"AREQUIPA")</f>
        <v>AREQUIPA</v>
      </c>
      <c r="G90" s="153"/>
      <c r="H90" s="158" t="str">
        <f>IFERROR(__xludf.DUMMYFUNCTION("""COMPUTED_VALUE"""),"VENTAS")</f>
        <v>VENTAS</v>
      </c>
      <c r="I90" s="158" t="str">
        <f>IFERROR(__xludf.DUMMYFUNCTION("""COMPUTED_VALUE"""),"PROMOTOR DE VENTAS DE CAMPO")</f>
        <v>PROMOTOR DE VENTAS DE CAMPO</v>
      </c>
      <c r="J90" s="155"/>
      <c r="K90" s="153"/>
      <c r="L90" s="153"/>
      <c r="M90" s="153"/>
      <c r="N90" s="158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</row>
    <row r="91">
      <c r="A91" s="155">
        <f>IFERROR(__xludf.DUMMYFUNCTION("""COMPUTED_VALUE"""),113.0)</f>
        <v>113</v>
      </c>
      <c r="B91" s="156"/>
      <c r="C91" s="157" t="str">
        <f>IFERROR(__xludf.DUMMYFUNCTION("""COMPUTED_VALUE"""),"73264568")</f>
        <v>73264568</v>
      </c>
      <c r="D91" s="158" t="str">
        <f>IFERROR(__xludf.DUMMYFUNCTION("""COMPUTED_VALUE"""),"QUISPE PUMA, YERFERZON")</f>
        <v>QUISPE PUMA, YERFERZON</v>
      </c>
      <c r="E91" s="153"/>
      <c r="F91" s="158" t="str">
        <f>IFERROR(__xludf.DUMMYFUNCTION("""COMPUTED_VALUE"""),"AREQUIPA")</f>
        <v>AREQUIPA</v>
      </c>
      <c r="G91" s="153"/>
      <c r="H91" s="158" t="str">
        <f>IFERROR(__xludf.DUMMYFUNCTION("""COMPUTED_VALUE"""),"VENTAS")</f>
        <v>VENTAS</v>
      </c>
      <c r="I91" s="158" t="str">
        <f>IFERROR(__xludf.DUMMYFUNCTION("""COMPUTED_VALUE"""),"PROMOTOR DE VENTAS DE CAMPO")</f>
        <v>PROMOTOR DE VENTAS DE CAMPO</v>
      </c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</row>
    <row r="92">
      <c r="A92" s="155">
        <f>IFERROR(__xludf.DUMMYFUNCTION("""COMPUTED_VALUE"""),114.0)</f>
        <v>114</v>
      </c>
      <c r="B92" s="156"/>
      <c r="C92" s="157" t="str">
        <f>IFERROR(__xludf.DUMMYFUNCTION("""COMPUTED_VALUE"""),"77379362")</f>
        <v>77379362</v>
      </c>
      <c r="D92" s="158" t="str">
        <f>IFERROR(__xludf.DUMMYFUNCTION("""COMPUTED_VALUE"""),"CANO JIMENEZ, MARIYEN")</f>
        <v>CANO JIMENEZ, MARIYEN</v>
      </c>
      <c r="E92" s="153"/>
      <c r="F92" s="158" t="str">
        <f>IFERROR(__xludf.DUMMYFUNCTION("""COMPUTED_VALUE"""),"AREQUIPA")</f>
        <v>AREQUIPA</v>
      </c>
      <c r="G92" s="153"/>
      <c r="H92" s="158" t="str">
        <f>IFERROR(__xludf.DUMMYFUNCTION("""COMPUTED_VALUE"""),"VENTAS")</f>
        <v>VENTAS</v>
      </c>
      <c r="I92" s="158" t="str">
        <f>IFERROR(__xludf.DUMMYFUNCTION("""COMPUTED_VALUE"""),"PROMOTOR DE VENTAS DE CAMPO")</f>
        <v>PROMOTOR DE VENTAS DE CAMPO</v>
      </c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</row>
    <row r="93">
      <c r="A93" s="155">
        <f>IFERROR(__xludf.DUMMYFUNCTION("""COMPUTED_VALUE"""),115.0)</f>
        <v>115</v>
      </c>
      <c r="B93" s="156"/>
      <c r="C93" s="157" t="str">
        <f>IFERROR(__xludf.DUMMYFUNCTION("""COMPUTED_VALUE"""),"71437606")</f>
        <v>71437606</v>
      </c>
      <c r="D93" s="158" t="str">
        <f>IFERROR(__xludf.DUMMYFUNCTION("""COMPUTED_VALUE"""),"MAMANI COILA, JOSE WILBER")</f>
        <v>MAMANI COILA, JOSE WILBER</v>
      </c>
      <c r="E93" s="153" t="str">
        <f>IFERROR(__xludf.DUMMYFUNCTION("""COMPUTED_VALUE"""),"MAF")</f>
        <v>MAF</v>
      </c>
      <c r="F93" s="158" t="str">
        <f>IFERROR(__xludf.DUMMYFUNCTION("""COMPUTED_VALUE"""),"MOQUEGUA")</f>
        <v>MOQUEGUA</v>
      </c>
      <c r="G93" s="153" t="str">
        <f>IFERROR(__xludf.DUMMYFUNCTION("""COMPUTED_VALUE"""),"CAMPO")</f>
        <v>CAMPO</v>
      </c>
      <c r="H93" s="158" t="str">
        <f>IFERROR(__xludf.DUMMYFUNCTION("""COMPUTED_VALUE"""),"OPERACIONES")</f>
        <v>OPERACIONES</v>
      </c>
      <c r="I93" s="158" t="str">
        <f>IFERROR(__xludf.DUMMYFUNCTION("""COMPUTED_VALUE"""),"TECNICO DE PLANTA EXTERNA")</f>
        <v>TECNICO DE PLANTA EXTERNA</v>
      </c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</row>
    <row r="94">
      <c r="A94" s="155">
        <f>IFERROR(__xludf.DUMMYFUNCTION("""COMPUTED_VALUE"""),119.0)</f>
        <v>119</v>
      </c>
      <c r="B94" s="156"/>
      <c r="C94" s="157" t="str">
        <f>IFERROR(__xludf.DUMMYFUNCTION("""COMPUTED_VALUE"""),"70237257")</f>
        <v>70237257</v>
      </c>
      <c r="D94" s="158" t="str">
        <f>IFERROR(__xludf.DUMMYFUNCTION("""COMPUTED_VALUE"""),"HUAYTA CUENTAS, CRISTHIAN GABRIEL")</f>
        <v>HUAYTA CUENTAS, CRISTHIAN GABRIEL</v>
      </c>
      <c r="E94" s="153"/>
      <c r="F94" s="158" t="str">
        <f>IFERROR(__xludf.DUMMYFUNCTION("""COMPUTED_VALUE"""),"ILO")</f>
        <v>ILO</v>
      </c>
      <c r="G94" s="153"/>
      <c r="H94" s="158" t="str">
        <f>IFERROR(__xludf.DUMMYFUNCTION("""COMPUTED_VALUE"""),"OPERACIONES")</f>
        <v>OPERACIONES</v>
      </c>
      <c r="I94" s="158" t="str">
        <f>IFERROR(__xludf.DUMMYFUNCTION("""COMPUTED_VALUE"""),"TECNICOS DE SERVICIOS")</f>
        <v>TECNICOS DE SERVICIOS</v>
      </c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</row>
    <row r="95">
      <c r="A95" s="155">
        <f>IFERROR(__xludf.DUMMYFUNCTION("""COMPUTED_VALUE"""),120.0)</f>
        <v>120</v>
      </c>
      <c r="B95" s="156"/>
      <c r="C95" s="157" t="str">
        <f>IFERROR(__xludf.DUMMYFUNCTION("""COMPUTED_VALUE"""),"41518971")</f>
        <v>41518971</v>
      </c>
      <c r="D95" s="158" t="str">
        <f>IFERROR(__xludf.DUMMYFUNCTION("""COMPUTED_VALUE"""),"CRUZ MAYDANA, YAMELI YANETH")</f>
        <v>CRUZ MAYDANA, YAMELI YANETH</v>
      </c>
      <c r="E95" s="153"/>
      <c r="F95" s="158" t="str">
        <f>IFERROR(__xludf.DUMMYFUNCTION("""COMPUTED_VALUE"""),"MOQUEGUA")</f>
        <v>MOQUEGUA</v>
      </c>
      <c r="G95" s="158"/>
      <c r="H95" s="158"/>
      <c r="I95" s="158" t="str">
        <f>IFERROR(__xludf.DUMMYFUNCTION("""COMPUTED_VALUE"""),"ASISTENTE ADMINISTRATIVO")</f>
        <v>ASISTENTE ADMINISTRATIVO</v>
      </c>
      <c r="J95" s="155"/>
      <c r="K95" s="153"/>
      <c r="L95" s="153"/>
      <c r="M95" s="153"/>
      <c r="N95" s="158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</row>
    <row r="96">
      <c r="A96" s="155">
        <f>IFERROR(__xludf.DUMMYFUNCTION("""COMPUTED_VALUE"""),121.0)</f>
        <v>121</v>
      </c>
      <c r="B96" s="156"/>
      <c r="C96" s="157" t="str">
        <f>IFERROR(__xludf.DUMMYFUNCTION("""COMPUTED_VALUE"""),"4644137")</f>
        <v>4644137</v>
      </c>
      <c r="D96" s="158" t="str">
        <f>IFERROR(__xludf.DUMMYFUNCTION("""COMPUTED_VALUE"""),"LAZO AGUILAR, ROSA LEONOR")</f>
        <v>LAZO AGUILAR, ROSA LEONOR</v>
      </c>
      <c r="E96" s="153"/>
      <c r="F96" s="158" t="str">
        <f>IFERROR(__xludf.DUMMYFUNCTION("""COMPUTED_VALUE"""),"ILO")</f>
        <v>ILO</v>
      </c>
      <c r="G96" s="153"/>
      <c r="H96" s="158"/>
      <c r="I96" s="158" t="str">
        <f>IFERROR(__xludf.DUMMYFUNCTION("""COMPUTED_VALUE"""),"CONDUCTORA DE TV Y RADIO")</f>
        <v>CONDUCTORA DE TV Y RADIO</v>
      </c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</row>
    <row r="97">
      <c r="A97" s="155">
        <f>IFERROR(__xludf.DUMMYFUNCTION("""COMPUTED_VALUE"""),122.0)</f>
        <v>122</v>
      </c>
      <c r="B97" s="156"/>
      <c r="C97" s="157" t="str">
        <f>IFERROR(__xludf.DUMMYFUNCTION("""COMPUTED_VALUE"""),"41125001")</f>
        <v>41125001</v>
      </c>
      <c r="D97" s="158" t="str">
        <f>IFERROR(__xludf.DUMMYFUNCTION("""COMPUTED_VALUE"""),"ZAPATA BLAS, JOSE FELIPE")</f>
        <v>ZAPATA BLAS, JOSE FELIPE</v>
      </c>
      <c r="E97" s="153"/>
      <c r="F97" s="158" t="str">
        <f>IFERROR(__xludf.DUMMYFUNCTION("""COMPUTED_VALUE"""),"MOQUEGUA")</f>
        <v>MOQUEGUA</v>
      </c>
      <c r="G97" s="153"/>
      <c r="H97" s="158"/>
      <c r="I97" s="158" t="str">
        <f>IFERROR(__xludf.DUMMYFUNCTION("""COMPUTED_VALUE"""),"EDITOR DE RADIO Y TV")</f>
        <v>EDITOR DE RADIO Y TV</v>
      </c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</row>
    <row r="98">
      <c r="A98" s="155">
        <f>IFERROR(__xludf.DUMMYFUNCTION("""COMPUTED_VALUE"""),123.0)</f>
        <v>123</v>
      </c>
      <c r="B98" s="156"/>
      <c r="C98" s="157" t="str">
        <f>IFERROR(__xludf.DUMMYFUNCTION("""COMPUTED_VALUE"""),"71898553")</f>
        <v>71898553</v>
      </c>
      <c r="D98" s="158" t="str">
        <f>IFERROR(__xludf.DUMMYFUNCTION("""COMPUTED_VALUE"""),"CARRASCO PORTUGAL, JOSE ALEXIS")</f>
        <v>CARRASCO PORTUGAL, JOSE ALEXIS</v>
      </c>
      <c r="E98" s="153"/>
      <c r="F98" s="158" t="str">
        <f>IFERROR(__xludf.DUMMYFUNCTION("""COMPUTED_VALUE"""),"ILO")</f>
        <v>ILO</v>
      </c>
      <c r="G98" s="153"/>
      <c r="H98" s="158"/>
      <c r="I98" s="158" t="str">
        <f>IFERROR(__xludf.DUMMYFUNCTION("""COMPUTED_VALUE"""),"OPERADOR, CONDUCTOR DE TV")</f>
        <v>OPERADOR, CONDUCTOR DE TV</v>
      </c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</row>
    <row r="99">
      <c r="A99" s="155">
        <f>IFERROR(__xludf.DUMMYFUNCTION("""COMPUTED_VALUE"""),124.0)</f>
        <v>124</v>
      </c>
      <c r="B99" s="156"/>
      <c r="C99" s="157" t="str">
        <f>IFERROR(__xludf.DUMMYFUNCTION("""COMPUTED_VALUE"""),"41957554")</f>
        <v>41957554</v>
      </c>
      <c r="D99" s="158" t="str">
        <f>IFERROR(__xludf.DUMMYFUNCTION("""COMPUTED_VALUE"""),"SUAREZ RODRIGUEZ, JEISON FRITZ")</f>
        <v>SUAREZ RODRIGUEZ, JEISON FRITZ</v>
      </c>
      <c r="E99" s="153"/>
      <c r="F99" s="158" t="str">
        <f>IFERROR(__xludf.DUMMYFUNCTION("""COMPUTED_VALUE"""),"ILO")</f>
        <v>ILO</v>
      </c>
      <c r="G99" s="153"/>
      <c r="H99" s="158"/>
      <c r="I99" s="158" t="str">
        <f>IFERROR(__xludf.DUMMYFUNCTION("""COMPUTED_VALUE"""),"PRODUCTOR GENERAL")</f>
        <v>PRODUCTOR GENERAL</v>
      </c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</row>
    <row r="100">
      <c r="A100" s="155">
        <f>IFERROR(__xludf.DUMMYFUNCTION("""COMPUTED_VALUE"""),125.0)</f>
        <v>125</v>
      </c>
      <c r="B100" s="156"/>
      <c r="C100" s="157" t="str">
        <f>IFERROR(__xludf.DUMMYFUNCTION("""COMPUTED_VALUE"""),"17410578")</f>
        <v>17410578</v>
      </c>
      <c r="D100" s="158" t="str">
        <f>IFERROR(__xludf.DUMMYFUNCTION("""COMPUTED_VALUE"""),"GAMARRA MIOVICH, JOSE RICARDO")</f>
        <v>GAMARRA MIOVICH, JOSE RICARDO</v>
      </c>
      <c r="E100" s="153"/>
      <c r="F100" s="158" t="str">
        <f>IFERROR(__xludf.DUMMYFUNCTION("""COMPUTED_VALUE"""),"ILO")</f>
        <v>ILO</v>
      </c>
      <c r="G100" s="153"/>
      <c r="H100" s="158"/>
      <c r="I100" s="158" t="str">
        <f>IFERROR(__xludf.DUMMYFUNCTION("""COMPUTED_VALUE"""),"REPORTERO")</f>
        <v>REPORTERO</v>
      </c>
      <c r="J100" s="155"/>
      <c r="K100" s="158"/>
      <c r="L100" s="158"/>
      <c r="M100" s="159"/>
      <c r="N100" s="158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</row>
    <row r="101">
      <c r="A101" s="155">
        <f>IFERROR(__xludf.DUMMYFUNCTION("""COMPUTED_VALUE"""),126.0)</f>
        <v>126</v>
      </c>
      <c r="B101" s="156"/>
      <c r="C101" s="157" t="str">
        <f>IFERROR(__xludf.DUMMYFUNCTION("""COMPUTED_VALUE"""),"76903329")</f>
        <v>76903329</v>
      </c>
      <c r="D101" s="158" t="str">
        <f>IFERROR(__xludf.DUMMYFUNCTION("""COMPUTED_VALUE"""),"HUAMANHORQQUE CARRILLO, ERIKA VANESSA")</f>
        <v>HUAMANHORQQUE CARRILLO, ERIKA VANESSA</v>
      </c>
      <c r="E101" s="153"/>
      <c r="F101" s="158" t="str">
        <f>IFERROR(__xludf.DUMMYFUNCTION("""COMPUTED_VALUE"""),"TACNA")</f>
        <v>TACNA</v>
      </c>
      <c r="G101" s="153"/>
      <c r="H101" s="158"/>
      <c r="I101" s="158" t="str">
        <f>IFERROR(__xludf.DUMMYFUNCTION("""COMPUTED_VALUE"""),"REPORTERO")</f>
        <v>REPORTERO</v>
      </c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</row>
    <row r="102">
      <c r="A102" s="155">
        <f>IFERROR(__xludf.DUMMYFUNCTION("""COMPUTED_VALUE"""),127.0)</f>
        <v>127</v>
      </c>
      <c r="B102" s="156"/>
      <c r="C102" s="157" t="str">
        <f>IFERROR(__xludf.DUMMYFUNCTION("""COMPUTED_VALUE"""),"71654322")</f>
        <v>71654322</v>
      </c>
      <c r="D102" s="158" t="str">
        <f>IFERROR(__xludf.DUMMYFUNCTION("""COMPUTED_VALUE"""),"ROJAS ROSAS, LUZ CLARITA")</f>
        <v>ROJAS ROSAS, LUZ CLARITA</v>
      </c>
      <c r="E102" s="153"/>
      <c r="F102" s="158" t="str">
        <f>IFERROR(__xludf.DUMMYFUNCTION("""COMPUTED_VALUE"""),"TACNA")</f>
        <v>TACNA</v>
      </c>
      <c r="G102" s="153"/>
      <c r="H102" s="158"/>
      <c r="I102" s="158" t="str">
        <f>IFERROR(__xludf.DUMMYFUNCTION("""COMPUTED_VALUE"""),"REPORTERO")</f>
        <v>REPORTERO</v>
      </c>
      <c r="J102" s="153"/>
      <c r="K102" s="158"/>
      <c r="L102" s="158"/>
      <c r="M102" s="159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</row>
    <row r="103">
      <c r="A103" s="155">
        <f>IFERROR(__xludf.DUMMYFUNCTION("""COMPUTED_VALUE"""),128.0)</f>
        <v>128</v>
      </c>
      <c r="B103" s="156"/>
      <c r="C103" s="157" t="str">
        <f>IFERROR(__xludf.DUMMYFUNCTION("""COMPUTED_VALUE"""),"76372404")</f>
        <v>76372404</v>
      </c>
      <c r="D103" s="158" t="str">
        <f>IFERROR(__xludf.DUMMYFUNCTION("""COMPUTED_VALUE"""),"TARRILLO DIAZ, NEYDA SENAIDA")</f>
        <v>TARRILLO DIAZ, NEYDA SENAIDA</v>
      </c>
      <c r="E103" s="153"/>
      <c r="F103" s="158" t="str">
        <f>IFERROR(__xludf.DUMMYFUNCTION("""COMPUTED_VALUE"""),"MOQUEGUA")</f>
        <v>MOQUEGUA</v>
      </c>
      <c r="G103" s="153"/>
      <c r="H103" s="158"/>
      <c r="I103" s="158" t="str">
        <f>IFERROR(__xludf.DUMMYFUNCTION("""COMPUTED_VALUE"""),"REPORTERO")</f>
        <v>REPORTERO</v>
      </c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</row>
    <row r="104">
      <c r="A104" s="155">
        <f>IFERROR(__xludf.DUMMYFUNCTION("""COMPUTED_VALUE"""),129.0)</f>
        <v>129</v>
      </c>
      <c r="B104" s="156"/>
      <c r="C104" s="157" t="str">
        <f>IFERROR(__xludf.DUMMYFUNCTION("""COMPUTED_VALUE"""),"45159862")</f>
        <v>45159862</v>
      </c>
      <c r="D104" s="158" t="str">
        <f>IFERROR(__xludf.DUMMYFUNCTION("""COMPUTED_VALUE"""),"TELLEZ GALLEGOS, JUAN ALONSO")</f>
        <v>TELLEZ GALLEGOS, JUAN ALONSO</v>
      </c>
      <c r="E104" s="153"/>
      <c r="F104" s="158" t="str">
        <f>IFERROR(__xludf.DUMMYFUNCTION("""COMPUTED_VALUE"""),"MOLLENDO")</f>
        <v>MOLLENDO</v>
      </c>
      <c r="G104" s="153"/>
      <c r="H104" s="158"/>
      <c r="I104" s="158" t="str">
        <f>IFERROR(__xludf.DUMMYFUNCTION("""COMPUTED_VALUE"""),"REPORTERO")</f>
        <v>REPORTERO</v>
      </c>
      <c r="J104" s="155"/>
      <c r="K104" s="158"/>
      <c r="L104" s="158"/>
      <c r="M104" s="159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</row>
    <row r="105">
      <c r="A105" s="155">
        <f>IFERROR(__xludf.DUMMYFUNCTION("""COMPUTED_VALUE"""),130.0)</f>
        <v>130</v>
      </c>
      <c r="B105" s="156"/>
      <c r="C105" s="157" t="str">
        <f>IFERROR(__xludf.DUMMYFUNCTION("""COMPUTED_VALUE"""),"73682967")</f>
        <v>73682967</v>
      </c>
      <c r="D105" s="158" t="str">
        <f>IFERROR(__xludf.DUMMYFUNCTION("""COMPUTED_VALUE"""),"APARICIO LOPEZ, OMAR ENRIQUE")</f>
        <v>APARICIO LOPEZ, OMAR ENRIQUE</v>
      </c>
      <c r="E105" s="153"/>
      <c r="F105" s="158" t="str">
        <f>IFERROR(__xludf.DUMMYFUNCTION("""COMPUTED_VALUE"""),"ILO")</f>
        <v>ILO</v>
      </c>
      <c r="G105" s="153"/>
      <c r="H105" s="158"/>
      <c r="I105" s="158" t="str">
        <f>IFERROR(__xludf.DUMMYFUNCTION("""COMPUTED_VALUE"""),"TECNICO")</f>
        <v>TECNICO</v>
      </c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</row>
    <row r="106">
      <c r="A106" s="155">
        <f>IFERROR(__xludf.DUMMYFUNCTION("""COMPUTED_VALUE"""),131.0)</f>
        <v>131</v>
      </c>
      <c r="B106" s="156"/>
      <c r="C106" s="157" t="str">
        <f>IFERROR(__xludf.DUMMYFUNCTION("""COMPUTED_VALUE"""),"4650804")</f>
        <v>4650804</v>
      </c>
      <c r="D106" s="158" t="str">
        <f>IFERROR(__xludf.DUMMYFUNCTION("""COMPUTED_VALUE"""),"JUAREZ ROSPIGLIOSI, MADELEINE GIOVANNA")</f>
        <v>JUAREZ ROSPIGLIOSI, MADELEINE GIOVANNA</v>
      </c>
      <c r="E106" s="153"/>
      <c r="F106" s="158" t="str">
        <f>IFERROR(__xludf.DUMMYFUNCTION("""COMPUTED_VALUE"""),"ILO")</f>
        <v>ILO</v>
      </c>
      <c r="G106" s="153"/>
      <c r="H106" s="158"/>
      <c r="I106" s="158" t="str">
        <f>IFERROR(__xludf.DUMMYFUNCTION("""COMPUTED_VALUE"""),"ASISTENTE ADMINISTRATIVO")</f>
        <v>ASISTENTE ADMINISTRATIVO</v>
      </c>
      <c r="J106" s="155"/>
      <c r="K106" s="158"/>
      <c r="L106" s="158"/>
      <c r="M106" s="159"/>
      <c r="N106" s="158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</row>
    <row r="107">
      <c r="A107" s="155">
        <f>IFERROR(__xludf.DUMMYFUNCTION("""COMPUTED_VALUE"""),132.0)</f>
        <v>132</v>
      </c>
      <c r="B107" s="156"/>
      <c r="C107" s="157" t="str">
        <f>IFERROR(__xludf.DUMMYFUNCTION("""COMPUTED_VALUE"""),"4642183")</f>
        <v>4642183</v>
      </c>
      <c r="D107" s="158" t="str">
        <f>IFERROR(__xludf.DUMMYFUNCTION("""COMPUTED_VALUE"""),"JUAREZ BUSTAMANTE, GERMAN CERVIS")</f>
        <v>JUAREZ BUSTAMANTE, GERMAN CERVIS</v>
      </c>
      <c r="E107" s="153"/>
      <c r="F107" s="158" t="str">
        <f>IFERROR(__xludf.DUMMYFUNCTION("""COMPUTED_VALUE"""),"ILO")</f>
        <v>ILO</v>
      </c>
      <c r="G107" s="153"/>
      <c r="H107" s="158"/>
      <c r="I107" s="158" t="str">
        <f>IFERROR(__xludf.DUMMYFUNCTION("""COMPUTED_VALUE"""),"REPORTERO RADIO - TV")</f>
        <v>REPORTERO RADIO - TV</v>
      </c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</row>
    <row r="108">
      <c r="A108" s="155">
        <f>IFERROR(__xludf.DUMMYFUNCTION("""COMPUTED_VALUE"""),133.0)</f>
        <v>133</v>
      </c>
      <c r="B108" s="156"/>
      <c r="C108" s="157" t="str">
        <f>IFERROR(__xludf.DUMMYFUNCTION("""COMPUTED_VALUE"""),"46259542")</f>
        <v>46259542</v>
      </c>
      <c r="D108" s="158" t="str">
        <f>IFERROR(__xludf.DUMMYFUNCTION("""COMPUTED_VALUE"""),"QUISPE TTICA, VANESA")</f>
        <v>QUISPE TTICA, VANESA</v>
      </c>
      <c r="E108" s="153" t="str">
        <f>IFERROR(__xludf.DUMMYFUNCTION("""COMPUTED_VALUE"""),"ALM")</f>
        <v>ALM</v>
      </c>
      <c r="F108" s="158" t="str">
        <f>IFERROR(__xludf.DUMMYFUNCTION("""COMPUTED_VALUE"""),"AREQUIPA")</f>
        <v>AREQUIPA</v>
      </c>
      <c r="G108" s="153" t="str">
        <f>IFERROR(__xludf.DUMMYFUNCTION("""COMPUTED_VALUE"""),"OFICINA")</f>
        <v>OFICINA</v>
      </c>
      <c r="H108" s="158"/>
      <c r="I108" s="158" t="str">
        <f>IFERROR(__xludf.DUMMYFUNCTION("""COMPUTED_VALUE"""),"JEFE DE CONTABILIDAD")</f>
        <v>JEFE DE CONTABILIDAD</v>
      </c>
      <c r="J108" s="155"/>
      <c r="K108" s="158"/>
      <c r="L108" s="158"/>
      <c r="M108" s="159"/>
      <c r="N108" s="158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</row>
    <row r="109">
      <c r="A109" s="155">
        <f>IFERROR(__xludf.DUMMYFUNCTION("""COMPUTED_VALUE"""),134.0)</f>
        <v>134</v>
      </c>
      <c r="B109" s="156"/>
      <c r="C109" s="157" t="str">
        <f>IFERROR(__xludf.DUMMYFUNCTION("""COMPUTED_VALUE"""),"71413775")</f>
        <v>71413775</v>
      </c>
      <c r="D109" s="158" t="str">
        <f>IFERROR(__xludf.DUMMYFUNCTION("""COMPUTED_VALUE"""),"ARIZACA TUMBAJULCA, IVAN FABRIZIO")</f>
        <v>ARIZACA TUMBAJULCA, IVAN FABRIZIO</v>
      </c>
      <c r="E109" s="153"/>
      <c r="F109" s="158" t="str">
        <f>IFERROR(__xludf.DUMMYFUNCTION("""COMPUTED_VALUE"""),"AREQUIPA")</f>
        <v>AREQUIPA</v>
      </c>
      <c r="G109" s="153"/>
      <c r="H109" s="158"/>
      <c r="I109" s="158" t="str">
        <f>IFERROR(__xludf.DUMMYFUNCTION("""COMPUTED_VALUE"""),"TECNICO DE SERVICIOS")</f>
        <v>TECNICO DE SERVICIOS</v>
      </c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</row>
    <row r="110">
      <c r="A110" s="155">
        <f>IFERROR(__xludf.DUMMYFUNCTION("""COMPUTED_VALUE"""),136.0)</f>
        <v>136</v>
      </c>
      <c r="B110" s="156"/>
      <c r="C110" s="157" t="str">
        <f>IFERROR(__xludf.DUMMYFUNCTION("""COMPUTED_VALUE"""),"71726151")</f>
        <v>71726151</v>
      </c>
      <c r="D110" s="158" t="str">
        <f>IFERROR(__xludf.DUMMYFUNCTION("""COMPUTED_VALUE"""),"LARIJO LLANOS, ERIKA YANETH")</f>
        <v>LARIJO LLANOS, ERIKA YANETH</v>
      </c>
      <c r="E110" s="153" t="str">
        <f>IFERROR(__xludf.DUMMYFUNCTION("""COMPUTED_VALUE"""),"PAL")</f>
        <v>PAL</v>
      </c>
      <c r="F110" s="158" t="str">
        <f>IFERROR(__xludf.DUMMYFUNCTION("""COMPUTED_VALUE"""),"ILO")</f>
        <v>ILO</v>
      </c>
      <c r="G110" s="153" t="str">
        <f>IFERROR(__xludf.DUMMYFUNCTION("""COMPUTED_VALUE"""),"OFICINA")</f>
        <v>OFICINA</v>
      </c>
      <c r="H110" s="158" t="str">
        <f>IFERROR(__xludf.DUMMYFUNCTION("""COMPUTED_VALUE"""),"NOC")</f>
        <v>NOC</v>
      </c>
      <c r="I110" s="158" t="str">
        <f>IFERROR(__xludf.DUMMYFUNCTION("""COMPUTED_VALUE"""),"ASISTENTE NOC")</f>
        <v>ASISTENTE NOC</v>
      </c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</row>
    <row r="111">
      <c r="A111" s="155">
        <f>IFERROR(__xludf.DUMMYFUNCTION("""COMPUTED_VALUE"""),137.0)</f>
        <v>137</v>
      </c>
      <c r="B111" s="156"/>
      <c r="C111" s="157" t="str">
        <f>IFERROR(__xludf.DUMMYFUNCTION("""COMPUTED_VALUE"""),"72237483")</f>
        <v>72237483</v>
      </c>
      <c r="D111" s="158" t="str">
        <f>IFERROR(__xludf.DUMMYFUNCTION("""COMPUTED_VALUE"""),"ALIRE MARASI, SOCRATES JUNIOR")</f>
        <v>ALIRE MARASI, SOCRATES JUNIOR</v>
      </c>
      <c r="E111" s="158"/>
      <c r="F111" s="158" t="str">
        <f>IFERROR(__xludf.DUMMYFUNCTION("""COMPUTED_VALUE"""),"AREQUIPA")</f>
        <v>AREQUIPA</v>
      </c>
      <c r="G111" s="158" t="str">
        <f>IFERROR(__xludf.DUMMYFUNCTION("""COMPUTED_VALUE"""),"OFICINA")</f>
        <v>OFICINA</v>
      </c>
      <c r="H111" s="158" t="str">
        <f>IFERROR(__xludf.DUMMYFUNCTION("""COMPUTED_VALUE"""),"MARKETING")</f>
        <v>MARKETING</v>
      </c>
      <c r="I111" s="158" t="str">
        <f>IFERROR(__xludf.DUMMYFUNCTION("""COMPUTED_VALUE"""),"DISEÑADOR GRAFICO PUBLICITARIO")</f>
        <v>DISEÑADOR GRAFICO PUBLICITARIO</v>
      </c>
      <c r="J111" s="155"/>
      <c r="K111" s="153"/>
      <c r="L111" s="153"/>
      <c r="M111" s="153"/>
      <c r="N111" s="153"/>
      <c r="O111" s="153"/>
      <c r="P111" s="158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</row>
    <row r="112">
      <c r="A112" s="155">
        <f>IFERROR(__xludf.DUMMYFUNCTION("""COMPUTED_VALUE"""),138.0)</f>
        <v>138</v>
      </c>
      <c r="B112" s="156"/>
      <c r="C112" s="157" t="str">
        <f>IFERROR(__xludf.DUMMYFUNCTION("""COMPUTED_VALUE"""),"72794348")</f>
        <v>72794348</v>
      </c>
      <c r="D112" s="158" t="str">
        <f>IFERROR(__xludf.DUMMYFUNCTION("""COMPUTED_VALUE"""),"SHIMIZU MARQUEZ, YCHIRO MANUEL EUSEBIO KENDO")</f>
        <v>SHIMIZU MARQUEZ, YCHIRO MANUEL EUSEBIO KENDO</v>
      </c>
      <c r="E112" s="158"/>
      <c r="F112" s="158" t="str">
        <f>IFERROR(__xludf.DUMMYFUNCTION("""COMPUTED_VALUE"""),"AREQUIPA")</f>
        <v>AREQUIPA</v>
      </c>
      <c r="G112" s="153" t="str">
        <f>IFERROR(__xludf.DUMMYFUNCTION("""COMPUTED_VALUE"""),"OFICINA")</f>
        <v>OFICINA</v>
      </c>
      <c r="H112" s="153" t="str">
        <f>IFERROR(__xludf.DUMMYFUNCTION("""COMPUTED_VALUE"""),"MARKETING")</f>
        <v>MARKETING</v>
      </c>
      <c r="I112" s="158" t="str">
        <f>IFERROR(__xludf.DUMMYFUNCTION("""COMPUTED_VALUE"""),"DISEÑADOR GRAFICO PUBLICITARIO")</f>
        <v>DISEÑADOR GRAFICO PUBLICITARIO</v>
      </c>
      <c r="J112" s="155"/>
      <c r="K112" s="158"/>
      <c r="L112" s="158"/>
      <c r="M112" s="159"/>
      <c r="N112" s="158"/>
      <c r="O112" s="153"/>
      <c r="P112" s="158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</row>
    <row r="113">
      <c r="A113" s="155">
        <f>IFERROR(__xludf.DUMMYFUNCTION("""COMPUTED_VALUE"""),139.0)</f>
        <v>139</v>
      </c>
      <c r="B113" s="156"/>
      <c r="C113" s="157" t="str">
        <f>IFERROR(__xludf.DUMMYFUNCTION("""COMPUTED_VALUE"""),"61658270")</f>
        <v>61658270</v>
      </c>
      <c r="D113" s="158" t="str">
        <f>IFERROR(__xludf.DUMMYFUNCTION("""COMPUTED_VALUE"""),"APAZA QUISPE, MARCELINA")</f>
        <v>APAZA QUISPE, MARCELINA</v>
      </c>
      <c r="E113" s="153"/>
      <c r="F113" s="158" t="str">
        <f>IFERROR(__xludf.DUMMYFUNCTION("""COMPUTED_VALUE"""),"AREQUIPA")</f>
        <v>AREQUIPA</v>
      </c>
      <c r="G113" s="153" t="str">
        <f>IFERROR(__xludf.DUMMYFUNCTION("""COMPUTED_VALUE"""),"CAMPO")</f>
        <v>CAMPO</v>
      </c>
      <c r="H113" s="158"/>
      <c r="I113" s="158" t="str">
        <f>IFERROR(__xludf.DUMMYFUNCTION("""COMPUTED_VALUE"""),"PROMOTOR DE VENTAS DE CAMPO")</f>
        <v>PROMOTOR DE VENTAS DE CAMPO</v>
      </c>
      <c r="J113" s="155"/>
      <c r="K113" s="158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</row>
    <row r="114">
      <c r="A114" s="155">
        <f>IFERROR(__xludf.DUMMYFUNCTION("""COMPUTED_VALUE"""),140.0)</f>
        <v>140</v>
      </c>
      <c r="B114" s="156"/>
      <c r="C114" s="157" t="str">
        <f>IFERROR(__xludf.DUMMYFUNCTION("""COMPUTED_VALUE"""),"72712839")</f>
        <v>72712839</v>
      </c>
      <c r="D114" s="158" t="str">
        <f>IFERROR(__xludf.DUMMYFUNCTION("""COMPUTED_VALUE"""),"CHAMBI MENDOZA, SEBASTIAN PIERO")</f>
        <v>CHAMBI MENDOZA, SEBASTIAN PIERO</v>
      </c>
      <c r="E114" s="153"/>
      <c r="F114" s="158" t="str">
        <f>IFERROR(__xludf.DUMMYFUNCTION("""COMPUTED_VALUE"""),"ILO")</f>
        <v>ILO</v>
      </c>
      <c r="G114" s="153" t="str">
        <f>IFERROR(__xludf.DUMMYFUNCTION("""COMPUTED_VALUE"""),"CAMPO")</f>
        <v>CAMPO</v>
      </c>
      <c r="H114" s="153"/>
      <c r="I114" s="158" t="str">
        <f>IFERROR(__xludf.DUMMYFUNCTION("""COMPUTED_VALUE"""),"PROMOTOR DE VENTAS DE CAMPO")</f>
        <v>PROMOTOR DE VENTAS DE CAMPO</v>
      </c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</row>
    <row r="115">
      <c r="A115" s="155">
        <f>IFERROR(__xludf.DUMMYFUNCTION("""COMPUTED_VALUE"""),141.0)</f>
        <v>141</v>
      </c>
      <c r="B115" s="156"/>
      <c r="C115" s="157" t="str">
        <f>IFERROR(__xludf.DUMMYFUNCTION("""COMPUTED_VALUE"""),"516351")</f>
        <v>516351</v>
      </c>
      <c r="D115" s="158" t="str">
        <f>IFERROR(__xludf.DUMMYFUNCTION("""COMPUTED_VALUE"""),"FUENTES PALZA, YENILE LISSETY")</f>
        <v>FUENTES PALZA, YENILE LISSETY</v>
      </c>
      <c r="E115" s="153"/>
      <c r="F115" s="158" t="str">
        <f>IFERROR(__xludf.DUMMYFUNCTION("""COMPUTED_VALUE"""),"TACNA")</f>
        <v>TACNA</v>
      </c>
      <c r="G115" s="153" t="str">
        <f>IFERROR(__xludf.DUMMYFUNCTION("""COMPUTED_VALUE"""),"CAMPO")</f>
        <v>CAMPO</v>
      </c>
      <c r="H115" s="153"/>
      <c r="I115" s="158" t="str">
        <f>IFERROR(__xludf.DUMMYFUNCTION("""COMPUTED_VALUE"""),"PROMOTOR DE VENTAS DE CAMPO")</f>
        <v>PROMOTOR DE VENTAS DE CAMPO</v>
      </c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</row>
    <row r="116">
      <c r="A116" s="155">
        <f>IFERROR(__xludf.DUMMYFUNCTION("""COMPUTED_VALUE"""),142.0)</f>
        <v>142</v>
      </c>
      <c r="B116" s="156"/>
      <c r="C116" s="157" t="str">
        <f>IFERROR(__xludf.DUMMYFUNCTION("""COMPUTED_VALUE"""),"75988865")</f>
        <v>75988865</v>
      </c>
      <c r="D116" s="158" t="str">
        <f>IFERROR(__xludf.DUMMYFUNCTION("""COMPUTED_VALUE"""),"LLONTOP LAURA, KEYSI YADIRA MICAELA")</f>
        <v>LLONTOP LAURA, KEYSI YADIRA MICAELA</v>
      </c>
      <c r="E116" s="153"/>
      <c r="F116" s="158" t="str">
        <f>IFERROR(__xludf.DUMMYFUNCTION("""COMPUTED_VALUE"""),"MOLLENDO")</f>
        <v>MOLLENDO</v>
      </c>
      <c r="G116" s="153" t="str">
        <f>IFERROR(__xludf.DUMMYFUNCTION("""COMPUTED_VALUE"""),"CAMPO")</f>
        <v>CAMPO</v>
      </c>
      <c r="H116" s="153"/>
      <c r="I116" s="158" t="str">
        <f>IFERROR(__xludf.DUMMYFUNCTION("""COMPUTED_VALUE"""),"PROMOTOR DE VENTAS DE CAMPO")</f>
        <v>PROMOTOR DE VENTAS DE CAMPO</v>
      </c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</row>
    <row r="117">
      <c r="A117" s="155">
        <f>IFERROR(__xludf.DUMMYFUNCTION("""COMPUTED_VALUE"""),143.0)</f>
        <v>143</v>
      </c>
      <c r="B117" s="156"/>
      <c r="C117" s="157" t="str">
        <f>IFERROR(__xludf.DUMMYFUNCTION("""COMPUTED_VALUE"""),"72520461")</f>
        <v>72520461</v>
      </c>
      <c r="D117" s="158" t="str">
        <f>IFERROR(__xludf.DUMMYFUNCTION("""COMPUTED_VALUE"""),"PARIZACA ARTEAGA, WENDY CLARET HELEN")</f>
        <v>PARIZACA ARTEAGA, WENDY CLARET HELEN</v>
      </c>
      <c r="E117" s="153"/>
      <c r="F117" s="158" t="str">
        <f>IFERROR(__xludf.DUMMYFUNCTION("""COMPUTED_VALUE"""),"MOLLENDO")</f>
        <v>MOLLENDO</v>
      </c>
      <c r="G117" s="153" t="str">
        <f>IFERROR(__xludf.DUMMYFUNCTION("""COMPUTED_VALUE"""),"CAMPO")</f>
        <v>CAMPO</v>
      </c>
      <c r="H117" s="153"/>
      <c r="I117" s="158" t="str">
        <f>IFERROR(__xludf.DUMMYFUNCTION("""COMPUTED_VALUE"""),"PROMOTOR DE VENTAS DE CAMPO")</f>
        <v>PROMOTOR DE VENTAS DE CAMPO</v>
      </c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</row>
    <row r="118">
      <c r="A118" s="155">
        <f>IFERROR(__xludf.DUMMYFUNCTION("""COMPUTED_VALUE"""),144.0)</f>
        <v>144</v>
      </c>
      <c r="B118" s="156"/>
      <c r="C118" s="157" t="str">
        <f>IFERROR(__xludf.DUMMYFUNCTION("""COMPUTED_VALUE"""),"73320261")</f>
        <v>73320261</v>
      </c>
      <c r="D118" s="158" t="str">
        <f>IFERROR(__xludf.DUMMYFUNCTION("""COMPUTED_VALUE"""),"RAMOS DIAZ, KARLA MICHELL")</f>
        <v>RAMOS DIAZ, KARLA MICHELL</v>
      </c>
      <c r="E118" s="153"/>
      <c r="F118" s="158" t="str">
        <f>IFERROR(__xludf.DUMMYFUNCTION("""COMPUTED_VALUE"""),"MOLLENDO")</f>
        <v>MOLLENDO</v>
      </c>
      <c r="G118" s="153" t="str">
        <f>IFERROR(__xludf.DUMMYFUNCTION("""COMPUTED_VALUE"""),"CAMPO")</f>
        <v>CAMPO</v>
      </c>
      <c r="H118" s="153"/>
      <c r="I118" s="158" t="str">
        <f>IFERROR(__xludf.DUMMYFUNCTION("""COMPUTED_VALUE"""),"PROMOTOR DE VENTAS DE CAMPO")</f>
        <v>PROMOTOR DE VENTAS DE CAMPO</v>
      </c>
      <c r="J118" s="155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</row>
    <row r="119">
      <c r="A119" s="155">
        <f>IFERROR(__xludf.DUMMYFUNCTION("""COMPUTED_VALUE"""),145.0)</f>
        <v>145</v>
      </c>
      <c r="B119" s="156"/>
      <c r="C119" s="157" t="str">
        <f>IFERROR(__xludf.DUMMYFUNCTION("""COMPUTED_VALUE"""),"73080783")</f>
        <v>73080783</v>
      </c>
      <c r="D119" s="158" t="str">
        <f>IFERROR(__xludf.DUMMYFUNCTION("""COMPUTED_VALUE"""),"SALAS VALDIVIA, GABRIEL SEBASTIAN")</f>
        <v>SALAS VALDIVIA, GABRIEL SEBASTIAN</v>
      </c>
      <c r="E119" s="153"/>
      <c r="F119" s="158" t="str">
        <f>IFERROR(__xludf.DUMMYFUNCTION("""COMPUTED_VALUE"""),"AREQUIPA")</f>
        <v>AREQUIPA</v>
      </c>
      <c r="G119" s="153" t="str">
        <f>IFERROR(__xludf.DUMMYFUNCTION("""COMPUTED_VALUE"""),"CAMPO")</f>
        <v>CAMPO</v>
      </c>
      <c r="H119" s="153"/>
      <c r="I119" s="158" t="str">
        <f>IFERROR(__xludf.DUMMYFUNCTION("""COMPUTED_VALUE"""),"PROMOTOR DE VENTAS DE CAMPO")</f>
        <v>PROMOTOR DE VENTAS DE CAMPO</v>
      </c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</row>
    <row r="120">
      <c r="A120" s="155">
        <f>IFERROR(__xludf.DUMMYFUNCTION("""COMPUTED_VALUE"""),146.0)</f>
        <v>146</v>
      </c>
      <c r="B120" s="156"/>
      <c r="C120" s="157" t="str">
        <f>IFERROR(__xludf.DUMMYFUNCTION("""COMPUTED_VALUE"""),"70859585")</f>
        <v>70859585</v>
      </c>
      <c r="D120" s="158" t="str">
        <f>IFERROR(__xludf.DUMMYFUNCTION("""COMPUTED_VALUE"""),"VALCARCEL PAZ, ANGEL GABRIEL")</f>
        <v>VALCARCEL PAZ, ANGEL GABRIEL</v>
      </c>
      <c r="E120" s="153"/>
      <c r="F120" s="158" t="str">
        <f>IFERROR(__xludf.DUMMYFUNCTION("""COMPUTED_VALUE"""),"AREQUIPA")</f>
        <v>AREQUIPA</v>
      </c>
      <c r="G120" s="153" t="str">
        <f>IFERROR(__xludf.DUMMYFUNCTION("""COMPUTED_VALUE"""),"CAMPO")</f>
        <v>CAMPO</v>
      </c>
      <c r="H120" s="153"/>
      <c r="I120" s="158" t="str">
        <f>IFERROR(__xludf.DUMMYFUNCTION("""COMPUTED_VALUE"""),"TEAM LEADER")</f>
        <v>TEAM LEADER</v>
      </c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</row>
    <row r="121">
      <c r="A121" s="155">
        <f>IFERROR(__xludf.DUMMYFUNCTION("""COMPUTED_VALUE"""),88.0)</f>
        <v>88</v>
      </c>
      <c r="B121" s="156"/>
      <c r="C121" s="157" t="str">
        <f>IFERROR(__xludf.DUMMYFUNCTION("""COMPUTED_VALUE"""),"48075090")</f>
        <v>48075090</v>
      </c>
      <c r="D121" s="158" t="str">
        <f>IFERROR(__xludf.DUMMYFUNCTION("""COMPUTED_VALUE"""),"CONDORI CONDORCHOA, HEYDI LUZ")</f>
        <v>CONDORI CONDORCHOA, HEYDI LUZ</v>
      </c>
      <c r="E121" s="153" t="str">
        <f>IFERROR(__xludf.DUMMYFUNCTION("""COMPUTED_VALUE"""),"EFI")</f>
        <v>EFI</v>
      </c>
      <c r="F121" s="158" t="str">
        <f>IFERROR(__xludf.DUMMYFUNCTION("""COMPUTED_VALUE"""),"ILO")</f>
        <v>ILO</v>
      </c>
      <c r="G121" s="153" t="str">
        <f>IFERROR(__xludf.DUMMYFUNCTION("""COMPUTED_VALUE"""),"OFICINA")</f>
        <v>OFICINA</v>
      </c>
      <c r="H121" s="153" t="str">
        <f>IFERROR(__xludf.DUMMYFUNCTION("""COMPUTED_VALUE"""),"COMERCIAL")</f>
        <v>COMERCIAL</v>
      </c>
      <c r="I121" s="158" t="str">
        <f>IFERROR(__xludf.DUMMYFUNCTION("""COMPUTED_VALUE"""),"ASISTENTE ADMINISTRACION DE VENTAS")</f>
        <v>ASISTENTE ADMINISTRACION DE VENTAS</v>
      </c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</row>
    <row r="122">
      <c r="A122" s="155">
        <f>IFERROR(__xludf.DUMMYFUNCTION("""COMPUTED_VALUE"""),148.0)</f>
        <v>148</v>
      </c>
      <c r="B122" s="156"/>
      <c r="C122" s="157" t="str">
        <f>IFERROR(__xludf.DUMMYFUNCTION("""COMPUTED_VALUE"""),"70661079")</f>
        <v>70661079</v>
      </c>
      <c r="D122" s="158" t="str">
        <f>IFERROR(__xludf.DUMMYFUNCTION("""COMPUTED_VALUE"""),"ADRIAZOLA QUISPE, MIGUEL ANGEL")</f>
        <v>ADRIAZOLA QUISPE, MIGUEL ANGEL</v>
      </c>
      <c r="E122" s="153" t="str">
        <f>IFERROR(__xludf.DUMMYFUNCTION("""COMPUTED_VALUE"""),"EFI")</f>
        <v>EFI</v>
      </c>
      <c r="F122" s="158" t="str">
        <f>IFERROR(__xludf.DUMMYFUNCTION("""COMPUTED_VALUE"""),"TACNA")</f>
        <v>TACNA</v>
      </c>
      <c r="G122" s="153" t="str">
        <f>IFERROR(__xludf.DUMMYFUNCTION("""COMPUTED_VALUE"""),"CAMPO")</f>
        <v>CAMPO</v>
      </c>
      <c r="H122" s="153" t="str">
        <f>IFERROR(__xludf.DUMMYFUNCTION("""COMPUTED_VALUE"""),"OPERACIONES")</f>
        <v>OPERACIONES</v>
      </c>
      <c r="I122" s="158" t="str">
        <f>IFERROR(__xludf.DUMMYFUNCTION("""COMPUTED_VALUE"""),"TECNICO DE SERVICIOS")</f>
        <v>TECNICO DE SERVICIOS</v>
      </c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</row>
    <row r="123">
      <c r="A123" s="155">
        <f>IFERROR(__xludf.DUMMYFUNCTION("""COMPUTED_VALUE"""),149.0)</f>
        <v>149</v>
      </c>
      <c r="B123" s="156"/>
      <c r="C123" s="157" t="str">
        <f>IFERROR(__xludf.DUMMYFUNCTION("""COMPUTED_VALUE"""),"74621559")</f>
        <v>74621559</v>
      </c>
      <c r="D123" s="158" t="str">
        <f>IFERROR(__xludf.DUMMYFUNCTION("""COMPUTED_VALUE"""),"LOPEZ MAMANI DANNY YORDAN")</f>
        <v>LOPEZ MAMANI DANNY YORDAN</v>
      </c>
      <c r="E123" s="153" t="str">
        <f>IFERROR(__xludf.DUMMYFUNCTION("""COMPUTED_VALUE"""),"EFI")</f>
        <v>EFI</v>
      </c>
      <c r="F123" s="158" t="str">
        <f>IFERROR(__xludf.DUMMYFUNCTION("""COMPUTED_VALUE"""),"ILO")</f>
        <v>ILO</v>
      </c>
      <c r="G123" s="153" t="str">
        <f>IFERROR(__xludf.DUMMYFUNCTION("""COMPUTED_VALUE"""),"OFICINA")</f>
        <v>OFICINA</v>
      </c>
      <c r="H123" s="153" t="str">
        <f>IFERROR(__xludf.DUMMYFUNCTION("""COMPUTED_VALUE"""),"NOC")</f>
        <v>NOC</v>
      </c>
      <c r="I123" s="158" t="str">
        <f>IFERROR(__xludf.DUMMYFUNCTION("""COMPUTED_VALUE"""),"ASISTENTE NOC")</f>
        <v>ASISTENTE NOC</v>
      </c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</row>
    <row r="124">
      <c r="A124" s="155">
        <f>IFERROR(__xludf.DUMMYFUNCTION("""COMPUTED_VALUE"""),162.0)</f>
        <v>162</v>
      </c>
      <c r="B124" s="156">
        <f>IFERROR(__xludf.DUMMYFUNCTION("""COMPUTED_VALUE"""),45628.0)</f>
        <v>45628</v>
      </c>
      <c r="C124" s="157" t="str">
        <f>IFERROR(__xludf.DUMMYFUNCTION("""COMPUTED_VALUE"""),"71004513")</f>
        <v>71004513</v>
      </c>
      <c r="D124" s="158" t="str">
        <f>IFERROR(__xludf.DUMMYFUNCTION("""COMPUTED_VALUE"""),"RAMOS RAMOS, JANET MARITZA")</f>
        <v>RAMOS RAMOS, JANET MARITZA</v>
      </c>
      <c r="E124" s="153" t="str">
        <f>IFERROR(__xludf.DUMMYFUNCTION("""COMPUTED_VALUE"""),"PAL")</f>
        <v>PAL</v>
      </c>
      <c r="F124" s="158" t="str">
        <f>IFERROR(__xludf.DUMMYFUNCTION("""COMPUTED_VALUE"""),"ILO")</f>
        <v>ILO</v>
      </c>
      <c r="G124" s="153" t="str">
        <f>IFERROR(__xludf.DUMMYFUNCTION("""COMPUTED_VALUE"""),"OFICINA")</f>
        <v>OFICINA</v>
      </c>
      <c r="H124" s="153" t="str">
        <f>IFERROR(__xludf.DUMMYFUNCTION("""COMPUTED_VALUE"""),"CONTAC CENTER")</f>
        <v>CONTAC CENTER</v>
      </c>
      <c r="I124" s="158" t="str">
        <f>IFERROR(__xludf.DUMMYFUNCTION("""COMPUTED_VALUE"""),"ASESOR DE CONTACT CENTER")</f>
        <v>ASESOR DE CONTACT CENTER</v>
      </c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</row>
    <row r="125">
      <c r="A125" s="155">
        <f>IFERROR(__xludf.DUMMYFUNCTION("""COMPUTED_VALUE"""),152.0)</f>
        <v>152</v>
      </c>
      <c r="B125" s="156"/>
      <c r="C125" s="157" t="str">
        <f>IFERROR(__xludf.DUMMYFUNCTION("""COMPUTED_VALUE"""),"72522381")</f>
        <v>72522381</v>
      </c>
      <c r="D125" s="158" t="str">
        <f>IFERROR(__xludf.DUMMYFUNCTION("""COMPUTED_VALUE"""),"PEÑARANDA PERALTA, BRUNO VICTOR")</f>
        <v>PEÑARANDA PERALTA, BRUNO VICTOR</v>
      </c>
      <c r="E125" s="153" t="str">
        <f>IFERROR(__xludf.DUMMYFUNCTION("""COMPUTED_VALUE"""),"ALM")</f>
        <v>ALM</v>
      </c>
      <c r="F125" s="158" t="str">
        <f>IFERROR(__xludf.DUMMYFUNCTION("""COMPUTED_VALUE"""),"AREQUIPA")</f>
        <v>AREQUIPA</v>
      </c>
      <c r="G125" s="153" t="str">
        <f>IFERROR(__xludf.DUMMYFUNCTION("""COMPUTED_VALUE"""),"OFICINA")</f>
        <v>OFICINA</v>
      </c>
      <c r="H125" s="153" t="str">
        <f>IFERROR(__xludf.DUMMYFUNCTION("""COMPUTED_VALUE"""),"EJECUTIVO")</f>
        <v>EJECUTIVO</v>
      </c>
      <c r="I125" s="158" t="str">
        <f>IFERROR(__xludf.DUMMYFUNCTION("""COMPUTED_VALUE"""),"ANALISTA DE DATA
")</f>
        <v>ANALISTA DE DATA
</v>
      </c>
      <c r="J125" s="155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</row>
    <row r="126">
      <c r="A126" s="155">
        <f>IFERROR(__xludf.DUMMYFUNCTION("""COMPUTED_VALUE"""),81.0)</f>
        <v>81</v>
      </c>
      <c r="B126" s="156"/>
      <c r="C126" s="157" t="str">
        <f>IFERROR(__xludf.DUMMYFUNCTION("""COMPUTED_VALUE"""),"70619241")</f>
        <v>70619241</v>
      </c>
      <c r="D126" s="158" t="str">
        <f>IFERROR(__xludf.DUMMYFUNCTION("""COMPUTED_VALUE"""),"VELASQUEZ RAMIREZ, ELIAN DENISSE")</f>
        <v>VELASQUEZ RAMIREZ, ELIAN DENISSE</v>
      </c>
      <c r="E126" s="153" t="str">
        <f>IFERROR(__xludf.DUMMYFUNCTION("""COMPUTED_VALUE"""),"EFI")</f>
        <v>EFI</v>
      </c>
      <c r="F126" s="158" t="str">
        <f>IFERROR(__xludf.DUMMYFUNCTION("""COMPUTED_VALUE"""),"ILO")</f>
        <v>ILO</v>
      </c>
      <c r="G126" s="153" t="str">
        <f>IFERROR(__xludf.DUMMYFUNCTION("""COMPUTED_VALUE"""),"OFICINA")</f>
        <v>OFICINA</v>
      </c>
      <c r="H126" s="153" t="str">
        <f>IFERROR(__xludf.DUMMYFUNCTION("""COMPUTED_VALUE"""),"COMERCIAL")</f>
        <v>COMERCIAL</v>
      </c>
      <c r="I126" s="158" t="str">
        <f>IFERROR(__xludf.DUMMYFUNCTION("""COMPUTED_VALUE"""),"ASISTENTE ADMINISTRACION DE VENTAS")</f>
        <v>ASISTENTE ADMINISTRACION DE VENTAS</v>
      </c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</row>
    <row r="127">
      <c r="A127" s="155">
        <f>IFERROR(__xludf.DUMMYFUNCTION("""COMPUTED_VALUE"""),79.0)</f>
        <v>79</v>
      </c>
      <c r="B127" s="156">
        <f>IFERROR(__xludf.DUMMYFUNCTION("""COMPUTED_VALUE"""),45566.0)</f>
        <v>45566</v>
      </c>
      <c r="C127" s="157" t="str">
        <f>IFERROR(__xludf.DUMMYFUNCTION("""COMPUTED_VALUE"""),"75165094")</f>
        <v>75165094</v>
      </c>
      <c r="D127" s="158" t="str">
        <f>IFERROR(__xludf.DUMMYFUNCTION("""COMPUTED_VALUE"""),"PACSI RUMICHE, GIANNELY SUJEY")</f>
        <v>PACSI RUMICHE, GIANNELY SUJEY</v>
      </c>
      <c r="E127" s="158" t="str">
        <f>IFERROR(__xludf.DUMMYFUNCTION("""COMPUTED_VALUE"""),"PAL")</f>
        <v>PAL</v>
      </c>
      <c r="F127" s="158" t="str">
        <f>IFERROR(__xludf.DUMMYFUNCTION("""COMPUTED_VALUE"""),"ILO")</f>
        <v>ILO</v>
      </c>
      <c r="G127" s="158" t="str">
        <f>IFERROR(__xludf.DUMMYFUNCTION("""COMPUTED_VALUE"""),"OFICINA")</f>
        <v>OFICINA</v>
      </c>
      <c r="H127" s="153" t="str">
        <f>IFERROR(__xludf.DUMMYFUNCTION("""COMPUTED_VALUE"""),"CONTAC CENTER")</f>
        <v>CONTAC CENTER</v>
      </c>
      <c r="I127" s="158" t="str">
        <f>IFERROR(__xludf.DUMMYFUNCTION("""COMPUTED_VALUE"""),"ASESOR DE CONTACT CENTER")</f>
        <v>ASESOR DE CONTACT CENTER</v>
      </c>
      <c r="J127" s="155"/>
      <c r="K127" s="158"/>
      <c r="L127" s="158"/>
      <c r="M127" s="159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</row>
    <row r="128">
      <c r="A128" s="155">
        <f>IFERROR(__xludf.DUMMYFUNCTION("""COMPUTED_VALUE"""),80.0)</f>
        <v>80</v>
      </c>
      <c r="B128" s="156"/>
      <c r="C128" s="157" t="str">
        <f>IFERROR(__xludf.DUMMYFUNCTION("""COMPUTED_VALUE"""),"72899884")</f>
        <v>72899884</v>
      </c>
      <c r="D128" s="158" t="str">
        <f>IFERROR(__xludf.DUMMYFUNCTION("""COMPUTED_VALUE"""),"VARGAS CHACON, ROMINA SARAIDT")</f>
        <v>VARGAS CHACON, ROMINA SARAIDT</v>
      </c>
      <c r="E128" s="153" t="str">
        <f>IFERROR(__xludf.DUMMYFUNCTION("""COMPUTED_VALUE"""),"EFI")</f>
        <v>EFI</v>
      </c>
      <c r="F128" s="158" t="str">
        <f>IFERROR(__xludf.DUMMYFUNCTION("""COMPUTED_VALUE"""),"ILO")</f>
        <v>ILO</v>
      </c>
      <c r="G128" s="153" t="str">
        <f>IFERROR(__xludf.DUMMYFUNCTION("""COMPUTED_VALUE"""),"OFICINA")</f>
        <v>OFICINA</v>
      </c>
      <c r="H128" s="153" t="str">
        <f>IFERROR(__xludf.DUMMYFUNCTION("""COMPUTED_VALUE"""),"ATC")</f>
        <v>ATC</v>
      </c>
      <c r="I128" s="158" t="str">
        <f>IFERROR(__xludf.DUMMYFUNCTION("""COMPUTED_VALUE"""),"ASESOR DE ATENCION AL CLIENTE")</f>
        <v>ASESOR DE ATENCION AL CLIENTE</v>
      </c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</row>
    <row r="129">
      <c r="A129" s="155">
        <f>IFERROR(__xludf.DUMMYFUNCTION("""COMPUTED_VALUE"""),157.0)</f>
        <v>157</v>
      </c>
      <c r="B129" s="156"/>
      <c r="C129" s="157" t="str">
        <f>IFERROR(__xludf.DUMMYFUNCTION("""COMPUTED_VALUE"""),"72759212")</f>
        <v>72759212</v>
      </c>
      <c r="D129" s="158" t="str">
        <f>IFERROR(__xludf.DUMMYFUNCTION("""COMPUTED_VALUE"""),"HERRERA UGARTE, EDUARDO ANTONIO")</f>
        <v>HERRERA UGARTE, EDUARDO ANTONIO</v>
      </c>
      <c r="E129" s="153" t="str">
        <f>IFERROR(__xludf.DUMMYFUNCTION("""COMPUTED_VALUE"""),"EFI")</f>
        <v>EFI</v>
      </c>
      <c r="F129" s="158" t="str">
        <f>IFERROR(__xludf.DUMMYFUNCTION("""COMPUTED_VALUE"""),"AREQUIPA")</f>
        <v>AREQUIPA</v>
      </c>
      <c r="G129" s="158" t="str">
        <f>IFERROR(__xludf.DUMMYFUNCTION("""COMPUTED_VALUE"""),"OFICINA")</f>
        <v>OFICINA</v>
      </c>
      <c r="H129" s="158" t="str">
        <f>IFERROR(__xludf.DUMMYFUNCTION("""COMPUTED_VALUE"""),"COMERCIAL")</f>
        <v>COMERCIAL</v>
      </c>
      <c r="I129" s="158" t="str">
        <f>IFERROR(__xludf.DUMMYFUNCTION("""COMPUTED_VALUE"""),"CAPACITADOR COMERCIAL")</f>
        <v>CAPACITADOR COMERCIAL</v>
      </c>
      <c r="J129" s="155"/>
      <c r="K129" s="158"/>
      <c r="L129" s="158"/>
      <c r="M129" s="159"/>
      <c r="N129" s="158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</row>
    <row r="130">
      <c r="A130" s="155">
        <f>IFERROR(__xludf.DUMMYFUNCTION("""COMPUTED_VALUE"""),158.0)</f>
        <v>158</v>
      </c>
      <c r="B130" s="156"/>
      <c r="C130" s="157" t="str">
        <f>IFERROR(__xludf.DUMMYFUNCTION("""COMPUTED_VALUE"""),"-")</f>
        <v>-</v>
      </c>
      <c r="D130" s="158" t="str">
        <f>IFERROR(__xludf.DUMMYFUNCTION("""COMPUTED_VALUE"""),"JESUS ALBERTO CHAVEZ GALLEGOS")</f>
        <v>JESUS ALBERTO CHAVEZ GALLEGOS</v>
      </c>
      <c r="E130" s="153"/>
      <c r="F130" s="158" t="str">
        <f>IFERROR(__xludf.DUMMYFUNCTION("""COMPUTED_VALUE"""),"ILO")</f>
        <v>ILO</v>
      </c>
      <c r="G130" s="158"/>
      <c r="H130" s="158"/>
      <c r="I130" s="158" t="str">
        <f>IFERROR(__xludf.DUMMYFUNCTION("""COMPUTED_VALUE"""),"VIGILANTE")</f>
        <v>VIGILANTE</v>
      </c>
      <c r="J130" s="158"/>
      <c r="K130" s="158"/>
      <c r="L130" s="158"/>
      <c r="M130" s="159"/>
      <c r="N130" s="158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</row>
    <row r="131">
      <c r="A131" s="155">
        <f>IFERROR(__xludf.DUMMYFUNCTION("""COMPUTED_VALUE"""),159.0)</f>
        <v>159</v>
      </c>
      <c r="B131" s="156"/>
      <c r="C131" s="157" t="str">
        <f>IFERROR(__xludf.DUMMYFUNCTION("""COMPUTED_VALUE"""),"41290450")</f>
        <v>41290450</v>
      </c>
      <c r="D131" s="158" t="str">
        <f>IFERROR(__xludf.DUMMYFUNCTION("""COMPUTED_VALUE"""),"JARA LOPEZ, ORLANDO")</f>
        <v>JARA LOPEZ, ORLANDO</v>
      </c>
      <c r="E131" s="153" t="str">
        <f>IFERROR(__xludf.DUMMYFUNCTION("""COMPUTED_VALUE"""),"ALM")</f>
        <v>ALM</v>
      </c>
      <c r="F131" s="158" t="str">
        <f>IFERROR(__xludf.DUMMYFUNCTION("""COMPUTED_VALUE"""),"AREQUIPA")</f>
        <v>AREQUIPA</v>
      </c>
      <c r="G131" s="158" t="str">
        <f>IFERROR(__xludf.DUMMYFUNCTION("""COMPUTED_VALUE"""),"OFICINA")</f>
        <v>OFICINA</v>
      </c>
      <c r="H131" s="158" t="str">
        <f>IFERROR(__xludf.DUMMYFUNCTION("""COMPUTED_VALUE"""),"COMERCIAL")</f>
        <v>COMERCIAL</v>
      </c>
      <c r="I131" s="158" t="str">
        <f>IFERROR(__xludf.DUMMYFUNCTION("""COMPUTED_VALUE"""),"JEFE DE MARKETING")</f>
        <v>JEFE DE MARKETING</v>
      </c>
      <c r="J131" s="158"/>
      <c r="K131" s="158"/>
      <c r="L131" s="158"/>
      <c r="M131" s="159"/>
      <c r="N131" s="158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</row>
    <row r="132">
      <c r="A132" s="155">
        <f>IFERROR(__xludf.DUMMYFUNCTION("""COMPUTED_VALUE"""),161.0)</f>
        <v>161</v>
      </c>
      <c r="B132" s="156"/>
      <c r="C132" s="157" t="str">
        <f>IFERROR(__xludf.DUMMYFUNCTION("""COMPUTED_VALUE"""),"70007213")</f>
        <v>70007213</v>
      </c>
      <c r="D132" s="158" t="str">
        <f>IFERROR(__xludf.DUMMYFUNCTION("""COMPUTED_VALUE"""),"ZEGARRA TORRES, EDUARDO ANTONIO")</f>
        <v>ZEGARRA TORRES, EDUARDO ANTONIO</v>
      </c>
      <c r="E132" s="153" t="str">
        <f>IFERROR(__xludf.DUMMYFUNCTION("""COMPUTED_VALUE"""),"ALM")</f>
        <v>ALM</v>
      </c>
      <c r="F132" s="158" t="str">
        <f>IFERROR(__xludf.DUMMYFUNCTION("""COMPUTED_VALUE"""),"AREQUIPA")</f>
        <v>AREQUIPA</v>
      </c>
      <c r="G132" s="158" t="str">
        <f>IFERROR(__xludf.DUMMYFUNCTION("""COMPUTED_VALUE"""),"OFICINA")</f>
        <v>OFICINA</v>
      </c>
      <c r="H132" s="153" t="str">
        <f>IFERROR(__xludf.DUMMYFUNCTION("""COMPUTED_VALUE"""),"COMERCIAL")</f>
        <v>COMERCIAL</v>
      </c>
      <c r="I132" s="158" t="str">
        <f>IFERROR(__xludf.DUMMYFUNCTION("""COMPUTED_VALUE"""),"COORDINADOR DE MARCA Y REDES")</f>
        <v>COORDINADOR DE MARCA Y REDES</v>
      </c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</row>
    <row r="133">
      <c r="A133" s="155">
        <f>IFERROR(__xludf.DUMMYFUNCTION("""COMPUTED_VALUE"""),74.0)</f>
        <v>74</v>
      </c>
      <c r="B133" s="156">
        <f>IFERROR(__xludf.DUMMYFUNCTION("""COMPUTED_VALUE"""),45566.0)</f>
        <v>45566</v>
      </c>
      <c r="C133" s="157" t="str">
        <f>IFERROR(__xludf.DUMMYFUNCTION("""COMPUTED_VALUE"""),"76922708")</f>
        <v>76922708</v>
      </c>
      <c r="D133" s="158" t="str">
        <f>IFERROR(__xludf.DUMMYFUNCTION("""COMPUTED_VALUE"""),"GUTIERREZ MANDO, JHONATHAN MARVIN")</f>
        <v>GUTIERREZ MANDO, JHONATHAN MARVIN</v>
      </c>
      <c r="E133" s="153" t="str">
        <f>IFERROR(__xludf.DUMMYFUNCTION("""COMPUTED_VALUE"""),"PAL")</f>
        <v>PAL</v>
      </c>
      <c r="F133" s="158" t="str">
        <f>IFERROR(__xludf.DUMMYFUNCTION("""COMPUTED_VALUE"""),"AREQUIPA")</f>
        <v>AREQUIPA</v>
      </c>
      <c r="G133" s="158" t="str">
        <f>IFERROR(__xludf.DUMMYFUNCTION("""COMPUTED_VALUE"""),"OFICINA")</f>
        <v>OFICINA</v>
      </c>
      <c r="H133" s="153" t="str">
        <f>IFERROR(__xludf.DUMMYFUNCTION("""COMPUTED_VALUE"""),"TELEVENTAS")</f>
        <v>TELEVENTAS</v>
      </c>
      <c r="I133" s="158" t="str">
        <f>IFERROR(__xludf.DUMMYFUNCTION("""COMPUTED_VALUE"""),"ASESOR DE TELEVENTAS")</f>
        <v>ASESOR DE TELEVENTAS</v>
      </c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</row>
    <row r="134">
      <c r="A134" s="155">
        <f>IFERROR(__xludf.DUMMYFUNCTION("""COMPUTED_VALUE"""),165.0)</f>
        <v>165</v>
      </c>
      <c r="B134" s="156"/>
      <c r="C134" s="157" t="str">
        <f>IFERROR(__xludf.DUMMYFUNCTION("""COMPUTED_VALUE"""),"76203918")</f>
        <v>76203918</v>
      </c>
      <c r="D134" s="158" t="str">
        <f>IFERROR(__xludf.DUMMYFUNCTION("""COMPUTED_VALUE"""),"SHIBATA CHAVEZ, ALBERTO GABRIEL")</f>
        <v>SHIBATA CHAVEZ, ALBERTO GABRIEL</v>
      </c>
      <c r="E134" s="153" t="str">
        <f>IFERROR(__xludf.DUMMYFUNCTION("""COMPUTED_VALUE"""),"WPL")</f>
        <v>WPL</v>
      </c>
      <c r="F134" s="158" t="str">
        <f>IFERROR(__xludf.DUMMYFUNCTION("""COMPUTED_VALUE"""),"ILO")</f>
        <v>ILO</v>
      </c>
      <c r="G134" s="158" t="str">
        <f>IFERROR(__xludf.DUMMYFUNCTION("""COMPUTED_VALUE"""),"OFICINA")</f>
        <v>OFICINA</v>
      </c>
      <c r="H134" s="153" t="str">
        <f>IFERROR(__xludf.DUMMYFUNCTION("""COMPUTED_VALUE"""),"CONTAC CENTER")</f>
        <v>CONTAC CENTER</v>
      </c>
      <c r="I134" s="158" t="str">
        <f>IFERROR(__xludf.DUMMYFUNCTION("""COMPUTED_VALUE"""),"ASESOR DE CONTACT CENTER")</f>
        <v>ASESOR DE CONTACT CENTER</v>
      </c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</row>
    <row r="135">
      <c r="A135" s="155">
        <f>IFERROR(__xludf.DUMMYFUNCTION("""COMPUTED_VALUE"""),46.0)</f>
        <v>46</v>
      </c>
      <c r="B135" s="156">
        <f>IFERROR(__xludf.DUMMYFUNCTION("""COMPUTED_VALUE"""),45566.0)</f>
        <v>45566</v>
      </c>
      <c r="C135" s="157" t="str">
        <f>IFERROR(__xludf.DUMMYFUNCTION("""COMPUTED_VALUE"""),"70211609")</f>
        <v>70211609</v>
      </c>
      <c r="D135" s="158" t="str">
        <f>IFERROR(__xludf.DUMMYFUNCTION("""COMPUTED_VALUE"""),"HUANCA CACERES, ELIANA JOAN")</f>
        <v>HUANCA CACERES, ELIANA JOAN</v>
      </c>
      <c r="E135" s="153" t="str">
        <f>IFERROR(__xludf.DUMMYFUNCTION("""COMPUTED_VALUE"""),"PAL")</f>
        <v>PAL</v>
      </c>
      <c r="F135" s="158" t="str">
        <f>IFERROR(__xludf.DUMMYFUNCTION("""COMPUTED_VALUE"""),"ILO")</f>
        <v>ILO</v>
      </c>
      <c r="G135" s="158" t="str">
        <f>IFERROR(__xludf.DUMMYFUNCTION("""COMPUTED_VALUE"""),"OFICINA")</f>
        <v>OFICINA</v>
      </c>
      <c r="H135" s="153" t="str">
        <f>IFERROR(__xludf.DUMMYFUNCTION("""COMPUTED_VALUE"""),"CONTAC CENTER")</f>
        <v>CONTAC CENTER</v>
      </c>
      <c r="I135" s="158" t="str">
        <f>IFERROR(__xludf.DUMMYFUNCTION("""COMPUTED_VALUE"""),"ASESOR DE CONTACT CENTER")</f>
        <v>ASESOR DE CONTACT CENTER</v>
      </c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</row>
    <row r="136">
      <c r="A136" s="155">
        <f>IFERROR(__xludf.DUMMYFUNCTION("""COMPUTED_VALUE"""),167.0)</f>
        <v>167</v>
      </c>
      <c r="B136" s="156"/>
      <c r="C136" s="157" t="str">
        <f>IFERROR(__xludf.DUMMYFUNCTION("""COMPUTED_VALUE"""),"42810792")</f>
        <v>42810792</v>
      </c>
      <c r="D136" s="158" t="str">
        <f>IFERROR(__xludf.DUMMYFUNCTION("""COMPUTED_VALUE"""),"FRANK NESSPOAL, SONCCO CORNEJO")</f>
        <v>FRANK NESSPOAL, SONCCO CORNEJO</v>
      </c>
      <c r="E136" s="153" t="str">
        <f>IFERROR(__xludf.DUMMYFUNCTION("""COMPUTED_VALUE"""),"ALM")</f>
        <v>ALM</v>
      </c>
      <c r="F136" s="158" t="str">
        <f>IFERROR(__xludf.DUMMYFUNCTION("""COMPUTED_VALUE"""),"AREQUIPA")</f>
        <v>AREQUIPA</v>
      </c>
      <c r="G136" s="158" t="str">
        <f>IFERROR(__xludf.DUMMYFUNCTION("""COMPUTED_VALUE"""),"OFICINA")</f>
        <v>OFICINA</v>
      </c>
      <c r="H136" s="153" t="str">
        <f>IFERROR(__xludf.DUMMYFUNCTION("""COMPUTED_VALUE"""),"-")</f>
        <v>-</v>
      </c>
      <c r="I136" s="158" t="str">
        <f>IFERROR(__xludf.DUMMYFUNCTION("""COMPUTED_VALUE"""),"GERENTE DE NEGOCIOS")</f>
        <v>GERENTE DE NEGOCIOS</v>
      </c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</row>
    <row r="137">
      <c r="A137" s="155">
        <f>IFERROR(__xludf.DUMMYFUNCTION("""COMPUTED_VALUE"""),168.0)</f>
        <v>168</v>
      </c>
      <c r="B137" s="156"/>
      <c r="C137" s="157" t="str">
        <f>IFERROR(__xludf.DUMMYFUNCTION("""COMPUTED_VALUE"""),"73099452")</f>
        <v>73099452</v>
      </c>
      <c r="D137" s="158" t="str">
        <f>IFERROR(__xludf.DUMMYFUNCTION("""COMPUTED_VALUE"""),"URRUTIA QUEQUEZANA, BRUNO")</f>
        <v>URRUTIA QUEQUEZANA, BRUNO</v>
      </c>
      <c r="E137" s="153" t="str">
        <f>IFERROR(__xludf.DUMMYFUNCTION("""COMPUTED_VALUE"""),"ALM")</f>
        <v>ALM</v>
      </c>
      <c r="F137" s="158" t="str">
        <f>IFERROR(__xludf.DUMMYFUNCTION("""COMPUTED_VALUE"""),"AREQUIPA")</f>
        <v>AREQUIPA</v>
      </c>
      <c r="G137" s="158" t="str">
        <f>IFERROR(__xludf.DUMMYFUNCTION("""COMPUTED_VALUE"""),"OFICINA")</f>
        <v>OFICINA</v>
      </c>
      <c r="H137" s="153" t="str">
        <f>IFERROR(__xludf.DUMMYFUNCTION("""COMPUTED_VALUE"""),"FINANZAS")</f>
        <v>FINANZAS</v>
      </c>
      <c r="I137" s="158" t="str">
        <f>IFERROR(__xludf.DUMMYFUNCTION("""COMPUTED_VALUE"""),"ANALISTA FINANCIERO")</f>
        <v>ANALISTA FINANCIERO</v>
      </c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</row>
    <row r="138">
      <c r="A138" s="155">
        <f>IFERROR(__xludf.DUMMYFUNCTION("""COMPUTED_VALUE"""),169.0)</f>
        <v>169</v>
      </c>
      <c r="B138" s="156"/>
      <c r="C138" s="157" t="str">
        <f>IFERROR(__xludf.DUMMYFUNCTION("""COMPUTED_VALUE"""),"45046249")</f>
        <v>45046249</v>
      </c>
      <c r="D138" s="158" t="str">
        <f>IFERROR(__xludf.DUMMYFUNCTION("""COMPUTED_VALUE"""),"PUENTE SATISTEBAN, MANUEL")</f>
        <v>PUENTE SATISTEBAN, MANUEL</v>
      </c>
      <c r="E138" s="153" t="str">
        <f>IFERROR(__xludf.DUMMYFUNCTION("""COMPUTED_VALUE"""),"ALM")</f>
        <v>ALM</v>
      </c>
      <c r="F138" s="158" t="str">
        <f>IFERROR(__xludf.DUMMYFUNCTION("""COMPUTED_VALUE"""),"AREQUIPA")</f>
        <v>AREQUIPA</v>
      </c>
      <c r="G138" s="158" t="str">
        <f>IFERROR(__xludf.DUMMYFUNCTION("""COMPUTED_VALUE"""),"OFICINA")</f>
        <v>OFICINA</v>
      </c>
      <c r="H138" s="153" t="str">
        <f>IFERROR(__xludf.DUMMYFUNCTION("""COMPUTED_VALUE"""),"TELEVENTAS")</f>
        <v>TELEVENTAS</v>
      </c>
      <c r="I138" s="158" t="str">
        <f>IFERROR(__xludf.DUMMYFUNCTION("""COMPUTED_VALUE"""),"JEFE DE TELEVENTAS")</f>
        <v>JEFE DE TELEVENTAS</v>
      </c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</row>
    <row r="139">
      <c r="A139" s="155">
        <f>IFERROR(__xludf.DUMMYFUNCTION("""COMPUTED_VALUE"""),170.0)</f>
        <v>170</v>
      </c>
      <c r="B139" s="156"/>
      <c r="C139" s="157" t="str">
        <f>IFERROR(__xludf.DUMMYFUNCTION("""COMPUTED_VALUE"""),"73087005")</f>
        <v>73087005</v>
      </c>
      <c r="D139" s="157" t="str">
        <f>IFERROR(__xludf.DUMMYFUNCTION("""COMPUTED_VALUE"""),"CASTILLO CHURA, EDITH LUZ MARINA")</f>
        <v>CASTILLO CHURA, EDITH LUZ MARINA</v>
      </c>
      <c r="E139" s="153" t="str">
        <f>IFERROR(__xludf.DUMMYFUNCTION("""COMPUTED_VALUE"""),"EFI")</f>
        <v>EFI</v>
      </c>
      <c r="F139" s="158" t="str">
        <f>IFERROR(__xludf.DUMMYFUNCTION("""COMPUTED_VALUE"""),"ILO")</f>
        <v>ILO</v>
      </c>
      <c r="G139" s="158" t="str">
        <f>IFERROR(__xludf.DUMMYFUNCTION("""COMPUTED_VALUE"""),"OFICINA")</f>
        <v>OFICINA</v>
      </c>
      <c r="H139" s="153" t="str">
        <f>IFERROR(__xludf.DUMMYFUNCTION("""COMPUTED_VALUE"""),"CONTABILIDAD")</f>
        <v>CONTABILIDAD</v>
      </c>
      <c r="I139" s="158" t="str">
        <f>IFERROR(__xludf.DUMMYFUNCTION("""COMPUTED_VALUE"""),"ASISTENTE CONTABLE")</f>
        <v>ASISTENTE CONTABLE</v>
      </c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</row>
    <row r="140">
      <c r="A140" s="155">
        <f>IFERROR(__xludf.DUMMYFUNCTION("""COMPUTED_VALUE"""),171.0)</f>
        <v>171</v>
      </c>
      <c r="B140" s="156"/>
      <c r="C140" s="157" t="str">
        <f>IFERROR(__xludf.DUMMYFUNCTION("""COMPUTED_VALUE"""),"60596789        ")</f>
        <v>60596789        </v>
      </c>
      <c r="D140" s="157" t="str">
        <f>IFERROR(__xludf.DUMMYFUNCTION("""COMPUTED_VALUE"""),"PACUALA AIQUIPA RINA MERCEDES
")</f>
        <v>PACUALA AIQUIPA RINA MERCEDES
</v>
      </c>
      <c r="E140" s="158"/>
      <c r="F140" s="158" t="str">
        <f>IFERROR(__xludf.DUMMYFUNCTION("""COMPUTED_VALUE"""),"AREQUIPA")</f>
        <v>AREQUIPA</v>
      </c>
      <c r="G140" s="158" t="str">
        <f>IFERROR(__xludf.DUMMYFUNCTION("""COMPUTED_VALUE"""),"CAMPO")</f>
        <v>CAMPO</v>
      </c>
      <c r="H140" s="158" t="str">
        <f>IFERROR(__xludf.DUMMYFUNCTION("""COMPUTED_VALUE"""),"VENTAS")</f>
        <v>VENTAS</v>
      </c>
      <c r="I140" s="158" t="str">
        <f>IFERROR(__xludf.DUMMYFUNCTION("""COMPUTED_VALUE"""),"PROMOTOR DE VENTAS DE CAMPO")</f>
        <v>PROMOTOR DE VENTAS DE CAMPO</v>
      </c>
      <c r="J140" s="155"/>
      <c r="K140" s="158"/>
      <c r="L140" s="158"/>
      <c r="M140" s="159"/>
      <c r="N140" s="158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</row>
    <row r="141">
      <c r="A141" s="155">
        <f>IFERROR(__xludf.DUMMYFUNCTION("""COMPUTED_VALUE"""),172.0)</f>
        <v>172</v>
      </c>
      <c r="B141" s="156"/>
      <c r="C141" s="157" t="str">
        <f>IFERROR(__xludf.DUMMYFUNCTION("""COMPUTED_VALUE"""),"77201475")</f>
        <v>77201475</v>
      </c>
      <c r="D141" s="157" t="str">
        <f>IFERROR(__xludf.DUMMYFUNCTION("""COMPUTED_VALUE"""),"CCAHUA PUMA ERIKA KATHERIN")</f>
        <v>CCAHUA PUMA ERIKA KATHERIN</v>
      </c>
      <c r="E141" s="158"/>
      <c r="F141" s="158" t="str">
        <f>IFERROR(__xludf.DUMMYFUNCTION("""COMPUTED_VALUE"""),"AREQUIPA")</f>
        <v>AREQUIPA</v>
      </c>
      <c r="G141" s="158" t="str">
        <f>IFERROR(__xludf.DUMMYFUNCTION("""COMPUTED_VALUE"""),"CAMPO")</f>
        <v>CAMPO</v>
      </c>
      <c r="H141" s="158" t="str">
        <f>IFERROR(__xludf.DUMMYFUNCTION("""COMPUTED_VALUE"""),"VENTAS")</f>
        <v>VENTAS</v>
      </c>
      <c r="I141" s="158" t="str">
        <f>IFERROR(__xludf.DUMMYFUNCTION("""COMPUTED_VALUE"""),"PROMOTOR DE VENTAS DE CAMPO")</f>
        <v>PROMOTOR DE VENTAS DE CAMPO</v>
      </c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</row>
    <row r="142">
      <c r="A142" s="155">
        <f>IFERROR(__xludf.DUMMYFUNCTION("""COMPUTED_VALUE"""),173.0)</f>
        <v>173</v>
      </c>
      <c r="B142" s="156"/>
      <c r="C142" s="157" t="str">
        <f>IFERROR(__xludf.DUMMYFUNCTION("""COMPUTED_VALUE"""),"74860564")</f>
        <v>74860564</v>
      </c>
      <c r="D142" s="157" t="str">
        <f>IFERROR(__xludf.DUMMYFUNCTION("""COMPUTED_VALUE"""),"CHAVEZ RODRIGUEZ BETHZY ALEJANDRA")</f>
        <v>CHAVEZ RODRIGUEZ BETHZY ALEJANDRA</v>
      </c>
      <c r="E142" s="153"/>
      <c r="F142" s="158" t="str">
        <f>IFERROR(__xludf.DUMMYFUNCTION("""COMPUTED_VALUE"""),"AREQUIPA")</f>
        <v>AREQUIPA</v>
      </c>
      <c r="G142" s="158" t="str">
        <f>IFERROR(__xludf.DUMMYFUNCTION("""COMPUTED_VALUE"""),"CAMPO")</f>
        <v>CAMPO</v>
      </c>
      <c r="H142" s="158" t="str">
        <f>IFERROR(__xludf.DUMMYFUNCTION("""COMPUTED_VALUE"""),"VENTAS")</f>
        <v>VENTAS</v>
      </c>
      <c r="I142" s="158" t="str">
        <f>IFERROR(__xludf.DUMMYFUNCTION("""COMPUTED_VALUE"""),"PROMOTOR DE VENTAS DE CAMPO")</f>
        <v>PROMOTOR DE VENTAS DE CAMPO</v>
      </c>
      <c r="J142" s="155"/>
      <c r="K142" s="158"/>
      <c r="L142" s="158"/>
      <c r="M142" s="159"/>
      <c r="N142" s="158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</row>
    <row r="143">
      <c r="A143" s="155">
        <f>IFERROR(__xludf.DUMMYFUNCTION("""COMPUTED_VALUE"""),174.0)</f>
        <v>174</v>
      </c>
      <c r="B143" s="156"/>
      <c r="C143" s="157" t="str">
        <f>IFERROR(__xludf.DUMMYFUNCTION("""COMPUTED_VALUE"""),"74026169")</f>
        <v>74026169</v>
      </c>
      <c r="D143" s="157" t="str">
        <f>IFERROR(__xludf.DUMMYFUNCTION("""COMPUTED_VALUE"""),"BEGAZO ZAPATA LILIAN DANIELA")</f>
        <v>BEGAZO ZAPATA LILIAN DANIELA</v>
      </c>
      <c r="E143" s="158"/>
      <c r="F143" s="158" t="str">
        <f>IFERROR(__xludf.DUMMYFUNCTION("""COMPUTED_VALUE"""),"AREQUIPA")</f>
        <v>AREQUIPA</v>
      </c>
      <c r="G143" s="158" t="str">
        <f>IFERROR(__xludf.DUMMYFUNCTION("""COMPUTED_VALUE"""),"CAMPO")</f>
        <v>CAMPO</v>
      </c>
      <c r="H143" s="158" t="str">
        <f>IFERROR(__xludf.DUMMYFUNCTION("""COMPUTED_VALUE"""),"VENTAS")</f>
        <v>VENTAS</v>
      </c>
      <c r="I143" s="158" t="str">
        <f>IFERROR(__xludf.DUMMYFUNCTION("""COMPUTED_VALUE"""),"PROMOTOR DE VENTAS DE CAMPO")</f>
        <v>PROMOTOR DE VENTAS DE CAMPO</v>
      </c>
      <c r="J143" s="155"/>
      <c r="K143" s="158"/>
      <c r="L143" s="158"/>
      <c r="M143" s="159"/>
      <c r="N143" s="158"/>
      <c r="O143" s="153"/>
      <c r="P143" s="158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</row>
    <row r="144">
      <c r="A144" s="155">
        <f>IFERROR(__xludf.DUMMYFUNCTION("""COMPUTED_VALUE"""),175.0)</f>
        <v>175</v>
      </c>
      <c r="B144" s="156"/>
      <c r="C144" s="157" t="str">
        <f>IFERROR(__xludf.DUMMYFUNCTION("""COMPUTED_VALUE"""),"77039709")</f>
        <v>77039709</v>
      </c>
      <c r="D144" s="157" t="str">
        <f>IFERROR(__xludf.DUMMYFUNCTION("""COMPUTED_VALUE"""),"ARIAS GUTIERREZ FERNANDO JOSE")</f>
        <v>ARIAS GUTIERREZ FERNANDO JOSE</v>
      </c>
      <c r="E144" s="158"/>
      <c r="F144" s="158" t="str">
        <f>IFERROR(__xludf.DUMMYFUNCTION("""COMPUTED_VALUE"""),"AREQUIPA")</f>
        <v>AREQUIPA</v>
      </c>
      <c r="G144" s="158" t="str">
        <f>IFERROR(__xludf.DUMMYFUNCTION("""COMPUTED_VALUE"""),"CAMPO")</f>
        <v>CAMPO</v>
      </c>
      <c r="H144" s="158" t="str">
        <f>IFERROR(__xludf.DUMMYFUNCTION("""COMPUTED_VALUE"""),"VENTAS")</f>
        <v>VENTAS</v>
      </c>
      <c r="I144" s="158" t="str">
        <f>IFERROR(__xludf.DUMMYFUNCTION("""COMPUTED_VALUE"""),"PROMOTOR DE VENTAS DE CAMPO")</f>
        <v>PROMOTOR DE VENTAS DE CAMPO</v>
      </c>
      <c r="J144" s="155"/>
      <c r="K144" s="158"/>
      <c r="L144" s="158"/>
      <c r="M144" s="159"/>
      <c r="N144" s="158"/>
      <c r="O144" s="153"/>
      <c r="P144" s="158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</row>
    <row r="145">
      <c r="A145" s="155">
        <f>IFERROR(__xludf.DUMMYFUNCTION("""COMPUTED_VALUE"""),176.0)</f>
        <v>176</v>
      </c>
      <c r="B145" s="156"/>
      <c r="C145" s="157" t="str">
        <f>IFERROR(__xludf.DUMMYFUNCTION("""COMPUTED_VALUE"""),"75839792")</f>
        <v>75839792</v>
      </c>
      <c r="D145" s="157" t="str">
        <f>IFERROR(__xludf.DUMMYFUNCTION("""COMPUTED_VALUE"""),"QUISPE CCOPA, HENRY")</f>
        <v>QUISPE CCOPA, HENRY</v>
      </c>
      <c r="E145" s="158"/>
      <c r="F145" s="158" t="str">
        <f>IFERROR(__xludf.DUMMYFUNCTION("""COMPUTED_VALUE"""),"ILO")</f>
        <v>ILO</v>
      </c>
      <c r="G145" s="158" t="str">
        <f>IFERROR(__xludf.DUMMYFUNCTION("""COMPUTED_VALUE"""),"CAMPO")</f>
        <v>CAMPO</v>
      </c>
      <c r="H145" s="158" t="str">
        <f>IFERROR(__xludf.DUMMYFUNCTION("""COMPUTED_VALUE"""),"OPERACIONES")</f>
        <v>OPERACIONES</v>
      </c>
      <c r="I145" s="158" t="str">
        <f>IFERROR(__xludf.DUMMYFUNCTION("""COMPUTED_VALUE"""),"TECNICO DE PLANTA EXTERNA")</f>
        <v>TECNICO DE PLANTA EXTERNA</v>
      </c>
      <c r="J145" s="155"/>
      <c r="K145" s="158"/>
      <c r="L145" s="158"/>
      <c r="M145" s="159"/>
      <c r="N145" s="158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</row>
    <row r="146">
      <c r="A146" s="155">
        <f>IFERROR(__xludf.DUMMYFUNCTION("""COMPUTED_VALUE"""),177.0)</f>
        <v>177</v>
      </c>
      <c r="B146" s="156">
        <f>IFERROR(__xludf.DUMMYFUNCTION("""COMPUTED_VALUE"""),45566.0)</f>
        <v>45566</v>
      </c>
      <c r="C146" s="157" t="str">
        <f>IFERROR(__xludf.DUMMYFUNCTION("""COMPUTED_VALUE"""),"76590952")</f>
        <v>76590952</v>
      </c>
      <c r="D146" s="157" t="str">
        <f>IFERROR(__xludf.DUMMYFUNCTION("""COMPUTED_VALUE"""),"PACURI MANRIQUE, KARLA DANIELA")</f>
        <v>PACURI MANRIQUE, KARLA DANIELA</v>
      </c>
      <c r="E146" s="158" t="str">
        <f>IFERROR(__xludf.DUMMYFUNCTION("""COMPUTED_VALUE"""),"PAL")</f>
        <v>PAL</v>
      </c>
      <c r="F146" s="158" t="str">
        <f>IFERROR(__xludf.DUMMYFUNCTION("""COMPUTED_VALUE"""),"ILO")</f>
        <v>ILO</v>
      </c>
      <c r="G146" s="158" t="str">
        <f>IFERROR(__xludf.DUMMYFUNCTION("""COMPUTED_VALUE"""),"OFICINA")</f>
        <v>OFICINA</v>
      </c>
      <c r="H146" s="158" t="str">
        <f>IFERROR(__xludf.DUMMYFUNCTION("""COMPUTED_VALUE"""),"CONTAC CENTER")</f>
        <v>CONTAC CENTER</v>
      </c>
      <c r="I146" s="158" t="str">
        <f>IFERROR(__xludf.DUMMYFUNCTION("""COMPUTED_VALUE"""),"ASESOR DE CONTACT CENTER")</f>
        <v>ASESOR DE CONTACT CENTER</v>
      </c>
      <c r="J146" s="155"/>
      <c r="K146" s="158"/>
      <c r="L146" s="158"/>
      <c r="M146" s="159"/>
      <c r="N146" s="158"/>
      <c r="O146" s="153"/>
      <c r="P146" s="158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</row>
    <row r="147">
      <c r="A147" s="155">
        <f>IFERROR(__xludf.DUMMYFUNCTION("""COMPUTED_VALUE"""),178.0)</f>
        <v>178</v>
      </c>
      <c r="B147" s="156">
        <f>IFERROR(__xludf.DUMMYFUNCTION("""COMPUTED_VALUE"""),45566.0)</f>
        <v>45566</v>
      </c>
      <c r="C147" s="157" t="str">
        <f>IFERROR(__xludf.DUMMYFUNCTION("""COMPUTED_VALUE"""),"72631404")</f>
        <v>72631404</v>
      </c>
      <c r="D147" s="157" t="str">
        <f>IFERROR(__xludf.DUMMYFUNCTION("""COMPUTED_VALUE"""),"ROJAS QUISPE, KATHERINE DARLIN")</f>
        <v>ROJAS QUISPE, KATHERINE DARLIN</v>
      </c>
      <c r="E147" s="153" t="str">
        <f>IFERROR(__xludf.DUMMYFUNCTION("""COMPUTED_VALUE"""),"PAL")</f>
        <v>PAL</v>
      </c>
      <c r="F147" s="158" t="str">
        <f>IFERROR(__xludf.DUMMYFUNCTION("""COMPUTED_VALUE"""),"ILO")</f>
        <v>ILO</v>
      </c>
      <c r="G147" s="158" t="str">
        <f>IFERROR(__xludf.DUMMYFUNCTION("""COMPUTED_VALUE"""),"OFICINA")</f>
        <v>OFICINA</v>
      </c>
      <c r="H147" s="158" t="str">
        <f>IFERROR(__xludf.DUMMYFUNCTION("""COMPUTED_VALUE"""),"CONTAC CENTER")</f>
        <v>CONTAC CENTER</v>
      </c>
      <c r="I147" s="158" t="str">
        <f>IFERROR(__xludf.DUMMYFUNCTION("""COMPUTED_VALUE"""),"ASESOR DE CONTACT CENTER")</f>
        <v>ASESOR DE CONTACT CENTER</v>
      </c>
      <c r="J147" s="155"/>
      <c r="K147" s="158"/>
      <c r="L147" s="158"/>
      <c r="M147" s="159"/>
      <c r="N147" s="158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</row>
    <row r="148">
      <c r="A148" s="155">
        <f>IFERROR(__xludf.DUMMYFUNCTION("""COMPUTED_VALUE"""),179.0)</f>
        <v>179</v>
      </c>
      <c r="B148" s="156"/>
      <c r="C148" s="157" t="str">
        <f>IFERROR(__xludf.DUMMYFUNCTION("""COMPUTED_VALUE"""),"76590952")</f>
        <v>76590952</v>
      </c>
      <c r="D148" s="157" t="str">
        <f>IFERROR(__xludf.DUMMYFUNCTION("""COMPUTED_VALUE"""),"MAMANI HUAHUACONDORI, JHONN")</f>
        <v>MAMANI HUAHUACONDORI, JHONN</v>
      </c>
      <c r="E148" s="158" t="str">
        <f>IFERROR(__xludf.DUMMYFUNCTION("""COMPUTED_VALUE"""),"ALM")</f>
        <v>ALM</v>
      </c>
      <c r="F148" s="158" t="str">
        <f>IFERROR(__xludf.DUMMYFUNCTION("""COMPUTED_VALUE"""),"AREQUIPA")</f>
        <v>AREQUIPA</v>
      </c>
      <c r="G148" s="158" t="str">
        <f>IFERROR(__xludf.DUMMYFUNCTION("""COMPUTED_VALUE"""),"CAMPO")</f>
        <v>CAMPO</v>
      </c>
      <c r="H148" s="158" t="str">
        <f>IFERROR(__xludf.DUMMYFUNCTION("""COMPUTED_VALUE"""),"OPERACIONES")</f>
        <v>OPERACIONES</v>
      </c>
      <c r="I148" s="158" t="str">
        <f>IFERROR(__xludf.DUMMYFUNCTION("""COMPUTED_VALUE"""),"TECNICO DE PLANTA EXTERNA")</f>
        <v>TECNICO DE PLANTA EXTERNA</v>
      </c>
      <c r="J148" s="153"/>
      <c r="K148" s="158"/>
      <c r="L148" s="158"/>
      <c r="M148" s="159"/>
      <c r="N148" s="158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</row>
    <row r="149">
      <c r="A149" s="155">
        <f>IFERROR(__xludf.DUMMYFUNCTION("""COMPUTED_VALUE"""),181.0)</f>
        <v>181</v>
      </c>
      <c r="B149" s="156"/>
      <c r="C149" s="157" t="str">
        <f>IFERROR(__xludf.DUMMYFUNCTION("""COMPUTED_VALUE"""),"73307651")</f>
        <v>73307651</v>
      </c>
      <c r="D149" s="157" t="str">
        <f>IFERROR(__xludf.DUMMYFUNCTION("""COMPUTED_VALUE"""),"PEREYRA SILVA, LEONARDO OSKY")</f>
        <v>PEREYRA SILVA, LEONARDO OSKY</v>
      </c>
      <c r="E149" s="158" t="str">
        <f>IFERROR(__xludf.DUMMYFUNCTION("""COMPUTED_VALUE"""),"WPL")</f>
        <v>WPL</v>
      </c>
      <c r="F149" s="158" t="str">
        <f>IFERROR(__xludf.DUMMYFUNCTION("""COMPUTED_VALUE"""),"AREQUIPA")</f>
        <v>AREQUIPA</v>
      </c>
      <c r="G149" s="158" t="str">
        <f>IFERROR(__xludf.DUMMYFUNCTION("""COMPUTED_VALUE"""),"CAMPO")</f>
        <v>CAMPO</v>
      </c>
      <c r="H149" s="158" t="str">
        <f>IFERROR(__xludf.DUMMYFUNCTION("""COMPUTED_VALUE"""),"COMERCIAL")</f>
        <v>COMERCIAL</v>
      </c>
      <c r="I149" s="158" t="str">
        <f>IFERROR(__xludf.DUMMYFUNCTION("""COMPUTED_VALUE"""),"PROMOTOR DE VENTAS CAMPO")</f>
        <v>PROMOTOR DE VENTAS CAMPO</v>
      </c>
      <c r="J149" s="155"/>
      <c r="K149" s="158"/>
      <c r="L149" s="158"/>
      <c r="M149" s="159"/>
      <c r="N149" s="158"/>
      <c r="O149" s="153"/>
      <c r="P149" s="158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</row>
    <row r="150">
      <c r="A150" s="155">
        <f>IFERROR(__xludf.DUMMYFUNCTION("""COMPUTED_VALUE"""),184.0)</f>
        <v>184</v>
      </c>
      <c r="B150" s="156">
        <f>IFERROR(__xludf.DUMMYFUNCTION("""COMPUTED_VALUE"""),45566.0)</f>
        <v>45566</v>
      </c>
      <c r="C150" s="157" t="str">
        <f>IFERROR(__xludf.DUMMYFUNCTION("""COMPUTED_VALUE"""),"77204730")</f>
        <v>77204730</v>
      </c>
      <c r="D150" s="157" t="str">
        <f>IFERROR(__xludf.DUMMYFUNCTION("""COMPUTED_VALUE"""),"ALIAGA COAGUILA, ALAN RAMIRO")</f>
        <v>ALIAGA COAGUILA, ALAN RAMIRO</v>
      </c>
      <c r="E150" s="153" t="str">
        <f>IFERROR(__xludf.DUMMYFUNCTION("""COMPUTED_VALUE"""),"EFI")</f>
        <v>EFI</v>
      </c>
      <c r="F150" s="158" t="str">
        <f>IFERROR(__xludf.DUMMYFUNCTION("""COMPUTED_VALUE"""),"AREQUIPA")</f>
        <v>AREQUIPA</v>
      </c>
      <c r="G150" s="153" t="str">
        <f>IFERROR(__xludf.DUMMYFUNCTION("""COMPUTED_VALUE"""),"OFICINA")</f>
        <v>OFICINA</v>
      </c>
      <c r="H150" s="153" t="str">
        <f>IFERROR(__xludf.DUMMYFUNCTION("""COMPUTED_VALUE"""),"ADMINISTRACION")</f>
        <v>ADMINISTRACION</v>
      </c>
      <c r="I150" s="158" t="str">
        <f>IFERROR(__xludf.DUMMYFUNCTION("""COMPUTED_VALUE"""),"ALMACENERO")</f>
        <v>ALMACENERO</v>
      </c>
      <c r="J150" s="155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</row>
    <row r="151">
      <c r="A151" s="155">
        <f>IFERROR(__xludf.DUMMYFUNCTION("""COMPUTED_VALUE"""),185.0)</f>
        <v>185</v>
      </c>
      <c r="B151" s="156">
        <f>IFERROR(__xludf.DUMMYFUNCTION("""COMPUTED_VALUE"""),45566.0)</f>
        <v>45566</v>
      </c>
      <c r="C151" s="157" t="str">
        <f>IFERROR(__xludf.DUMMYFUNCTION("""COMPUTED_VALUE"""),"73599488")</f>
        <v>73599488</v>
      </c>
      <c r="D151" s="157" t="str">
        <f>IFERROR(__xludf.DUMMYFUNCTION("""COMPUTED_VALUE"""),"PIZARRO DELGADO, LUISAMARIA")</f>
        <v>PIZARRO DELGADO, LUISAMARIA</v>
      </c>
      <c r="E151" s="158" t="str">
        <f>IFERROR(__xludf.DUMMYFUNCTION("""COMPUTED_VALUE"""),"PAL")</f>
        <v>PAL</v>
      </c>
      <c r="F151" s="158" t="str">
        <f>IFERROR(__xludf.DUMMYFUNCTION("""COMPUTED_VALUE"""),"ILO")</f>
        <v>ILO</v>
      </c>
      <c r="G151" s="158" t="str">
        <f>IFERROR(__xludf.DUMMYFUNCTION("""COMPUTED_VALUE"""),"OFICINA")</f>
        <v>OFICINA</v>
      </c>
      <c r="H151" s="158" t="str">
        <f>IFERROR(__xludf.DUMMYFUNCTION("""COMPUTED_VALUE"""),"CONTAC CENTER")</f>
        <v>CONTAC CENTER</v>
      </c>
      <c r="I151" s="158" t="str">
        <f>IFERROR(__xludf.DUMMYFUNCTION("""COMPUTED_VALUE"""),"ASESOR DE CONTACT CENTER")</f>
        <v>ASESOR DE CONTACT CENTER</v>
      </c>
      <c r="J151" s="155"/>
      <c r="K151" s="158"/>
      <c r="L151" s="158"/>
      <c r="M151" s="159"/>
      <c r="N151" s="158"/>
      <c r="O151" s="158"/>
      <c r="P151" s="158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</row>
    <row r="152">
      <c r="A152" s="155">
        <f>IFERROR(__xludf.DUMMYFUNCTION("""COMPUTED_VALUE"""),187.0)</f>
        <v>187</v>
      </c>
      <c r="B152" s="156">
        <f>IFERROR(__xludf.DUMMYFUNCTION("""COMPUTED_VALUE"""),45580.0)</f>
        <v>45580</v>
      </c>
      <c r="C152" s="157" t="str">
        <f>IFERROR(__xludf.DUMMYFUNCTION("""COMPUTED_VALUE"""),"75782275")</f>
        <v>75782275</v>
      </c>
      <c r="D152" s="158" t="str">
        <f>IFERROR(__xludf.DUMMYFUNCTION("""COMPUTED_VALUE"""),"CHAVEZ HORNA, GABRIEL")</f>
        <v>CHAVEZ HORNA, GABRIEL</v>
      </c>
      <c r="E152" s="158" t="str">
        <f>IFERROR(__xludf.DUMMYFUNCTION("""COMPUTED_VALUE"""),"EFI")</f>
        <v>EFI</v>
      </c>
      <c r="F152" s="158" t="str">
        <f>IFERROR(__xludf.DUMMYFUNCTION("""COMPUTED_VALUE"""),"MOLLENDO")</f>
        <v>MOLLENDO</v>
      </c>
      <c r="G152" s="158" t="str">
        <f>IFERROR(__xludf.DUMMYFUNCTION("""COMPUTED_VALUE"""),"CAMPO")</f>
        <v>CAMPO</v>
      </c>
      <c r="H152" s="158" t="str">
        <f>IFERROR(__xludf.DUMMYFUNCTION("""COMPUTED_VALUE"""),"OPERACIONES")</f>
        <v>OPERACIONES</v>
      </c>
      <c r="I152" s="158" t="str">
        <f>IFERROR(__xludf.DUMMYFUNCTION("""COMPUTED_VALUE"""),"TECNICOS DE SERVICIOS")</f>
        <v>TECNICOS DE SERVICIOS</v>
      </c>
      <c r="J152" s="155"/>
      <c r="K152" s="158"/>
      <c r="L152" s="158"/>
      <c r="M152" s="159"/>
      <c r="N152" s="158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</row>
    <row r="153">
      <c r="A153" s="155">
        <f>IFERROR(__xludf.DUMMYFUNCTION("""COMPUTED_VALUE"""),189.0)</f>
        <v>189</v>
      </c>
      <c r="B153" s="156">
        <f>IFERROR(__xludf.DUMMYFUNCTION("""COMPUTED_VALUE"""),45581.0)</f>
        <v>45581</v>
      </c>
      <c r="C153" s="157" t="str">
        <f>IFERROR(__xludf.DUMMYFUNCTION("""COMPUTED_VALUE"""),"74383821")</f>
        <v>74383821</v>
      </c>
      <c r="D153" s="158" t="str">
        <f>IFERROR(__xludf.DUMMYFUNCTION("""COMPUTED_VALUE"""),"GUINEA CHATATA, ELIZABETH VALERIA")</f>
        <v>GUINEA CHATATA, ELIZABETH VALERIA</v>
      </c>
      <c r="E153" s="158" t="str">
        <f>IFERROR(__xludf.DUMMYFUNCTION("""COMPUTED_VALUE"""),"ALM")</f>
        <v>ALM</v>
      </c>
      <c r="F153" s="158" t="str">
        <f>IFERROR(__xludf.DUMMYFUNCTION("""COMPUTED_VALUE"""),"AREQUIPA")</f>
        <v>AREQUIPA</v>
      </c>
      <c r="G153" s="158" t="str">
        <f>IFERROR(__xludf.DUMMYFUNCTION("""COMPUTED_VALUE"""),"OFICINA")</f>
        <v>OFICINA</v>
      </c>
      <c r="H153" s="158" t="str">
        <f>IFERROR(__xludf.DUMMYFUNCTION("""COMPUTED_VALUE"""),"ADMINISTRACION")</f>
        <v>ADMINISTRACION</v>
      </c>
      <c r="I153" s="158" t="str">
        <f>IFERROR(__xludf.DUMMYFUNCTION("""COMPUTED_VALUE"""),"COORDINADOR RRHH")</f>
        <v>COORDINADOR RRHH</v>
      </c>
      <c r="J153" s="165"/>
      <c r="K153" s="158"/>
      <c r="L153" s="158"/>
      <c r="M153" s="159"/>
      <c r="N153" s="158"/>
      <c r="O153" s="158"/>
      <c r="P153" s="158"/>
      <c r="Q153" s="158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</row>
    <row r="154">
      <c r="A154" s="155">
        <f>IFERROR(__xludf.DUMMYFUNCTION("""COMPUTED_VALUE"""),190.0)</f>
        <v>190</v>
      </c>
      <c r="B154" s="156">
        <f>IFERROR(__xludf.DUMMYFUNCTION("""COMPUTED_VALUE"""),45586.0)</f>
        <v>45586</v>
      </c>
      <c r="C154" s="157" t="str">
        <f>IFERROR(__xludf.DUMMYFUNCTION("""COMPUTED_VALUE"""),"70132861")</f>
        <v>70132861</v>
      </c>
      <c r="D154" s="158" t="str">
        <f>IFERROR(__xludf.DUMMYFUNCTION("""COMPUTED_VALUE"""),"CONCHA MONROY, KARLA SOFIA")</f>
        <v>CONCHA MONROY, KARLA SOFIA</v>
      </c>
      <c r="E154" s="158" t="str">
        <f>IFERROR(__xludf.DUMMYFUNCTION("""COMPUTED_VALUE"""),"ALM")</f>
        <v>ALM</v>
      </c>
      <c r="F154" s="158" t="str">
        <f>IFERROR(__xludf.DUMMYFUNCTION("""COMPUTED_VALUE"""),"AREQUIPA")</f>
        <v>AREQUIPA</v>
      </c>
      <c r="G154" s="158" t="str">
        <f>IFERROR(__xludf.DUMMYFUNCTION("""COMPUTED_VALUE"""),"OFICINA")</f>
        <v>OFICINA</v>
      </c>
      <c r="H154" s="158" t="str">
        <f>IFERROR(__xludf.DUMMYFUNCTION("""COMPUTED_VALUE"""),"MARKETING")</f>
        <v>MARKETING</v>
      </c>
      <c r="I154" s="158" t="str">
        <f>IFERROR(__xludf.DUMMYFUNCTION("""COMPUTED_VALUE"""),"ASISTENTE DE MARKETING Y DISEÑO")</f>
        <v>ASISTENTE DE MARKETING Y DISEÑO</v>
      </c>
      <c r="J154" s="155"/>
      <c r="K154" s="158"/>
      <c r="L154" s="158"/>
      <c r="M154" s="159"/>
      <c r="N154" s="158"/>
      <c r="O154" s="153"/>
      <c r="P154" s="158"/>
      <c r="Q154" s="158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</row>
    <row r="155">
      <c r="A155" s="155">
        <f>IFERROR(__xludf.DUMMYFUNCTION("""COMPUTED_VALUE"""),191.0)</f>
        <v>191</v>
      </c>
      <c r="B155" s="156">
        <f>IFERROR(__xludf.DUMMYFUNCTION("""COMPUTED_VALUE"""),45586.0)</f>
        <v>45586</v>
      </c>
      <c r="C155" s="157" t="str">
        <f>IFERROR(__xludf.DUMMYFUNCTION("""COMPUTED_VALUE"""),"70374201")</f>
        <v>70374201</v>
      </c>
      <c r="D155" s="158" t="str">
        <f>IFERROR(__xludf.DUMMYFUNCTION("""COMPUTED_VALUE"""),"LEYDI KEYTI, TORRES CHOQUEHUANCA")</f>
        <v>LEYDI KEYTI, TORRES CHOQUEHUANCA</v>
      </c>
      <c r="E155" s="158" t="str">
        <f>IFERROR(__xludf.DUMMYFUNCTION("""COMPUTED_VALUE"""),"EFI")</f>
        <v>EFI</v>
      </c>
      <c r="F155" s="158" t="str">
        <f>IFERROR(__xludf.DUMMYFUNCTION("""COMPUTED_VALUE"""),"AREQUIPA")</f>
        <v>AREQUIPA</v>
      </c>
      <c r="G155" s="158" t="str">
        <f>IFERROR(__xludf.DUMMYFUNCTION("""COMPUTED_VALUE"""),"OFICINA")</f>
        <v>OFICINA</v>
      </c>
      <c r="H155" s="158" t="str">
        <f>IFERROR(__xludf.DUMMYFUNCTION("""COMPUTED_VALUE"""),"COMERCIAL")</f>
        <v>COMERCIAL</v>
      </c>
      <c r="I155" s="158" t="str">
        <f>IFERROR(__xludf.DUMMYFUNCTION("""COMPUTED_VALUE"""),"ASISTENTE DE RECLUTAMIENTO Y SELECCIÓN")</f>
        <v>ASISTENTE DE RECLUTAMIENTO Y SELECCIÓN</v>
      </c>
      <c r="J155" s="155"/>
      <c r="K155" s="158"/>
      <c r="L155" s="158"/>
      <c r="M155" s="159"/>
      <c r="N155" s="158"/>
      <c r="O155" s="153"/>
      <c r="P155" s="158"/>
      <c r="Q155" s="158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</row>
    <row r="156">
      <c r="A156" s="155">
        <f>IFERROR(__xludf.DUMMYFUNCTION("""COMPUTED_VALUE"""),192.0)</f>
        <v>192</v>
      </c>
      <c r="B156" s="156">
        <f>IFERROR(__xludf.DUMMYFUNCTION("""COMPUTED_VALUE"""),45586.0)</f>
        <v>45586</v>
      </c>
      <c r="C156" s="157" t="str">
        <f>IFERROR(__xludf.DUMMYFUNCTION("""COMPUTED_VALUE"""),"72425399")</f>
        <v>72425399</v>
      </c>
      <c r="D156" s="158" t="str">
        <f>IFERROR(__xludf.DUMMYFUNCTION("""COMPUTED_VALUE"""),"OJEDA CHIRINOS, BRIAN RENATO")</f>
        <v>OJEDA CHIRINOS, BRIAN RENATO</v>
      </c>
      <c r="E156" s="158" t="str">
        <f>IFERROR(__xludf.DUMMYFUNCTION("""COMPUTED_VALUE"""),"MAF")</f>
        <v>MAF</v>
      </c>
      <c r="F156" s="158" t="str">
        <f>IFERROR(__xludf.DUMMYFUNCTION("""COMPUTED_VALUE"""),"ILO")</f>
        <v>ILO</v>
      </c>
      <c r="G156" s="158" t="str">
        <f>IFERROR(__xludf.DUMMYFUNCTION("""COMPUTED_VALUE"""),"CAMPO")</f>
        <v>CAMPO</v>
      </c>
      <c r="H156" s="158" t="str">
        <f>IFERROR(__xludf.DUMMYFUNCTION("""COMPUTED_VALUE"""),"OPERACIONES")</f>
        <v>OPERACIONES</v>
      </c>
      <c r="I156" s="158" t="str">
        <f>IFERROR(__xludf.DUMMYFUNCTION("""COMPUTED_VALUE"""),"TÉCNICO PLANTA EXTERNA")</f>
        <v>TÉCNICO PLANTA EXTERNA</v>
      </c>
      <c r="J156" s="155"/>
      <c r="K156" s="158"/>
      <c r="L156" s="158"/>
      <c r="M156" s="159"/>
      <c r="N156" s="158"/>
      <c r="O156" s="153"/>
      <c r="P156" s="158"/>
      <c r="Q156" s="158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</row>
    <row r="157">
      <c r="A157" s="155">
        <f>IFERROR(__xludf.DUMMYFUNCTION("""COMPUTED_VALUE"""),193.0)</f>
        <v>193</v>
      </c>
      <c r="B157" s="156">
        <f>IFERROR(__xludf.DUMMYFUNCTION("""COMPUTED_VALUE"""),45598.0)</f>
        <v>45598</v>
      </c>
      <c r="C157" s="157" t="str">
        <f>IFERROR(__xludf.DUMMYFUNCTION("""COMPUTED_VALUE"""),"75108370")</f>
        <v>75108370</v>
      </c>
      <c r="D157" s="158" t="str">
        <f>IFERROR(__xludf.DUMMYFUNCTION("""COMPUTED_VALUE"""),"LOPE TICONA, YULISA ERIKA")</f>
        <v>LOPE TICONA, YULISA ERIKA</v>
      </c>
      <c r="E157" s="158" t="str">
        <f>IFERROR(__xludf.DUMMYFUNCTION("""COMPUTED_VALUE"""),"EFI")</f>
        <v>EFI</v>
      </c>
      <c r="F157" s="158" t="str">
        <f>IFERROR(__xludf.DUMMYFUNCTION("""COMPUTED_VALUE"""),"ILO")</f>
        <v>ILO</v>
      </c>
      <c r="G157" s="158" t="str">
        <f>IFERROR(__xludf.DUMMYFUNCTION("""COMPUTED_VALUE"""),"OFICINA")</f>
        <v>OFICINA</v>
      </c>
      <c r="H157" s="158" t="str">
        <f>IFERROR(__xludf.DUMMYFUNCTION("""COMPUTED_VALUE"""),"NOC")</f>
        <v>NOC</v>
      </c>
      <c r="I157" s="158" t="str">
        <f>IFERROR(__xludf.DUMMYFUNCTION("""COMPUTED_VALUE"""),"OPERADOR NOC")</f>
        <v>OPERADOR NOC</v>
      </c>
      <c r="J157" s="155"/>
      <c r="K157" s="158"/>
      <c r="L157" s="158"/>
      <c r="M157" s="159"/>
      <c r="N157" s="158"/>
      <c r="O157" s="153"/>
      <c r="P157" s="158"/>
      <c r="Q157" s="158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</row>
    <row r="158">
      <c r="A158" s="155">
        <f>IFERROR(__xludf.DUMMYFUNCTION("""COMPUTED_VALUE"""),194.0)</f>
        <v>194</v>
      </c>
      <c r="B158" s="156">
        <f>IFERROR(__xludf.DUMMYFUNCTION("""COMPUTED_VALUE"""),45600.0)</f>
        <v>45600</v>
      </c>
      <c r="C158" s="157" t="str">
        <f>IFERROR(__xludf.DUMMYFUNCTION("""COMPUTED_VALUE"""),"4748676")</f>
        <v>4748676</v>
      </c>
      <c r="D158" s="158" t="str">
        <f>IFERROR(__xludf.DUMMYFUNCTION("""COMPUTED_VALUE"""),"GAMEZ GONZALEZ, JOSE LUIS")</f>
        <v>GAMEZ GONZALEZ, JOSE LUIS</v>
      </c>
      <c r="E158" s="158" t="str">
        <f>IFERROR(__xludf.DUMMYFUNCTION("""COMPUTED_VALUE"""),"MAF")</f>
        <v>MAF</v>
      </c>
      <c r="F158" s="158" t="str">
        <f>IFERROR(__xludf.DUMMYFUNCTION("""COMPUTED_VALUE"""),"ILO")</f>
        <v>ILO</v>
      </c>
      <c r="G158" s="158" t="str">
        <f>IFERROR(__xludf.DUMMYFUNCTION("""COMPUTED_VALUE"""),"CAMPO")</f>
        <v>CAMPO</v>
      </c>
      <c r="H158" s="158" t="str">
        <f>IFERROR(__xludf.DUMMYFUNCTION("""COMPUTED_VALUE"""),"OPERACIONES")</f>
        <v>OPERACIONES</v>
      </c>
      <c r="I158" s="158" t="str">
        <f>IFERROR(__xludf.DUMMYFUNCTION("""COMPUTED_VALUE"""),"TÉCNICO PLANTA EXTERNA")</f>
        <v>TÉCNICO PLANTA EXTERNA</v>
      </c>
      <c r="J158" s="155"/>
      <c r="K158" s="158"/>
      <c r="L158" s="158"/>
      <c r="M158" s="159"/>
      <c r="N158" s="158"/>
      <c r="O158" s="153"/>
      <c r="P158" s="158"/>
      <c r="Q158" s="158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</row>
    <row r="159">
      <c r="A159" s="155">
        <f>IFERROR(__xludf.DUMMYFUNCTION("""COMPUTED_VALUE"""),195.0)</f>
        <v>195</v>
      </c>
      <c r="B159" s="156">
        <f>IFERROR(__xludf.DUMMYFUNCTION("""COMPUTED_VALUE"""),45600.0)</f>
        <v>45600</v>
      </c>
      <c r="C159" s="157" t="str">
        <f>IFERROR(__xludf.DUMMYFUNCTION("""COMPUTED_VALUE"""),"75962144")</f>
        <v>75962144</v>
      </c>
      <c r="D159" s="158" t="str">
        <f>IFERROR(__xludf.DUMMYFUNCTION("""COMPUTED_VALUE"""),"CHOQUE OCHOA, JOEL")</f>
        <v>CHOQUE OCHOA, JOEL</v>
      </c>
      <c r="E159" s="158" t="str">
        <f>IFERROR(__xludf.DUMMYFUNCTION("""COMPUTED_VALUE"""),"ALM")</f>
        <v>ALM</v>
      </c>
      <c r="F159" s="158" t="str">
        <f>IFERROR(__xludf.DUMMYFUNCTION("""COMPUTED_VALUE"""),"AREQUIPA")</f>
        <v>AREQUIPA</v>
      </c>
      <c r="G159" s="158" t="str">
        <f>IFERROR(__xludf.DUMMYFUNCTION("""COMPUTED_VALUE"""),"OFICINA")</f>
        <v>OFICINA</v>
      </c>
      <c r="H159" s="158" t="str">
        <f>IFERROR(__xludf.DUMMYFUNCTION("""COMPUTED_VALUE"""),"OPERACIONES")</f>
        <v>OPERACIONES</v>
      </c>
      <c r="I159" s="158" t="str">
        <f>IFERROR(__xludf.DUMMYFUNCTION("""COMPUTED_VALUE"""),"TÉCNICO PLANTA EXTERNA")</f>
        <v>TÉCNICO PLANTA EXTERNA</v>
      </c>
      <c r="J159" s="155"/>
      <c r="K159" s="158"/>
      <c r="L159" s="158"/>
      <c r="M159" s="159"/>
      <c r="N159" s="158"/>
      <c r="O159" s="153"/>
      <c r="P159" s="158"/>
      <c r="Q159" s="158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</row>
    <row r="160">
      <c r="A160" s="155">
        <f>IFERROR(__xludf.DUMMYFUNCTION("""COMPUTED_VALUE"""),196.0)</f>
        <v>196</v>
      </c>
      <c r="B160" s="156">
        <f>IFERROR(__xludf.DUMMYFUNCTION("""COMPUTED_VALUE"""),45614.0)</f>
        <v>45614</v>
      </c>
      <c r="C160" s="157" t="str">
        <f>IFERROR(__xludf.DUMMYFUNCTION("""COMPUTED_VALUE"""),"72115505")</f>
        <v>72115505</v>
      </c>
      <c r="D160" s="158" t="str">
        <f>IFERROR(__xludf.DUMMYFUNCTION("""COMPUTED_VALUE"""),"AROQUIPA CHACNAMA, ALLISON DEL ROSARIO")</f>
        <v>AROQUIPA CHACNAMA, ALLISON DEL ROSARIO</v>
      </c>
      <c r="E160" s="158" t="str">
        <f>IFERROR(__xludf.DUMMYFUNCTION("""COMPUTED_VALUE"""),"PAL")</f>
        <v>PAL</v>
      </c>
      <c r="F160" s="158" t="str">
        <f>IFERROR(__xludf.DUMMYFUNCTION("""COMPUTED_VALUE"""),"AREQUIPA")</f>
        <v>AREQUIPA</v>
      </c>
      <c r="G160" s="158" t="str">
        <f>IFERROR(__xludf.DUMMYFUNCTION("""COMPUTED_VALUE"""),"OFICINA")</f>
        <v>OFICINA</v>
      </c>
      <c r="H160" s="158" t="str">
        <f>IFERROR(__xludf.DUMMYFUNCTION("""COMPUTED_VALUE"""),"TELEVENTAS")</f>
        <v>TELEVENTAS</v>
      </c>
      <c r="I160" s="158" t="str">
        <f>IFERROR(__xludf.DUMMYFUNCTION("""COMPUTED_VALUE"""),"ASESOR DE TELEVENTAS")</f>
        <v>ASESOR DE TELEVENTAS</v>
      </c>
      <c r="J160" s="165"/>
      <c r="K160" s="158"/>
      <c r="L160" s="158"/>
      <c r="M160" s="159"/>
      <c r="N160" s="158"/>
      <c r="O160" s="153"/>
      <c r="P160" s="158"/>
      <c r="Q160" s="158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</row>
    <row r="161">
      <c r="A161" s="155">
        <f>IFERROR(__xludf.DUMMYFUNCTION("""COMPUTED_VALUE"""),197.0)</f>
        <v>197</v>
      </c>
      <c r="B161" s="156">
        <f>IFERROR(__xludf.DUMMYFUNCTION("""COMPUTED_VALUE"""),45615.0)</f>
        <v>45615</v>
      </c>
      <c r="C161" s="157" t="str">
        <f>IFERROR(__xludf.DUMMYFUNCTION("""COMPUTED_VALUE"""),"72172418")</f>
        <v>72172418</v>
      </c>
      <c r="D161" s="158" t="str">
        <f>IFERROR(__xludf.DUMMYFUNCTION("""COMPUTED_VALUE"""),"JACINTO LITARI, JEAN FRANCO")</f>
        <v>JACINTO LITARI, JEAN FRANCO</v>
      </c>
      <c r="E161" s="158" t="str">
        <f>IFERROR(__xludf.DUMMYFUNCTION("""COMPUTED_VALUE"""),"ALM")</f>
        <v>ALM</v>
      </c>
      <c r="F161" s="158" t="str">
        <f>IFERROR(__xludf.DUMMYFUNCTION("""COMPUTED_VALUE"""),"AREQUIPA")</f>
        <v>AREQUIPA</v>
      </c>
      <c r="G161" s="158" t="str">
        <f>IFERROR(__xludf.DUMMYFUNCTION("""COMPUTED_VALUE"""),"OFICINA")</f>
        <v>OFICINA</v>
      </c>
      <c r="H161" s="158" t="str">
        <f>IFERROR(__xludf.DUMMYFUNCTION("""COMPUTED_VALUE"""),"COMERCIAL")</f>
        <v>COMERCIAL</v>
      </c>
      <c r="I161" s="158" t="str">
        <f>IFERROR(__xludf.DUMMYFUNCTION("""COMPUTED_VALUE"""),"AUXILIAR DE INTELIGENCIA COMERCIAL")</f>
        <v>AUXILIAR DE INTELIGENCIA COMERCIAL</v>
      </c>
      <c r="J161" s="158"/>
      <c r="K161" s="158"/>
      <c r="L161" s="158"/>
      <c r="M161" s="159"/>
      <c r="N161" s="158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</row>
    <row r="162">
      <c r="A162" s="155">
        <f>IFERROR(__xludf.DUMMYFUNCTION("""COMPUTED_VALUE"""),199.0)</f>
        <v>199</v>
      </c>
      <c r="B162" s="156">
        <f>IFERROR(__xludf.DUMMYFUNCTION("""COMPUTED_VALUE"""),45621.0)</f>
        <v>45621</v>
      </c>
      <c r="C162" s="157" t="str">
        <f>IFERROR(__xludf.DUMMYFUNCTION("""COMPUTED_VALUE"""),"72223063
")</f>
        <v>72223063
</v>
      </c>
      <c r="D162" s="158" t="str">
        <f>IFERROR(__xludf.DUMMYFUNCTION("""COMPUTED_VALUE"""),"HUISACAYNA SANA, JOSEPH ALEXANDER")</f>
        <v>HUISACAYNA SANA, JOSEPH ALEXANDER</v>
      </c>
      <c r="E162" s="158" t="str">
        <f>IFERROR(__xludf.DUMMYFUNCTION("""COMPUTED_VALUE"""),"ALM")</f>
        <v>ALM</v>
      </c>
      <c r="F162" s="158" t="str">
        <f>IFERROR(__xludf.DUMMYFUNCTION("""COMPUTED_VALUE"""),"AREQUIPA")</f>
        <v>AREQUIPA</v>
      </c>
      <c r="G162" s="158" t="str">
        <f>IFERROR(__xludf.DUMMYFUNCTION("""COMPUTED_VALUE"""),"OFICINA")</f>
        <v>OFICINA</v>
      </c>
      <c r="H162" s="158" t="str">
        <f>IFERROR(__xludf.DUMMYFUNCTION("""COMPUTED_VALUE"""),"FINANZAS")</f>
        <v>FINANZAS</v>
      </c>
      <c r="I162" s="158" t="str">
        <f>IFERROR(__xludf.DUMMYFUNCTION("""COMPUTED_VALUE"""),"ASISTENTE DE FINANZAS")</f>
        <v>ASISTENTE DE FINANZAS</v>
      </c>
      <c r="J162" s="165"/>
      <c r="K162" s="158"/>
      <c r="L162" s="158"/>
      <c r="M162" s="159"/>
      <c r="N162" s="158"/>
      <c r="O162" s="153"/>
      <c r="P162" s="158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</row>
    <row r="163">
      <c r="A163" s="155">
        <f>IFERROR(__xludf.DUMMYFUNCTION("""COMPUTED_VALUE"""),200.0)</f>
        <v>200</v>
      </c>
      <c r="B163" s="156">
        <f>IFERROR(__xludf.DUMMYFUNCTION("""COMPUTED_VALUE"""),45621.0)</f>
        <v>45621</v>
      </c>
      <c r="C163" s="157" t="str">
        <f>IFERROR(__xludf.DUMMYFUNCTION("""COMPUTED_VALUE"""),"70880620")</f>
        <v>70880620</v>
      </c>
      <c r="D163" s="157" t="str">
        <f>IFERROR(__xludf.DUMMYFUNCTION("""COMPUTED_VALUE"""),"ARAGON PAREDES, ERIKA FABIOLA")</f>
        <v>ARAGON PAREDES, ERIKA FABIOLA</v>
      </c>
      <c r="E163" s="158" t="str">
        <f>IFERROR(__xludf.DUMMYFUNCTION("""COMPUTED_VALUE"""),"EFI")</f>
        <v>EFI</v>
      </c>
      <c r="F163" s="158" t="str">
        <f>IFERROR(__xludf.DUMMYFUNCTION("""COMPUTED_VALUE"""),"ILO")</f>
        <v>ILO</v>
      </c>
      <c r="G163" s="158" t="str">
        <f>IFERROR(__xludf.DUMMYFUNCTION("""COMPUTED_VALUE"""),"OFICINA")</f>
        <v>OFICINA</v>
      </c>
      <c r="H163" s="158" t="str">
        <f>IFERROR(__xludf.DUMMYFUNCTION("""COMPUTED_VALUE"""),"CONTABILIDAD")</f>
        <v>CONTABILIDAD</v>
      </c>
      <c r="I163" s="158" t="str">
        <f>IFERROR(__xludf.DUMMYFUNCTION("""COMPUTED_VALUE"""),"ASISTENTE DE CONTABILIDAD")</f>
        <v>ASISTENTE DE CONTABILIDAD</v>
      </c>
      <c r="J163" s="166"/>
      <c r="K163" s="158"/>
      <c r="L163" s="158"/>
      <c r="M163" s="159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</row>
    <row r="164">
      <c r="A164" s="155">
        <f>IFERROR(__xludf.DUMMYFUNCTION("""COMPUTED_VALUE"""),204.0)</f>
        <v>204</v>
      </c>
      <c r="B164" s="156">
        <f>IFERROR(__xludf.DUMMYFUNCTION("""COMPUTED_VALUE"""),45642.0)</f>
        <v>45642</v>
      </c>
      <c r="C164" s="157" t="str">
        <f>IFERROR(__xludf.DUMMYFUNCTION("""COMPUTED_VALUE"""),"70799973")</f>
        <v>70799973</v>
      </c>
      <c r="D164" s="157" t="str">
        <f>IFERROR(__xludf.DUMMYFUNCTION("""COMPUTED_VALUE"""),"ZEBALLOS RIVERA, AAROM FERNANDO")</f>
        <v>ZEBALLOS RIVERA, AAROM FERNANDO</v>
      </c>
      <c r="E164" s="153" t="str">
        <f>IFERROR(__xludf.DUMMYFUNCTION("""COMPUTED_VALUE"""),"EFI")</f>
        <v>EFI</v>
      </c>
      <c r="F164" s="158" t="str">
        <f>IFERROR(__xludf.DUMMYFUNCTION("""COMPUTED_VALUE"""),"ILO")</f>
        <v>ILO</v>
      </c>
      <c r="G164" s="158" t="str">
        <f>IFERROR(__xludf.DUMMYFUNCTION("""COMPUTED_VALUE"""),"OFICINA")</f>
        <v>OFICINA</v>
      </c>
      <c r="H164" s="158" t="str">
        <f>IFERROR(__xludf.DUMMYFUNCTION("""COMPUTED_VALUE"""),"LOGISTICA")</f>
        <v>LOGISTICA</v>
      </c>
      <c r="I164" s="158" t="str">
        <f>IFERROR(__xludf.DUMMYFUNCTION("""COMPUTED_VALUE"""),"ALMACENERO")</f>
        <v>ALMACENERO</v>
      </c>
      <c r="J164" s="166"/>
      <c r="K164" s="158"/>
      <c r="L164" s="158"/>
      <c r="M164" s="159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</row>
    <row r="165">
      <c r="A165" s="155">
        <f>IFERROR(__xludf.DUMMYFUNCTION("""COMPUTED_VALUE"""),205.0)</f>
        <v>205</v>
      </c>
      <c r="B165" s="156">
        <f>IFERROR(__xludf.DUMMYFUNCTION("""COMPUTED_VALUE"""),45646.0)</f>
        <v>45646</v>
      </c>
      <c r="C165" s="157" t="str">
        <f>IFERROR(__xludf.DUMMYFUNCTION("""COMPUTED_VALUE"""),"73797616")</f>
        <v>73797616</v>
      </c>
      <c r="D165" s="157" t="str">
        <f>IFERROR(__xludf.DUMMYFUNCTION("""COMPUTED_VALUE"""),"RODRIGUEZ MEDINA, GABRIELA DEL ROSARIO")</f>
        <v>RODRIGUEZ MEDINA, GABRIELA DEL ROSARIO</v>
      </c>
      <c r="E165" s="153" t="str">
        <f>IFERROR(__xludf.DUMMYFUNCTION("""COMPUTED_VALUE"""),"EFI")</f>
        <v>EFI</v>
      </c>
      <c r="F165" s="158" t="str">
        <f>IFERROR(__xludf.DUMMYFUNCTION("""COMPUTED_VALUE"""),"MOQUEGUA")</f>
        <v>MOQUEGUA</v>
      </c>
      <c r="G165" s="158" t="str">
        <f>IFERROR(__xludf.DUMMYFUNCTION("""COMPUTED_VALUE"""),"OFICINA")</f>
        <v>OFICINA</v>
      </c>
      <c r="H165" s="158" t="str">
        <f>IFERROR(__xludf.DUMMYFUNCTION("""COMPUTED_VALUE"""),"VENTAS")</f>
        <v>VENTAS</v>
      </c>
      <c r="I165" s="158" t="str">
        <f>IFERROR(__xludf.DUMMYFUNCTION("""COMPUTED_VALUE"""),"TEAM LEADER")</f>
        <v>TEAM LEADER</v>
      </c>
      <c r="J165" s="166"/>
      <c r="K165" s="158"/>
      <c r="L165" s="158"/>
      <c r="M165" s="159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</row>
    <row r="166">
      <c r="A166" s="155">
        <f>IFERROR(__xludf.DUMMYFUNCTION("""COMPUTED_VALUE"""),206.0)</f>
        <v>206</v>
      </c>
      <c r="B166" s="156">
        <f>IFERROR(__xludf.DUMMYFUNCTION("""COMPUTED_VALUE"""),45646.0)</f>
        <v>45646</v>
      </c>
      <c r="C166" s="157" t="str">
        <f>IFERROR(__xludf.DUMMYFUNCTION("""COMPUTED_VALUE"""),"47317443")</f>
        <v>47317443</v>
      </c>
      <c r="D166" s="157" t="str">
        <f>IFERROR(__xludf.DUMMYFUNCTION("""COMPUTED_VALUE"""),"HALANOCA ARIAS, WILMAR ANDY")</f>
        <v>HALANOCA ARIAS, WILMAR ANDY</v>
      </c>
      <c r="E166" s="153" t="str">
        <f>IFERROR(__xludf.DUMMYFUNCTION("""COMPUTED_VALUE"""),"EFI")</f>
        <v>EFI</v>
      </c>
      <c r="F166" s="158" t="str">
        <f>IFERROR(__xludf.DUMMYFUNCTION("""COMPUTED_VALUE"""),"ILO")</f>
        <v>ILO</v>
      </c>
      <c r="G166" s="158" t="str">
        <f>IFERROR(__xludf.DUMMYFUNCTION("""COMPUTED_VALUE"""),"OFICINA")</f>
        <v>OFICINA</v>
      </c>
      <c r="H166" s="158" t="str">
        <f>IFERROR(__xludf.DUMMYFUNCTION("""COMPUTED_VALUE"""),"OPERACIONES")</f>
        <v>OPERACIONES</v>
      </c>
      <c r="I166" s="158" t="str">
        <f>IFERROR(__xludf.DUMMYFUNCTION("""COMPUTED_VALUE"""),"SUPERVISOR TÉCNICO")</f>
        <v>SUPERVISOR TÉCNICO</v>
      </c>
      <c r="J166" s="166"/>
      <c r="K166" s="158"/>
      <c r="L166" s="158"/>
      <c r="M166" s="159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</row>
    <row r="167">
      <c r="A167" s="155">
        <f>IFERROR(__xludf.DUMMYFUNCTION("""COMPUTED_VALUE"""),207.0)</f>
        <v>207</v>
      </c>
      <c r="B167" s="156">
        <f>IFERROR(__xludf.DUMMYFUNCTION("""COMPUTED_VALUE"""),45648.0)</f>
        <v>45648</v>
      </c>
      <c r="C167" s="157" t="str">
        <f>IFERROR(__xludf.DUMMYFUNCTION("""COMPUTED_VALUE"""),"45318738")</f>
        <v>45318738</v>
      </c>
      <c r="D167" s="157" t="str">
        <f>IFERROR(__xludf.DUMMYFUNCTION("""COMPUTED_VALUE"""),"JAEN MONTES DE OCA , LEONARDO HERNAN")</f>
        <v>JAEN MONTES DE OCA , LEONARDO HERNAN</v>
      </c>
      <c r="E167" s="153" t="str">
        <f>IFERROR(__xludf.DUMMYFUNCTION("""COMPUTED_VALUE"""),"ALM")</f>
        <v>ALM</v>
      </c>
      <c r="F167" s="158" t="str">
        <f>IFERROR(__xludf.DUMMYFUNCTION("""COMPUTED_VALUE"""),"ILO")</f>
        <v>ILO</v>
      </c>
      <c r="G167" s="158" t="str">
        <f>IFERROR(__xludf.DUMMYFUNCTION("""COMPUTED_VALUE"""),"OFICINA")</f>
        <v>OFICINA</v>
      </c>
      <c r="H167" s="158" t="str">
        <f>IFERROR(__xludf.DUMMYFUNCTION("""COMPUTED_VALUE"""),"COMERCIAL")</f>
        <v>COMERCIAL</v>
      </c>
      <c r="I167" s="158" t="str">
        <f>IFERROR(__xludf.DUMMYFUNCTION("""COMPUTED_VALUE"""),"JEFE DE VENTAS ")</f>
        <v>JEFE DE VENTAS </v>
      </c>
      <c r="J167" s="166"/>
      <c r="K167" s="158"/>
      <c r="L167" s="158"/>
      <c r="M167" s="159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</row>
    <row r="168">
      <c r="A168" s="155">
        <f>IFERROR(__xludf.DUMMYFUNCTION("""COMPUTED_VALUE"""),208.0)</f>
        <v>208</v>
      </c>
      <c r="B168" s="156">
        <f>IFERROR(__xludf.DUMMYFUNCTION("""COMPUTED_VALUE"""),45649.0)</f>
        <v>45649</v>
      </c>
      <c r="C168" s="157" t="str">
        <f>IFERROR(__xludf.DUMMYFUNCTION("""COMPUTED_VALUE"""),"72816626")</f>
        <v>72816626</v>
      </c>
      <c r="D168" s="157" t="str">
        <f>IFERROR(__xludf.DUMMYFUNCTION("""COMPUTED_VALUE"""),"TALA RIVERA, MARCOS SAMAEL")</f>
        <v>TALA RIVERA, MARCOS SAMAEL</v>
      </c>
      <c r="E168" s="153" t="str">
        <f>IFERROR(__xludf.DUMMYFUNCTION("""COMPUTED_VALUE"""),"PAL")</f>
        <v>PAL</v>
      </c>
      <c r="F168" s="158" t="str">
        <f>IFERROR(__xludf.DUMMYFUNCTION("""COMPUTED_VALUE"""),"ILO")</f>
        <v>ILO</v>
      </c>
      <c r="G168" s="158" t="str">
        <f>IFERROR(__xludf.DUMMYFUNCTION("""COMPUTED_VALUE"""),"OFICINA")</f>
        <v>OFICINA</v>
      </c>
      <c r="H168" s="158" t="str">
        <f>IFERROR(__xludf.DUMMYFUNCTION("""COMPUTED_VALUE"""),"NOC")</f>
        <v>NOC</v>
      </c>
      <c r="I168" s="158" t="str">
        <f>IFERROR(__xludf.DUMMYFUNCTION("""COMPUTED_VALUE"""),"ASISTENTE NOC")</f>
        <v>ASISTENTE NOC</v>
      </c>
      <c r="J168" s="166"/>
      <c r="K168" s="158"/>
      <c r="L168" s="158"/>
      <c r="M168" s="159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</row>
    <row r="169">
      <c r="A169" s="155">
        <f>IFERROR(__xludf.DUMMYFUNCTION("""COMPUTED_VALUE"""),209.0)</f>
        <v>209</v>
      </c>
      <c r="B169" s="156">
        <f>IFERROR(__xludf.DUMMYFUNCTION("""COMPUTED_VALUE"""),45691.0)</f>
        <v>45691</v>
      </c>
      <c r="C169" s="157" t="str">
        <f>IFERROR(__xludf.DUMMYFUNCTION("""COMPUTED_VALUE"""),"29663332")</f>
        <v>29663332</v>
      </c>
      <c r="D169" s="157" t="str">
        <f>IFERROR(__xludf.DUMMYFUNCTION("""COMPUTED_VALUE"""),"VARGAS BATALLANOS, GERALDINE")</f>
        <v>VARGAS BATALLANOS, GERALDINE</v>
      </c>
      <c r="E169" s="153" t="str">
        <f>IFERROR(__xludf.DUMMYFUNCTION("""COMPUTED_VALUE"""),"PAL")</f>
        <v>PAL</v>
      </c>
      <c r="F169" s="158" t="str">
        <f>IFERROR(__xludf.DUMMYFUNCTION("""COMPUTED_VALUE"""),"AREQUIPA")</f>
        <v>AREQUIPA</v>
      </c>
      <c r="G169" s="158" t="str">
        <f>IFERROR(__xludf.DUMMYFUNCTION("""COMPUTED_VALUE"""),"OFICINA")</f>
        <v>OFICINA</v>
      </c>
      <c r="H169" s="158" t="str">
        <f>IFERROR(__xludf.DUMMYFUNCTION("""COMPUTED_VALUE"""),"COMERCIAL")</f>
        <v>COMERCIAL</v>
      </c>
      <c r="I169" s="158" t="str">
        <f>IFERROR(__xludf.DUMMYFUNCTION("""COMPUTED_VALUE"""),"ASESOR DE TELEVENTAS")</f>
        <v>ASESOR DE TELEVENTAS</v>
      </c>
      <c r="J169" s="165"/>
      <c r="K169" s="158"/>
      <c r="L169" s="153"/>
      <c r="M169" s="153"/>
      <c r="N169" s="158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  <c r="AG169" s="153"/>
      <c r="AH169" s="153"/>
    </row>
    <row r="170">
      <c r="A170" s="155">
        <f>IFERROR(__xludf.DUMMYFUNCTION("""COMPUTED_VALUE"""),210.0)</f>
        <v>210</v>
      </c>
      <c r="B170" s="156">
        <f>IFERROR(__xludf.DUMMYFUNCTION("""COMPUTED_VALUE"""),45691.0)</f>
        <v>45691</v>
      </c>
      <c r="C170" s="157" t="str">
        <f>IFERROR(__xludf.DUMMYFUNCTION("""COMPUTED_VALUE"""),"48497291")</f>
        <v>48497291</v>
      </c>
      <c r="D170" s="157" t="str">
        <f>IFERROR(__xludf.DUMMYFUNCTION("""COMPUTED_VALUE"""),"CASA SALLUCA, LEYLA XIOMARA")</f>
        <v>CASA SALLUCA, LEYLA XIOMARA</v>
      </c>
      <c r="E170" s="158" t="str">
        <f>IFERROR(__xludf.DUMMYFUNCTION("""COMPUTED_VALUE"""),"PAL")</f>
        <v>PAL</v>
      </c>
      <c r="F170" s="158" t="str">
        <f>IFERROR(__xludf.DUMMYFUNCTION("""COMPUTED_VALUE"""),"AREQUIPA")</f>
        <v>AREQUIPA</v>
      </c>
      <c r="G170" s="158" t="str">
        <f>IFERROR(__xludf.DUMMYFUNCTION("""COMPUTED_VALUE"""),"OFICINA")</f>
        <v>OFICINA</v>
      </c>
      <c r="H170" s="158" t="str">
        <f>IFERROR(__xludf.DUMMYFUNCTION("""COMPUTED_VALUE"""),"COMERCIAL")</f>
        <v>COMERCIAL</v>
      </c>
      <c r="I170" s="158" t="str">
        <f>IFERROR(__xludf.DUMMYFUNCTION("""COMPUTED_VALUE"""),"ASESOR DE CONTACT CENTER")</f>
        <v>ASESOR DE CONTACT CENTER</v>
      </c>
      <c r="J170" s="155"/>
      <c r="K170" s="158"/>
      <c r="L170" s="158"/>
      <c r="M170" s="159"/>
      <c r="N170" s="158"/>
      <c r="O170" s="153"/>
      <c r="P170" s="158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  <c r="AG170" s="153"/>
      <c r="AH170" s="153"/>
    </row>
    <row r="171">
      <c r="A171" s="155">
        <f>IFERROR(__xludf.DUMMYFUNCTION("""COMPUTED_VALUE"""),211.0)</f>
        <v>211</v>
      </c>
      <c r="B171" s="156">
        <f>IFERROR(__xludf.DUMMYFUNCTION("""COMPUTED_VALUE"""),45691.0)</f>
        <v>45691</v>
      </c>
      <c r="C171" s="157" t="str">
        <f>IFERROR(__xludf.DUMMYFUNCTION("""COMPUTED_VALUE"""),"72025044")</f>
        <v>72025044</v>
      </c>
      <c r="D171" s="157" t="str">
        <f>IFERROR(__xludf.DUMMYFUNCTION("""COMPUTED_VALUE"""),"QUISPE NINAHUAMAN, RUTH LISBETH")</f>
        <v>QUISPE NINAHUAMAN, RUTH LISBETH</v>
      </c>
      <c r="E171" s="158" t="str">
        <f>IFERROR(__xludf.DUMMYFUNCTION("""COMPUTED_VALUE"""),"EFI")</f>
        <v>EFI</v>
      </c>
      <c r="F171" s="158" t="str">
        <f>IFERROR(__xludf.DUMMYFUNCTION("""COMPUTED_VALUE"""),"AREQUIPA")</f>
        <v>AREQUIPA</v>
      </c>
      <c r="G171" s="158" t="str">
        <f>IFERROR(__xludf.DUMMYFUNCTION("""COMPUTED_VALUE"""),"OFICINA")</f>
        <v>OFICINA</v>
      </c>
      <c r="H171" s="158" t="str">
        <f>IFERROR(__xludf.DUMMYFUNCTION("""COMPUTED_VALUE"""),"PROYECTOS")</f>
        <v>PROYECTOS</v>
      </c>
      <c r="I171" s="158" t="str">
        <f>IFERROR(__xludf.DUMMYFUNCTION("""COMPUTED_VALUE"""),"CADISTA")</f>
        <v>CADISTA</v>
      </c>
      <c r="J171" s="165"/>
      <c r="K171" s="158"/>
      <c r="L171" s="158"/>
      <c r="M171" s="159"/>
      <c r="N171" s="153"/>
      <c r="O171" s="153"/>
      <c r="P171" s="158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  <c r="AG171" s="153"/>
      <c r="AH171" s="153"/>
    </row>
    <row r="172">
      <c r="A172" s="155">
        <f>IFERROR(__xludf.DUMMYFUNCTION("""COMPUTED_VALUE"""),212.0)</f>
        <v>212</v>
      </c>
      <c r="B172" s="156">
        <f>IFERROR(__xludf.DUMMYFUNCTION("""COMPUTED_VALUE"""),45691.0)</f>
        <v>45691</v>
      </c>
      <c r="C172" s="157" t="str">
        <f>IFERROR(__xludf.DUMMYFUNCTION("""COMPUTED_VALUE"""),"42958967")</f>
        <v>42958967</v>
      </c>
      <c r="D172" s="157" t="str">
        <f>IFERROR(__xludf.DUMMYFUNCTION("""COMPUTED_VALUE"""),"RITA ISABEL, VARGAS TACO")</f>
        <v>RITA ISABEL, VARGAS TACO</v>
      </c>
      <c r="E172" s="158" t="str">
        <f>IFERROR(__xludf.DUMMYFUNCTION("""COMPUTED_VALUE"""),"PAL")</f>
        <v>PAL</v>
      </c>
      <c r="F172" s="158" t="str">
        <f>IFERROR(__xludf.DUMMYFUNCTION("""COMPUTED_VALUE"""),"MOQUEGUA")</f>
        <v>MOQUEGUA</v>
      </c>
      <c r="G172" s="158" t="str">
        <f>IFERROR(__xludf.DUMMYFUNCTION("""COMPUTED_VALUE"""),"OFICINA")</f>
        <v>OFICINA</v>
      </c>
      <c r="H172" s="158" t="str">
        <f>IFERROR(__xludf.DUMMYFUNCTION("""COMPUTED_VALUE"""),"COMERCIAL")</f>
        <v>COMERCIAL</v>
      </c>
      <c r="I172" s="158" t="str">
        <f>IFERROR(__xludf.DUMMYFUNCTION("""COMPUTED_VALUE"""),"ASESOR DE ATENCION AL CLIENTE")</f>
        <v>ASESOR DE ATENCION AL CLIENTE</v>
      </c>
      <c r="J172" s="166"/>
      <c r="K172" s="153"/>
      <c r="L172" s="153"/>
      <c r="M172" s="153"/>
      <c r="N172" s="158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  <c r="AG172" s="153"/>
      <c r="AH172" s="153"/>
    </row>
    <row r="173">
      <c r="A173" s="155">
        <f>IFERROR(__xludf.DUMMYFUNCTION("""COMPUTED_VALUE"""),213.0)</f>
        <v>213</v>
      </c>
      <c r="B173" s="156">
        <f>IFERROR(__xludf.DUMMYFUNCTION("""COMPUTED_VALUE"""),45691.0)</f>
        <v>45691</v>
      </c>
      <c r="C173" s="157" t="str">
        <f>IFERROR(__xludf.DUMMYFUNCTION("""COMPUTED_VALUE"""),"75094484")</f>
        <v>75094484</v>
      </c>
      <c r="D173" s="157" t="str">
        <f>IFERROR(__xludf.DUMMYFUNCTION("""COMPUTED_VALUE"""),"PERALTA TITO, ERIKA MIRIAM")</f>
        <v>PERALTA TITO, ERIKA MIRIAM</v>
      </c>
      <c r="E173" s="158" t="str">
        <f>IFERROR(__xludf.DUMMYFUNCTION("""COMPUTED_VALUE"""),"EFI")</f>
        <v>EFI</v>
      </c>
      <c r="F173" s="158" t="str">
        <f>IFERROR(__xludf.DUMMYFUNCTION("""COMPUTED_VALUE"""),"ILO")</f>
        <v>ILO</v>
      </c>
      <c r="G173" s="158" t="str">
        <f>IFERROR(__xludf.DUMMYFUNCTION("""COMPUTED_VALUE"""),"OFICINA")</f>
        <v>OFICINA</v>
      </c>
      <c r="H173" s="158" t="str">
        <f>IFERROR(__xludf.DUMMYFUNCTION("""COMPUTED_VALUE"""),"NOC")</f>
        <v>NOC</v>
      </c>
      <c r="I173" s="158" t="str">
        <f>IFERROR(__xludf.DUMMYFUNCTION("""COMPUTED_VALUE"""),"OPERADOR NOC")</f>
        <v>OPERADOR NOC</v>
      </c>
      <c r="J173" s="167"/>
      <c r="K173" s="158"/>
      <c r="L173" s="153"/>
      <c r="M173" s="153"/>
      <c r="N173" s="158"/>
      <c r="O173" s="153"/>
      <c r="P173" s="158"/>
      <c r="Q173" s="158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  <c r="AG173" s="153"/>
      <c r="AH173" s="153"/>
    </row>
    <row r="174">
      <c r="A174" s="155">
        <f>IFERROR(__xludf.DUMMYFUNCTION("""COMPUTED_VALUE"""),214.0)</f>
        <v>214</v>
      </c>
      <c r="B174" s="168">
        <f>IFERROR(__xludf.DUMMYFUNCTION("""COMPUTED_VALUE"""),45691.0)</f>
        <v>45691</v>
      </c>
      <c r="C174" s="169" t="str">
        <f>IFERROR(__xludf.DUMMYFUNCTION("""COMPUTED_VALUE"""),"77236807")</f>
        <v>77236807</v>
      </c>
      <c r="D174" s="170" t="str">
        <f>IFERROR(__xludf.DUMMYFUNCTION("""COMPUTED_VALUE"""),"MORENO CUEVA, CARLOS MAURICIO")</f>
        <v>MORENO CUEVA, CARLOS MAURICIO</v>
      </c>
      <c r="E174" s="158" t="str">
        <f>IFERROR(__xludf.DUMMYFUNCTION("""COMPUTED_VALUE"""),"EFI")</f>
        <v>EFI</v>
      </c>
      <c r="F174" s="158" t="str">
        <f>IFERROR(__xludf.DUMMYFUNCTION("""COMPUTED_VALUE"""),"CAMANA")</f>
        <v>CAMANA</v>
      </c>
      <c r="G174" s="158" t="str">
        <f>IFERROR(__xludf.DUMMYFUNCTION("""COMPUTED_VALUE"""),"CAMPO")</f>
        <v>CAMPO</v>
      </c>
      <c r="H174" s="158" t="str">
        <f>IFERROR(__xludf.DUMMYFUNCTION("""COMPUTED_VALUE"""),"OPERACIONES")</f>
        <v>OPERACIONES</v>
      </c>
      <c r="I174" s="158" t="str">
        <f>IFERROR(__xludf.DUMMYFUNCTION("""COMPUTED_VALUE"""),"TECNICO DE SERVICIOS")</f>
        <v>TECNICO DE SERVICIOS</v>
      </c>
      <c r="J174" s="165"/>
      <c r="K174" s="158"/>
      <c r="L174" s="158"/>
      <c r="M174" s="159"/>
      <c r="N174" s="153"/>
      <c r="O174" s="153"/>
      <c r="P174" s="158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  <c r="AG174" s="153"/>
      <c r="AH174" s="153"/>
    </row>
    <row r="175">
      <c r="A175" s="155">
        <f>IFERROR(__xludf.DUMMYFUNCTION("""COMPUTED_VALUE"""),215.0)</f>
        <v>215</v>
      </c>
      <c r="B175" s="168">
        <f>IFERROR(__xludf.DUMMYFUNCTION("""COMPUTED_VALUE"""),45692.0)</f>
        <v>45692</v>
      </c>
      <c r="C175" s="169" t="str">
        <f>IFERROR(__xludf.DUMMYFUNCTION("""COMPUTED_VALUE"""),"72524053")</f>
        <v>72524053</v>
      </c>
      <c r="D175" s="170" t="str">
        <f>IFERROR(__xludf.DUMMYFUNCTION("""COMPUTED_VALUE"""),"NAJARRO HUARAYA, CARMEN ALEXANDRA")</f>
        <v>NAJARRO HUARAYA, CARMEN ALEXANDRA</v>
      </c>
      <c r="E175" s="158" t="str">
        <f>IFERROR(__xludf.DUMMYFUNCTION("""COMPUTED_VALUE"""),"PAL")</f>
        <v>PAL</v>
      </c>
      <c r="F175" s="158" t="str">
        <f>IFERROR(__xludf.DUMMYFUNCTION("""COMPUTED_VALUE"""),"AREQUIPA")</f>
        <v>AREQUIPA</v>
      </c>
      <c r="G175" s="158" t="str">
        <f>IFERROR(__xludf.DUMMYFUNCTION("""COMPUTED_VALUE"""),"OFICINA")</f>
        <v>OFICINA</v>
      </c>
      <c r="H175" s="158" t="str">
        <f>IFERROR(__xludf.DUMMYFUNCTION("""COMPUTED_VALUE"""),"COMERCIAL")</f>
        <v>COMERCIAL</v>
      </c>
      <c r="I175" s="158" t="str">
        <f>IFERROR(__xludf.DUMMYFUNCTION("""COMPUTED_VALUE"""),"ASESOR DE TELEVENTAS")</f>
        <v>ASESOR DE TELEVENTAS</v>
      </c>
      <c r="J175" s="165"/>
      <c r="K175" s="158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  <c r="AG175" s="153"/>
      <c r="AH175" s="153"/>
    </row>
    <row r="176">
      <c r="A176" s="153">
        <f>IFERROR(__xludf.DUMMYFUNCTION("""COMPUTED_VALUE"""),216.0)</f>
        <v>216</v>
      </c>
      <c r="B176" s="156">
        <f>IFERROR(__xludf.DUMMYFUNCTION("""COMPUTED_VALUE"""),45693.0)</f>
        <v>45693</v>
      </c>
      <c r="C176" s="171" t="str">
        <f>IFERROR(__xludf.DUMMYFUNCTION("""COMPUTED_VALUE"""),"72524053")</f>
        <v>72524053</v>
      </c>
      <c r="D176" s="153" t="str">
        <f>IFERROR(__xludf.DUMMYFUNCTION("""COMPUTED_VALUE"""),"CONDORI SULLCA ANGELES CAROLINA")</f>
        <v>CONDORI SULLCA ANGELES CAROLINA</v>
      </c>
      <c r="E176" s="153" t="str">
        <f>IFERROR(__xludf.DUMMYFUNCTION("""COMPUTED_VALUE"""),"PAL")</f>
        <v>PAL</v>
      </c>
      <c r="F176" s="153" t="str">
        <f>IFERROR(__xludf.DUMMYFUNCTION("""COMPUTED_VALUE"""),"AREQUIPA")</f>
        <v>AREQUIPA</v>
      </c>
      <c r="G176" s="153" t="str">
        <f>IFERROR(__xludf.DUMMYFUNCTION("""COMPUTED_VALUE"""),"OFICINA")</f>
        <v>OFICINA</v>
      </c>
      <c r="H176" s="153" t="str">
        <f>IFERROR(__xludf.DUMMYFUNCTION("""COMPUTED_VALUE"""),"COMERCIAL")</f>
        <v>COMERCIAL</v>
      </c>
      <c r="I176" s="153" t="str">
        <f>IFERROR(__xludf.DUMMYFUNCTION("""COMPUTED_VALUE"""),"ASESOR DE TELEVENTAS")</f>
        <v>ASESOR DE TELEVENTAS</v>
      </c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</row>
    <row r="177">
      <c r="A177" s="153">
        <f>IFERROR(__xludf.DUMMYFUNCTION("""COMPUTED_VALUE"""),217.0)</f>
        <v>217</v>
      </c>
      <c r="B177" s="156">
        <f>IFERROR(__xludf.DUMMYFUNCTION("""COMPUTED_VALUE"""),45693.0)</f>
        <v>45693</v>
      </c>
      <c r="C177" s="171" t="str">
        <f>IFERROR(__xludf.DUMMYFUNCTION("""COMPUTED_VALUE"""),"72317960")</f>
        <v>72317960</v>
      </c>
      <c r="D177" s="153" t="str">
        <f>IFERROR(__xludf.DUMMYFUNCTION("""COMPUTED_VALUE"""),"LAYME QUISPE, DHAYANA HELLEN")</f>
        <v>LAYME QUISPE, DHAYANA HELLEN</v>
      </c>
      <c r="E177" s="153" t="str">
        <f>IFERROR(__xludf.DUMMYFUNCTION("""COMPUTED_VALUE"""),"PAL")</f>
        <v>PAL</v>
      </c>
      <c r="F177" s="153" t="str">
        <f>IFERROR(__xludf.DUMMYFUNCTION("""COMPUTED_VALUE"""),"ILO")</f>
        <v>ILO</v>
      </c>
      <c r="G177" s="153" t="str">
        <f>IFERROR(__xludf.DUMMYFUNCTION("""COMPUTED_VALUE"""),"OFICINA")</f>
        <v>OFICINA</v>
      </c>
      <c r="H177" s="153" t="str">
        <f>IFERROR(__xludf.DUMMYFUNCTION("""COMPUTED_VALUE"""),"COMERCIAL")</f>
        <v>COMERCIAL</v>
      </c>
      <c r="I177" s="153" t="str">
        <f>IFERROR(__xludf.DUMMYFUNCTION("""COMPUTED_VALUE"""),"CADISTA")</f>
        <v>CADISTA</v>
      </c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</row>
    <row r="178">
      <c r="A178" s="153">
        <f>IFERROR(__xludf.DUMMYFUNCTION("""COMPUTED_VALUE"""),218.0)</f>
        <v>218</v>
      </c>
      <c r="B178" s="156">
        <f>IFERROR(__xludf.DUMMYFUNCTION("""COMPUTED_VALUE"""),45705.0)</f>
        <v>45705</v>
      </c>
      <c r="C178" s="171" t="str">
        <f>IFERROR(__xludf.DUMMYFUNCTION("""COMPUTED_VALUE"""),"46105918")</f>
        <v>46105918</v>
      </c>
      <c r="D178" s="153" t="str">
        <f>IFERROR(__xludf.DUMMYFUNCTION("""COMPUTED_VALUE"""),"DE LA CRUZ TRUJILLO, SERGIO CARLOS")</f>
        <v>DE LA CRUZ TRUJILLO, SERGIO CARLOS</v>
      </c>
      <c r="E178" s="153" t="str">
        <f>IFERROR(__xludf.DUMMYFUNCTION("""COMPUTED_VALUE"""),"MAF")</f>
        <v>MAF</v>
      </c>
      <c r="F178" s="153" t="str">
        <f>IFERROR(__xludf.DUMMYFUNCTION("""COMPUTED_VALUE"""),"ILO")</f>
        <v>ILO</v>
      </c>
      <c r="G178" s="153" t="str">
        <f>IFERROR(__xludf.DUMMYFUNCTION("""COMPUTED_VALUE"""),"OFICINA")</f>
        <v>OFICINA</v>
      </c>
      <c r="H178" s="153" t="str">
        <f>IFERROR(__xludf.DUMMYFUNCTION("""COMPUTED_VALUE"""),"OPERACIONES")</f>
        <v>OPERACIONES</v>
      </c>
      <c r="I178" s="153" t="str">
        <f>IFERROR(__xludf.DUMMYFUNCTION("""COMPUTED_VALUE"""),"JEFE DE OPERACIONES")</f>
        <v>JEFE DE OPERACIONES</v>
      </c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</row>
    <row r="179">
      <c r="A179" s="153">
        <f>IFERROR(__xludf.DUMMYFUNCTION("""COMPUTED_VALUE"""),219.0)</f>
        <v>219</v>
      </c>
      <c r="B179" s="156">
        <f>IFERROR(__xludf.DUMMYFUNCTION("""COMPUTED_VALUE"""),45663.0)</f>
        <v>45663</v>
      </c>
      <c r="C179" s="171" t="str">
        <f>IFERROR(__xludf.DUMMYFUNCTION("""COMPUTED_VALUE"""),"75722949")</f>
        <v>75722949</v>
      </c>
      <c r="D179" s="153" t="str">
        <f>IFERROR(__xludf.DUMMYFUNCTION("""COMPUTED_VALUE"""),"ADRIAN HUANACUNI BONIFACIO")</f>
        <v>ADRIAN HUANACUNI BONIFACIO</v>
      </c>
      <c r="E179" s="153" t="str">
        <f>IFERROR(__xludf.DUMMYFUNCTION("""COMPUTED_VALUE"""),"PAL")</f>
        <v>PAL</v>
      </c>
      <c r="F179" s="153" t="str">
        <f>IFERROR(__xludf.DUMMYFUNCTION("""COMPUTED_VALUE"""),"ILO")</f>
        <v>ILO</v>
      </c>
      <c r="G179" s="153" t="str">
        <f>IFERROR(__xludf.DUMMYFUNCTION("""COMPUTED_VALUE"""),"OFICINA")</f>
        <v>OFICINA</v>
      </c>
      <c r="H179" s="153" t="str">
        <f>IFERROR(__xludf.DUMMYFUNCTION("""COMPUTED_VALUE"""),"TI")</f>
        <v>TI</v>
      </c>
      <c r="I179" s="153" t="str">
        <f>IFERROR(__xludf.DUMMYFUNCTION("""COMPUTED_VALUE"""),"ASISTENTE TI")</f>
        <v>ASISTENTE TI</v>
      </c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</row>
    <row r="180">
      <c r="A180" s="153">
        <f>IFERROR(__xludf.DUMMYFUNCTION("""COMPUTED_VALUE"""),220.0)</f>
        <v>220</v>
      </c>
      <c r="B180" s="156">
        <f>IFERROR(__xludf.DUMMYFUNCTION("""COMPUTED_VALUE"""),45685.0)</f>
        <v>45685</v>
      </c>
      <c r="C180" s="171" t="str">
        <f>IFERROR(__xludf.DUMMYFUNCTION("""COMPUTED_VALUE"""),"46336704")</f>
        <v>46336704</v>
      </c>
      <c r="D180" s="153" t="str">
        <f>IFERROR(__xludf.DUMMYFUNCTION("""COMPUTED_VALUE"""),"MARINO PAUCARA APAZA")</f>
        <v>MARINO PAUCARA APAZA</v>
      </c>
      <c r="E180" s="153" t="str">
        <f>IFERROR(__xludf.DUMMYFUNCTION("""COMPUTED_VALUE"""),"ALM")</f>
        <v>ALM</v>
      </c>
      <c r="F180" s="153" t="str">
        <f>IFERROR(__xludf.DUMMYFUNCTION("""COMPUTED_VALUE"""),"AREQUIPA")</f>
        <v>AREQUIPA</v>
      </c>
      <c r="G180" s="153" t="str">
        <f>IFERROR(__xludf.DUMMYFUNCTION("""COMPUTED_VALUE"""),"OFICINA")</f>
        <v>OFICINA</v>
      </c>
      <c r="H180" s="153" t="str">
        <f>IFERROR(__xludf.DUMMYFUNCTION("""COMPUTED_VALUE"""),"TI")</f>
        <v>TI</v>
      </c>
      <c r="I180" s="153" t="str">
        <f>IFERROR(__xludf.DUMMYFUNCTION("""COMPUTED_VALUE"""),"ENCARGADO TI")</f>
        <v>ENCARGADO TI</v>
      </c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</row>
    <row r="181">
      <c r="A181" s="153">
        <f>IFERROR(__xludf.DUMMYFUNCTION("""COMPUTED_VALUE"""),221.0)</f>
        <v>221</v>
      </c>
      <c r="B181" s="156">
        <f>IFERROR(__xludf.DUMMYFUNCTION("""COMPUTED_VALUE"""),45705.0)</f>
        <v>45705</v>
      </c>
      <c r="C181" s="171" t="str">
        <f>IFERROR(__xludf.DUMMYFUNCTION("""COMPUTED_VALUE"""),"73862480")</f>
        <v>73862480</v>
      </c>
      <c r="D181" s="153" t="str">
        <f>IFERROR(__xludf.DUMMYFUNCTION("""COMPUTED_VALUE"""),"VELASQUEZ RAMOS EDWIN KENYI")</f>
        <v>VELASQUEZ RAMOS EDWIN KENYI</v>
      </c>
      <c r="E181" s="153" t="str">
        <f>IFERROR(__xludf.DUMMYFUNCTION("""COMPUTED_VALUE"""),"EFI")</f>
        <v>EFI</v>
      </c>
      <c r="F181" s="153" t="str">
        <f>IFERROR(__xludf.DUMMYFUNCTION("""COMPUTED_VALUE"""),"AREQUIPA")</f>
        <v>AREQUIPA</v>
      </c>
      <c r="G181" s="153" t="str">
        <f>IFERROR(__xludf.DUMMYFUNCTION("""COMPUTED_VALUE"""),"OFICINA")</f>
        <v>OFICINA</v>
      </c>
      <c r="H181" s="153" t="str">
        <f>IFERROR(__xludf.DUMMYFUNCTION("""COMPUTED_VALUE"""),"VENTAS")</f>
        <v>VENTAS</v>
      </c>
      <c r="I181" s="153" t="str">
        <f>IFERROR(__xludf.DUMMYFUNCTION("""COMPUTED_VALUE"""),"SUPERVISOR DE VENTAS")</f>
        <v>SUPERVISOR DE VENTAS</v>
      </c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</row>
    <row r="182">
      <c r="A182" s="153">
        <f>IFERROR(__xludf.DUMMYFUNCTION("""COMPUTED_VALUE"""),222.0)</f>
        <v>222</v>
      </c>
      <c r="B182" s="156">
        <f>IFERROR(__xludf.DUMMYFUNCTION("""COMPUTED_VALUE"""),45705.0)</f>
        <v>45705</v>
      </c>
      <c r="C182" s="171" t="str">
        <f>IFERROR(__xludf.DUMMYFUNCTION("""COMPUTED_VALUE"""),"46799193")</f>
        <v>46799193</v>
      </c>
      <c r="D182" s="153" t="str">
        <f>IFERROR(__xludf.DUMMYFUNCTION("""COMPUTED_VALUE"""),"CHIPANA RIVERA, SARA NATIVIDAD NATHALY")</f>
        <v>CHIPANA RIVERA, SARA NATIVIDAD NATHALY</v>
      </c>
      <c r="E182" s="153" t="str">
        <f>IFERROR(__xludf.DUMMYFUNCTION("""COMPUTED_VALUE"""),"PAL")</f>
        <v>PAL</v>
      </c>
      <c r="F182" s="153" t="str">
        <f>IFERROR(__xludf.DUMMYFUNCTION("""COMPUTED_VALUE"""),"ILO")</f>
        <v>ILO</v>
      </c>
      <c r="G182" s="153" t="str">
        <f>IFERROR(__xludf.DUMMYFUNCTION("""COMPUTED_VALUE"""),"OFICINA")</f>
        <v>OFICINA</v>
      </c>
      <c r="H182" s="153" t="str">
        <f>IFERROR(__xludf.DUMMYFUNCTION("""COMPUTED_VALUE"""),"ADM TECNICA")</f>
        <v>ADM TECNICA</v>
      </c>
      <c r="I182" s="153" t="str">
        <f>IFERROR(__xludf.DUMMYFUNCTION("""COMPUTED_VALUE"""),"ASISTENTE DE ADMINISTRACION TECNICA")</f>
        <v>ASISTENTE DE ADMINISTRACION TECNICA</v>
      </c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</row>
    <row r="183">
      <c r="A183" s="153">
        <f>IFERROR(__xludf.DUMMYFUNCTION("""COMPUTED_VALUE"""),223.0)</f>
        <v>223</v>
      </c>
      <c r="B183" s="156">
        <f>IFERROR(__xludf.DUMMYFUNCTION("""COMPUTED_VALUE"""),45705.0)</f>
        <v>45705</v>
      </c>
      <c r="C183" s="171" t="str">
        <f>IFERROR(__xludf.DUMMYFUNCTION("""COMPUTED_VALUE"""),"76872455")</f>
        <v>76872455</v>
      </c>
      <c r="D183" s="153" t="str">
        <f>IFERROR(__xludf.DUMMYFUNCTION("""COMPUTED_VALUE"""),"VARGAS PAUCAR, FABRIZIO FERNANDO")</f>
        <v>VARGAS PAUCAR, FABRIZIO FERNANDO</v>
      </c>
      <c r="E183" s="153" t="str">
        <f>IFERROR(__xludf.DUMMYFUNCTION("""COMPUTED_VALUE"""),"PAL")</f>
        <v>PAL</v>
      </c>
      <c r="F183" s="153" t="str">
        <f>IFERROR(__xludf.DUMMYFUNCTION("""COMPUTED_VALUE"""),"ILO")</f>
        <v>ILO</v>
      </c>
      <c r="G183" s="153" t="str">
        <f>IFERROR(__xludf.DUMMYFUNCTION("""COMPUTED_VALUE"""),"OFICINA")</f>
        <v>OFICINA</v>
      </c>
      <c r="H183" s="153" t="str">
        <f>IFERROR(__xludf.DUMMYFUNCTION("""COMPUTED_VALUE"""),"ADM TECNICA")</f>
        <v>ADM TECNICA</v>
      </c>
      <c r="I183" s="153" t="str">
        <f>IFERROR(__xludf.DUMMYFUNCTION("""COMPUTED_VALUE"""),"ASISTENTE DE ADMINISTRACION TECNICA")</f>
        <v>ASISTENTE DE ADMINISTRACION TECNICA</v>
      </c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</row>
    <row r="184">
      <c r="A184" s="153">
        <f>IFERROR(__xludf.DUMMYFUNCTION("""COMPUTED_VALUE"""),224.0)</f>
        <v>224</v>
      </c>
      <c r="B184" s="156">
        <f>IFERROR(__xludf.DUMMYFUNCTION("""COMPUTED_VALUE"""),45705.0)</f>
        <v>45705</v>
      </c>
      <c r="C184" s="171" t="str">
        <f>IFERROR(__xludf.DUMMYFUNCTION("""COMPUTED_VALUE"""),"72277093")</f>
        <v>72277093</v>
      </c>
      <c r="D184" s="171" t="str">
        <f>IFERROR(__xludf.DUMMYFUNCTION("""COMPUTED_VALUE"""),"HUANCA YUPANQUI, BETTY MILAGROS")</f>
        <v>HUANCA YUPANQUI, BETTY MILAGROS</v>
      </c>
      <c r="E184" s="153" t="str">
        <f>IFERROR(__xludf.DUMMYFUNCTION("""COMPUTED_VALUE"""),"PAL")</f>
        <v>PAL</v>
      </c>
      <c r="F184" s="153" t="str">
        <f>IFERROR(__xludf.DUMMYFUNCTION("""COMPUTED_VALUE"""),"ILO")</f>
        <v>ILO</v>
      </c>
      <c r="G184" s="153" t="str">
        <f>IFERROR(__xludf.DUMMYFUNCTION("""COMPUTED_VALUE"""),"OFICINA")</f>
        <v>OFICINA</v>
      </c>
      <c r="H184" s="153" t="str">
        <f>IFERROR(__xludf.DUMMYFUNCTION("""COMPUTED_VALUE"""),"ADM TECNICA")</f>
        <v>ADM TECNICA</v>
      </c>
      <c r="I184" s="153" t="str">
        <f>IFERROR(__xludf.DUMMYFUNCTION("""COMPUTED_VALUE"""),"ASISTENTE DE ADMINISTRACION TECNICA")</f>
        <v>ASISTENTE DE ADMINISTRACION TECNICA</v>
      </c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</row>
    <row r="185">
      <c r="A185" s="153">
        <f>IFERROR(__xludf.DUMMYFUNCTION("""COMPUTED_VALUE"""),225.0)</f>
        <v>225</v>
      </c>
      <c r="B185" s="156">
        <f>IFERROR(__xludf.DUMMYFUNCTION("""COMPUTED_VALUE"""),45705.0)</f>
        <v>45705</v>
      </c>
      <c r="C185" s="171" t="str">
        <f>IFERROR(__xludf.DUMMYFUNCTION("""COMPUTED_VALUE"""),"72277093")</f>
        <v>72277093</v>
      </c>
      <c r="D185" s="153" t="str">
        <f>IFERROR(__xludf.DUMMYFUNCTION("""COMPUTED_VALUE"""),"ACO MENDOZA, VIRGINIA ANGELICA")</f>
        <v>ACO MENDOZA, VIRGINIA ANGELICA</v>
      </c>
      <c r="E185" s="153" t="str">
        <f>IFERROR(__xludf.DUMMYFUNCTION("""COMPUTED_VALUE"""),"PAL")</f>
        <v>PAL</v>
      </c>
      <c r="F185" s="153" t="str">
        <f>IFERROR(__xludf.DUMMYFUNCTION("""COMPUTED_VALUE"""),"AREQUIPA")</f>
        <v>AREQUIPA</v>
      </c>
      <c r="G185" s="153" t="str">
        <f>IFERROR(__xludf.DUMMYFUNCTION("""COMPUTED_VALUE"""),"OFICINA")</f>
        <v>OFICINA</v>
      </c>
      <c r="H185" s="153" t="str">
        <f>IFERROR(__xludf.DUMMYFUNCTION("""COMPUTED_VALUE"""),"MARKETING")</f>
        <v>MARKETING</v>
      </c>
      <c r="I185" s="153" t="str">
        <f>IFERROR(__xludf.DUMMYFUNCTION("""COMPUTED_VALUE"""),"AUXILIAR DE MARKETING Y DISEÑO")</f>
        <v>AUXILIAR DE MARKETING Y DISEÑO</v>
      </c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</row>
    <row r="186">
      <c r="A186" s="153">
        <f>IFERROR(__xludf.DUMMYFUNCTION("""COMPUTED_VALUE"""),226.0)</f>
        <v>226</v>
      </c>
      <c r="B186" s="156">
        <f>IFERROR(__xludf.DUMMYFUNCTION("""COMPUTED_VALUE"""),45706.0)</f>
        <v>45706</v>
      </c>
      <c r="C186" s="171" t="str">
        <f>IFERROR(__xludf.DUMMYFUNCTION("""COMPUTED_VALUE"""),"71238338")</f>
        <v>71238338</v>
      </c>
      <c r="D186" s="153" t="str">
        <f>IFERROR(__xludf.DUMMYFUNCTION("""COMPUTED_VALUE"""),"ORTEGA LARICO, MELANY KEYT")</f>
        <v>ORTEGA LARICO, MELANY KEYT</v>
      </c>
      <c r="E186" s="153" t="str">
        <f>IFERROR(__xludf.DUMMYFUNCTION("""COMPUTED_VALUE"""),"PAL")</f>
        <v>PAL</v>
      </c>
      <c r="F186" s="153" t="str">
        <f>IFERROR(__xludf.DUMMYFUNCTION("""COMPUTED_VALUE"""),"ILO")</f>
        <v>ILO</v>
      </c>
      <c r="G186" s="153" t="str">
        <f>IFERROR(__xludf.DUMMYFUNCTION("""COMPUTED_VALUE"""),"OFICINA")</f>
        <v>OFICINA</v>
      </c>
      <c r="H186" s="153" t="str">
        <f>IFERROR(__xludf.DUMMYFUNCTION("""COMPUTED_VALUE"""),"CONTAC CENTER")</f>
        <v>CONTAC CENTER</v>
      </c>
      <c r="I186" s="153" t="str">
        <f>IFERROR(__xludf.DUMMYFUNCTION("""COMPUTED_VALUE"""),"ASISTENTE NOC")</f>
        <v>ASISTENTE NOC</v>
      </c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</row>
    <row r="187">
      <c r="A187" s="153">
        <f>IFERROR(__xludf.DUMMYFUNCTION("""COMPUTED_VALUE"""),227.0)</f>
        <v>227</v>
      </c>
      <c r="B187" s="156">
        <f>IFERROR(__xludf.DUMMYFUNCTION("""COMPUTED_VALUE"""),45706.0)</f>
        <v>45706</v>
      </c>
      <c r="C187" s="171" t="str">
        <f>IFERROR(__xludf.DUMMYFUNCTION("""COMPUTED_VALUE"""),"71782723")</f>
        <v>71782723</v>
      </c>
      <c r="D187" s="153" t="str">
        <f>IFERROR(__xludf.DUMMYFUNCTION("""COMPUTED_VALUE"""),"DEL CARPIO CHEJO, HUGO GUILLERMO")</f>
        <v>DEL CARPIO CHEJO, HUGO GUILLERMO</v>
      </c>
      <c r="E187" s="153" t="str">
        <f>IFERROR(__xludf.DUMMYFUNCTION("""COMPUTED_VALUE"""),"PAL")</f>
        <v>PAL</v>
      </c>
      <c r="F187" s="153" t="str">
        <f>IFERROR(__xludf.DUMMYFUNCTION("""COMPUTED_VALUE"""),"ILO")</f>
        <v>ILO</v>
      </c>
      <c r="G187" s="153" t="str">
        <f>IFERROR(__xludf.DUMMYFUNCTION("""COMPUTED_VALUE"""),"OFICINA")</f>
        <v>OFICINA</v>
      </c>
      <c r="H187" s="153" t="str">
        <f>IFERROR(__xludf.DUMMYFUNCTION("""COMPUTED_VALUE"""),"CONTAC CENTER")</f>
        <v>CONTAC CENTER</v>
      </c>
      <c r="I187" s="153" t="str">
        <f>IFERROR(__xludf.DUMMYFUNCTION("""COMPUTED_VALUE"""),"ASISTENTE NOC")</f>
        <v>ASISTENTE NOC</v>
      </c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</row>
    <row r="188">
      <c r="A188" s="153"/>
      <c r="B188" s="156"/>
      <c r="C188" s="171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</row>
    <row r="189">
      <c r="A189" s="153"/>
      <c r="B189" s="156"/>
      <c r="C189" s="171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</row>
    <row r="190">
      <c r="A190" s="153"/>
      <c r="B190" s="156"/>
      <c r="C190" s="171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</row>
    <row r="191">
      <c r="A191" s="153"/>
      <c r="B191" s="156"/>
      <c r="C191" s="171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</row>
    <row r="192">
      <c r="A192" s="153"/>
      <c r="B192" s="156"/>
      <c r="C192" s="171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</row>
    <row r="193">
      <c r="A193" s="153"/>
      <c r="B193" s="156"/>
      <c r="C193" s="171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</row>
    <row r="194">
      <c r="A194" s="153"/>
      <c r="B194" s="156"/>
      <c r="C194" s="171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</row>
    <row r="195">
      <c r="A195" s="153"/>
      <c r="B195" s="156"/>
      <c r="C195" s="171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</row>
    <row r="196">
      <c r="A196" s="153"/>
      <c r="B196" s="156"/>
      <c r="C196" s="171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</row>
    <row r="197">
      <c r="A197" s="153"/>
      <c r="B197" s="156"/>
      <c r="C197" s="171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</row>
    <row r="198">
      <c r="A198" s="153"/>
      <c r="B198" s="156"/>
      <c r="C198" s="171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</row>
    <row r="199">
      <c r="A199" s="153"/>
      <c r="B199" s="156"/>
      <c r="C199" s="171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</row>
    <row r="200">
      <c r="A200" s="153"/>
      <c r="B200" s="156"/>
      <c r="C200" s="171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</row>
    <row r="201">
      <c r="A201" s="153"/>
      <c r="B201" s="156"/>
      <c r="C201" s="171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</row>
    <row r="202">
      <c r="A202" s="153"/>
      <c r="B202" s="156"/>
      <c r="C202" s="171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/>
      <c r="AH202" s="153"/>
    </row>
    <row r="203">
      <c r="A203" s="153"/>
      <c r="B203" s="156"/>
      <c r="C203" s="171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</row>
    <row r="204">
      <c r="A204" s="153"/>
      <c r="B204" s="156"/>
      <c r="C204" s="171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</row>
    <row r="205">
      <c r="A205" s="153"/>
      <c r="B205" s="156"/>
      <c r="C205" s="171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</row>
    <row r="206">
      <c r="A206" s="153"/>
      <c r="B206" s="156"/>
      <c r="C206" s="171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</row>
    <row r="207">
      <c r="A207" s="153"/>
      <c r="B207" s="156"/>
      <c r="C207" s="171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</row>
    <row r="208">
      <c r="A208" s="153"/>
      <c r="B208" s="156"/>
      <c r="C208" s="171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</row>
    <row r="209">
      <c r="A209" s="153"/>
      <c r="B209" s="156"/>
      <c r="C209" s="171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</row>
    <row r="210">
      <c r="A210" s="153"/>
      <c r="B210" s="156"/>
      <c r="C210" s="171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</row>
    <row r="211">
      <c r="A211" s="153"/>
      <c r="B211" s="156"/>
      <c r="C211" s="171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</row>
    <row r="212">
      <c r="A212" s="153"/>
      <c r="B212" s="156"/>
      <c r="C212" s="171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</row>
    <row r="213">
      <c r="A213" s="153"/>
      <c r="B213" s="156"/>
      <c r="C213" s="171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</row>
    <row r="214">
      <c r="A214" s="153"/>
      <c r="B214" s="156"/>
      <c r="C214" s="171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</row>
    <row r="215">
      <c r="A215" s="153"/>
      <c r="B215" s="156"/>
      <c r="C215" s="171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  <c r="AG215" s="153"/>
      <c r="AH215" s="153"/>
    </row>
    <row r="216">
      <c r="A216" s="153"/>
      <c r="B216" s="156"/>
      <c r="C216" s="171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</row>
    <row r="217">
      <c r="A217" s="153"/>
      <c r="B217" s="156"/>
      <c r="C217" s="171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  <c r="AG217" s="153"/>
      <c r="AH217" s="153"/>
    </row>
    <row r="218">
      <c r="A218" s="153"/>
      <c r="B218" s="156"/>
      <c r="C218" s="171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</row>
    <row r="219">
      <c r="A219" s="153"/>
      <c r="B219" s="156"/>
      <c r="C219" s="171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  <c r="AG219" s="153"/>
      <c r="AH219" s="153"/>
    </row>
    <row r="220">
      <c r="A220" s="153"/>
      <c r="B220" s="156"/>
      <c r="C220" s="171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</row>
    <row r="221">
      <c r="A221" s="153"/>
      <c r="B221" s="156"/>
      <c r="C221" s="171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  <c r="AG221" s="153"/>
      <c r="AH221" s="153"/>
    </row>
    <row r="222">
      <c r="A222" s="153"/>
      <c r="B222" s="156"/>
      <c r="C222" s="171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</row>
    <row r="223">
      <c r="A223" s="153"/>
      <c r="B223" s="156"/>
      <c r="C223" s="171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  <c r="AG223" s="153"/>
      <c r="AH223" s="153"/>
    </row>
    <row r="224">
      <c r="A224" s="153"/>
      <c r="B224" s="156"/>
      <c r="C224" s="171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</row>
    <row r="225">
      <c r="A225" s="153"/>
      <c r="B225" s="156"/>
      <c r="C225" s="171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</row>
    <row r="226">
      <c r="A226" s="153"/>
      <c r="B226" s="156"/>
      <c r="C226" s="171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</row>
    <row r="227">
      <c r="A227" s="153"/>
      <c r="B227" s="156"/>
      <c r="C227" s="171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</row>
    <row r="228">
      <c r="A228" s="153"/>
      <c r="B228" s="156"/>
      <c r="C228" s="171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</row>
    <row r="229">
      <c r="A229" s="153"/>
      <c r="B229" s="156"/>
      <c r="C229" s="171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</row>
    <row r="230">
      <c r="A230" s="153"/>
      <c r="B230" s="156"/>
      <c r="C230" s="171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</row>
    <row r="231">
      <c r="A231" s="153"/>
      <c r="B231" s="156"/>
      <c r="C231" s="171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</row>
    <row r="232">
      <c r="A232" s="153"/>
      <c r="B232" s="156"/>
      <c r="C232" s="171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</row>
    <row r="233">
      <c r="A233" s="153"/>
      <c r="B233" s="156"/>
      <c r="C233" s="171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</row>
    <row r="234">
      <c r="A234" s="153"/>
      <c r="B234" s="156"/>
      <c r="C234" s="171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</row>
    <row r="235">
      <c r="A235" s="153"/>
      <c r="B235" s="156"/>
      <c r="C235" s="171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</row>
    <row r="236">
      <c r="A236" s="153"/>
      <c r="B236" s="156"/>
      <c r="C236" s="171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</row>
    <row r="237">
      <c r="A237" s="153"/>
      <c r="B237" s="156"/>
      <c r="C237" s="171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</row>
    <row r="238">
      <c r="A238" s="153"/>
      <c r="B238" s="156"/>
      <c r="C238" s="171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</row>
    <row r="239">
      <c r="A239" s="153"/>
      <c r="B239" s="156"/>
      <c r="C239" s="171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</row>
    <row r="240">
      <c r="A240" s="153"/>
      <c r="B240" s="156"/>
      <c r="C240" s="171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</row>
    <row r="241">
      <c r="A241" s="153"/>
      <c r="B241" s="156"/>
      <c r="C241" s="171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</row>
    <row r="242">
      <c r="A242" s="153"/>
      <c r="B242" s="156"/>
      <c r="C242" s="171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</row>
    <row r="243">
      <c r="A243" s="153"/>
      <c r="B243" s="156"/>
      <c r="C243" s="171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</row>
    <row r="244">
      <c r="A244" s="153"/>
      <c r="B244" s="156"/>
      <c r="C244" s="171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</row>
    <row r="245">
      <c r="A245" s="153"/>
      <c r="B245" s="156"/>
      <c r="C245" s="171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</row>
    <row r="246">
      <c r="A246" s="153"/>
      <c r="B246" s="156"/>
      <c r="C246" s="171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</row>
    <row r="247">
      <c r="A247" s="153"/>
      <c r="B247" s="156"/>
      <c r="C247" s="171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</row>
    <row r="248">
      <c r="A248" s="153"/>
      <c r="B248" s="156"/>
      <c r="C248" s="171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</row>
    <row r="249">
      <c r="A249" s="153"/>
      <c r="B249" s="156"/>
      <c r="C249" s="171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</row>
    <row r="250">
      <c r="A250" s="153"/>
      <c r="B250" s="156"/>
      <c r="C250" s="171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</row>
    <row r="251">
      <c r="A251" s="153"/>
      <c r="B251" s="156"/>
      <c r="C251" s="171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</row>
    <row r="252">
      <c r="A252" s="153"/>
      <c r="B252" s="156"/>
      <c r="C252" s="171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</row>
    <row r="253">
      <c r="A253" s="153"/>
      <c r="B253" s="156"/>
      <c r="C253" s="171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</row>
    <row r="254">
      <c r="A254" s="153"/>
      <c r="B254" s="156"/>
      <c r="C254" s="171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</row>
    <row r="255">
      <c r="A255" s="153"/>
      <c r="B255" s="156"/>
      <c r="C255" s="171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</row>
    <row r="256">
      <c r="A256" s="153"/>
      <c r="B256" s="156"/>
      <c r="C256" s="171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</row>
    <row r="257">
      <c r="A257" s="153"/>
      <c r="B257" s="156"/>
      <c r="C257" s="171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</row>
    <row r="258">
      <c r="A258" s="153"/>
      <c r="B258" s="156"/>
      <c r="C258" s="171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</row>
    <row r="259">
      <c r="A259" s="153"/>
      <c r="B259" s="156"/>
      <c r="C259" s="171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</row>
    <row r="260">
      <c r="A260" s="153"/>
      <c r="B260" s="156"/>
      <c r="C260" s="171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</row>
    <row r="261">
      <c r="A261" s="153"/>
      <c r="B261" s="156"/>
      <c r="C261" s="171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</row>
    <row r="262">
      <c r="A262" s="153"/>
      <c r="B262" s="156"/>
      <c r="C262" s="171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</row>
    <row r="263">
      <c r="A263" s="153"/>
      <c r="B263" s="156"/>
      <c r="C263" s="171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</row>
    <row r="264">
      <c r="A264" s="153"/>
      <c r="B264" s="156"/>
      <c r="C264" s="171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</row>
    <row r="265">
      <c r="A265" s="153"/>
      <c r="B265" s="156"/>
      <c r="C265" s="171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</row>
    <row r="266">
      <c r="A266" s="153"/>
      <c r="B266" s="156"/>
      <c r="C266" s="171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</row>
    <row r="267">
      <c r="A267" s="153"/>
      <c r="B267" s="156"/>
      <c r="C267" s="171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</row>
    <row r="268">
      <c r="A268" s="153"/>
      <c r="B268" s="156"/>
      <c r="C268" s="171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</row>
    <row r="269">
      <c r="A269" s="153"/>
      <c r="B269" s="156"/>
      <c r="C269" s="171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</row>
    <row r="270">
      <c r="A270" s="153"/>
      <c r="B270" s="156"/>
      <c r="C270" s="171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  <c r="AG270" s="153"/>
      <c r="AH270" s="153"/>
    </row>
    <row r="271">
      <c r="A271" s="153"/>
      <c r="B271" s="156"/>
      <c r="C271" s="171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</row>
    <row r="272">
      <c r="A272" s="153"/>
      <c r="B272" s="156"/>
      <c r="C272" s="171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</row>
    <row r="273">
      <c r="A273" s="153"/>
      <c r="B273" s="156"/>
      <c r="C273" s="171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</row>
    <row r="274">
      <c r="A274" s="153"/>
      <c r="B274" s="156"/>
      <c r="C274" s="171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</row>
    <row r="275">
      <c r="A275" s="153"/>
      <c r="B275" s="156"/>
      <c r="C275" s="171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</row>
    <row r="276">
      <c r="A276" s="153"/>
      <c r="B276" s="156"/>
      <c r="C276" s="171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</row>
    <row r="277">
      <c r="A277" s="153"/>
      <c r="B277" s="156"/>
      <c r="C277" s="171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</row>
    <row r="278">
      <c r="A278" s="153"/>
      <c r="B278" s="156"/>
      <c r="C278" s="171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</row>
    <row r="279">
      <c r="A279" s="153"/>
      <c r="B279" s="156"/>
      <c r="C279" s="171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</row>
    <row r="280">
      <c r="A280" s="153"/>
      <c r="B280" s="156"/>
      <c r="C280" s="171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</row>
    <row r="281">
      <c r="A281" s="153"/>
      <c r="B281" s="156"/>
      <c r="C281" s="171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</row>
    <row r="282">
      <c r="A282" s="153"/>
      <c r="B282" s="156"/>
      <c r="C282" s="171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</row>
    <row r="283">
      <c r="A283" s="153"/>
      <c r="B283" s="156"/>
      <c r="C283" s="171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</row>
    <row r="284">
      <c r="A284" s="153"/>
      <c r="B284" s="156"/>
      <c r="C284" s="171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</row>
    <row r="285">
      <c r="A285" s="153"/>
      <c r="B285" s="156"/>
      <c r="C285" s="171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</row>
    <row r="286">
      <c r="A286" s="153"/>
      <c r="B286" s="156"/>
      <c r="C286" s="171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</row>
    <row r="287">
      <c r="A287" s="153"/>
      <c r="B287" s="156"/>
      <c r="C287" s="171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</row>
    <row r="288">
      <c r="A288" s="153"/>
      <c r="B288" s="156"/>
      <c r="C288" s="171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</row>
    <row r="289">
      <c r="A289" s="153"/>
      <c r="B289" s="156"/>
      <c r="C289" s="171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</row>
    <row r="290">
      <c r="A290" s="153"/>
      <c r="B290" s="156"/>
      <c r="C290" s="171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</row>
    <row r="291">
      <c r="A291" s="153"/>
      <c r="B291" s="156"/>
      <c r="C291" s="171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</row>
    <row r="292">
      <c r="A292" s="153"/>
      <c r="B292" s="156"/>
      <c r="C292" s="171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</row>
    <row r="293">
      <c r="A293" s="153"/>
      <c r="B293" s="156"/>
      <c r="C293" s="171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</row>
    <row r="294">
      <c r="A294" s="153"/>
      <c r="B294" s="156"/>
      <c r="C294" s="171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</row>
    <row r="295">
      <c r="A295" s="153"/>
      <c r="B295" s="156"/>
      <c r="C295" s="171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</row>
    <row r="296">
      <c r="A296" s="153"/>
      <c r="B296" s="156"/>
      <c r="C296" s="171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</row>
    <row r="297">
      <c r="A297" s="153"/>
      <c r="B297" s="156"/>
      <c r="C297" s="171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</row>
    <row r="298">
      <c r="A298" s="153"/>
      <c r="B298" s="156"/>
      <c r="C298" s="171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</row>
    <row r="299">
      <c r="A299" s="153"/>
      <c r="B299" s="156"/>
      <c r="C299" s="171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</row>
    <row r="300">
      <c r="A300" s="153"/>
      <c r="B300" s="156"/>
      <c r="C300" s="171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</row>
    <row r="301">
      <c r="A301" s="153"/>
      <c r="B301" s="156"/>
      <c r="C301" s="171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</row>
    <row r="302">
      <c r="A302" s="153"/>
      <c r="B302" s="156"/>
      <c r="C302" s="171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</row>
    <row r="303">
      <c r="A303" s="153"/>
      <c r="B303" s="156"/>
      <c r="C303" s="171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</row>
    <row r="304">
      <c r="A304" s="153"/>
      <c r="B304" s="156"/>
      <c r="C304" s="171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</row>
    <row r="305">
      <c r="A305" s="153"/>
      <c r="B305" s="156"/>
      <c r="C305" s="171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</row>
    <row r="306">
      <c r="A306" s="153"/>
      <c r="B306" s="156"/>
      <c r="C306" s="171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</row>
    <row r="307">
      <c r="A307" s="153"/>
      <c r="B307" s="156"/>
      <c r="C307" s="171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  <c r="AG307" s="153"/>
      <c r="AH307" s="153"/>
    </row>
    <row r="308">
      <c r="A308" s="153"/>
      <c r="B308" s="156"/>
      <c r="C308" s="171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  <c r="AG308" s="153"/>
      <c r="AH308" s="153"/>
    </row>
    <row r="309">
      <c r="A309" s="153"/>
      <c r="B309" s="156"/>
      <c r="C309" s="171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  <c r="AG309" s="153"/>
      <c r="AH309" s="153"/>
    </row>
    <row r="310">
      <c r="A310" s="153"/>
      <c r="B310" s="156"/>
      <c r="C310" s="171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  <c r="AG310" s="153"/>
      <c r="AH310" s="153"/>
    </row>
    <row r="311">
      <c r="A311" s="153"/>
      <c r="B311" s="156"/>
      <c r="C311" s="171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  <c r="AG311" s="153"/>
      <c r="AH311" s="153"/>
    </row>
    <row r="312">
      <c r="A312" s="153"/>
      <c r="B312" s="156"/>
      <c r="C312" s="171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</row>
    <row r="313">
      <c r="A313" s="153"/>
      <c r="B313" s="156"/>
      <c r="C313" s="171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  <c r="AG313" s="153"/>
      <c r="AH313" s="153"/>
    </row>
    <row r="314">
      <c r="A314" s="153"/>
      <c r="B314" s="156"/>
      <c r="C314" s="171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</row>
    <row r="315">
      <c r="A315" s="153"/>
      <c r="B315" s="156"/>
      <c r="C315" s="171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</row>
    <row r="316">
      <c r="A316" s="153"/>
      <c r="B316" s="156"/>
      <c r="C316" s="171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</row>
    <row r="317">
      <c r="A317" s="153"/>
      <c r="B317" s="156"/>
      <c r="C317" s="171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</row>
    <row r="318">
      <c r="A318" s="153"/>
      <c r="B318" s="156"/>
      <c r="C318" s="171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</row>
    <row r="319">
      <c r="A319" s="153"/>
      <c r="B319" s="156"/>
      <c r="C319" s="171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  <c r="AG319" s="153"/>
      <c r="AH319" s="153"/>
    </row>
    <row r="320">
      <c r="A320" s="153"/>
      <c r="B320" s="156"/>
      <c r="C320" s="171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</row>
    <row r="321">
      <c r="A321" s="153"/>
      <c r="B321" s="156"/>
      <c r="C321" s="171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</row>
    <row r="322">
      <c r="A322" s="153"/>
      <c r="B322" s="156"/>
      <c r="C322" s="171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  <c r="AG322" s="153"/>
      <c r="AH322" s="153"/>
    </row>
    <row r="323">
      <c r="A323" s="153"/>
      <c r="B323" s="156"/>
      <c r="C323" s="171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</row>
    <row r="324">
      <c r="A324" s="153"/>
      <c r="B324" s="156"/>
      <c r="C324" s="171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  <c r="AG324" s="153"/>
      <c r="AH324" s="153"/>
    </row>
    <row r="325">
      <c r="A325" s="153"/>
      <c r="B325" s="156"/>
      <c r="C325" s="171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  <c r="AG325" s="153"/>
      <c r="AH325" s="153"/>
    </row>
    <row r="326">
      <c r="A326" s="153"/>
      <c r="B326" s="156"/>
      <c r="C326" s="171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  <c r="AG326" s="153"/>
      <c r="AH326" s="153"/>
    </row>
    <row r="327">
      <c r="A327" s="153"/>
      <c r="B327" s="156"/>
      <c r="C327" s="171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  <c r="AG327" s="153"/>
      <c r="AH327" s="153"/>
    </row>
    <row r="328">
      <c r="A328" s="153"/>
      <c r="B328" s="156"/>
      <c r="C328" s="171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  <c r="AG328" s="153"/>
      <c r="AH328" s="153"/>
    </row>
    <row r="329">
      <c r="A329" s="153"/>
      <c r="B329" s="156"/>
      <c r="C329" s="171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</row>
    <row r="330">
      <c r="A330" s="153"/>
      <c r="B330" s="156"/>
      <c r="C330" s="171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</row>
    <row r="331">
      <c r="A331" s="153"/>
      <c r="B331" s="156"/>
      <c r="C331" s="171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</row>
    <row r="332">
      <c r="A332" s="153"/>
      <c r="B332" s="156"/>
      <c r="C332" s="171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</row>
    <row r="333">
      <c r="A333" s="153"/>
      <c r="B333" s="156"/>
      <c r="C333" s="171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</row>
    <row r="334">
      <c r="A334" s="153"/>
      <c r="B334" s="156"/>
      <c r="C334" s="171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</row>
    <row r="335">
      <c r="A335" s="153"/>
      <c r="B335" s="156"/>
      <c r="C335" s="171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</row>
    <row r="336">
      <c r="A336" s="153"/>
      <c r="B336" s="156"/>
      <c r="C336" s="171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</row>
    <row r="337">
      <c r="A337" s="153"/>
      <c r="B337" s="156"/>
      <c r="C337" s="171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  <c r="AG337" s="153"/>
      <c r="AH337" s="153"/>
    </row>
    <row r="338">
      <c r="A338" s="153"/>
      <c r="B338" s="156"/>
      <c r="C338" s="171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  <c r="AG338" s="153"/>
      <c r="AH338" s="153"/>
    </row>
    <row r="339">
      <c r="A339" s="153"/>
      <c r="B339" s="156"/>
      <c r="C339" s="171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  <c r="AG339" s="153"/>
      <c r="AH339" s="153"/>
    </row>
    <row r="340">
      <c r="A340" s="153"/>
      <c r="B340" s="156"/>
      <c r="C340" s="171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</row>
    <row r="341">
      <c r="A341" s="153"/>
      <c r="B341" s="156"/>
      <c r="C341" s="171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</row>
    <row r="342">
      <c r="A342" s="153"/>
      <c r="B342" s="156"/>
      <c r="C342" s="171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</row>
    <row r="343">
      <c r="A343" s="153"/>
      <c r="B343" s="156"/>
      <c r="C343" s="171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</row>
    <row r="344">
      <c r="A344" s="153"/>
      <c r="B344" s="156"/>
      <c r="C344" s="171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  <c r="AG344" s="153"/>
      <c r="AH344" s="153"/>
    </row>
    <row r="345">
      <c r="A345" s="153"/>
      <c r="B345" s="156"/>
      <c r="C345" s="171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  <c r="AG345" s="153"/>
      <c r="AH345" s="153"/>
    </row>
    <row r="346">
      <c r="A346" s="153"/>
      <c r="B346" s="156"/>
      <c r="C346" s="171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</row>
    <row r="347">
      <c r="A347" s="153"/>
      <c r="B347" s="156"/>
      <c r="C347" s="171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</row>
    <row r="348">
      <c r="A348" s="153"/>
      <c r="B348" s="156"/>
      <c r="C348" s="171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</row>
    <row r="349">
      <c r="A349" s="153"/>
      <c r="B349" s="156"/>
      <c r="C349" s="171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</row>
    <row r="350">
      <c r="A350" s="153"/>
      <c r="B350" s="156"/>
      <c r="C350" s="171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</row>
    <row r="351">
      <c r="A351" s="153"/>
      <c r="B351" s="156"/>
      <c r="C351" s="171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</row>
    <row r="352">
      <c r="A352" s="153"/>
      <c r="B352" s="156"/>
      <c r="C352" s="171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</row>
    <row r="353">
      <c r="A353" s="153"/>
      <c r="B353" s="156"/>
      <c r="C353" s="171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</row>
    <row r="354">
      <c r="A354" s="153"/>
      <c r="B354" s="156"/>
      <c r="C354" s="171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</row>
    <row r="355">
      <c r="A355" s="153"/>
      <c r="B355" s="156"/>
      <c r="C355" s="171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</row>
    <row r="356">
      <c r="A356" s="153"/>
      <c r="B356" s="156"/>
      <c r="C356" s="171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</row>
    <row r="357">
      <c r="A357" s="153"/>
      <c r="B357" s="156"/>
      <c r="C357" s="171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</row>
    <row r="358">
      <c r="A358" s="153"/>
      <c r="B358" s="156"/>
      <c r="C358" s="171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</row>
    <row r="359">
      <c r="A359" s="153"/>
      <c r="B359" s="156"/>
      <c r="C359" s="171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</row>
    <row r="360">
      <c r="A360" s="153"/>
      <c r="B360" s="156"/>
      <c r="C360" s="171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</row>
    <row r="361">
      <c r="A361" s="153"/>
      <c r="B361" s="156"/>
      <c r="C361" s="171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</row>
    <row r="362">
      <c r="A362" s="153"/>
      <c r="B362" s="156"/>
      <c r="C362" s="171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</row>
    <row r="363">
      <c r="A363" s="153"/>
      <c r="B363" s="156"/>
      <c r="C363" s="171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</row>
    <row r="364">
      <c r="A364" s="153"/>
      <c r="B364" s="156"/>
      <c r="C364" s="171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</row>
    <row r="365">
      <c r="A365" s="153"/>
      <c r="B365" s="156"/>
      <c r="C365" s="171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</row>
    <row r="366">
      <c r="A366" s="153"/>
      <c r="B366" s="156"/>
      <c r="C366" s="171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</row>
    <row r="367">
      <c r="A367" s="153"/>
      <c r="B367" s="156"/>
      <c r="C367" s="171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</row>
    <row r="368">
      <c r="A368" s="153"/>
      <c r="B368" s="156"/>
      <c r="C368" s="171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</row>
    <row r="369">
      <c r="A369" s="153"/>
      <c r="B369" s="156"/>
      <c r="C369" s="171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</row>
    <row r="370">
      <c r="A370" s="153"/>
      <c r="B370" s="156"/>
      <c r="C370" s="171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</row>
    <row r="371">
      <c r="A371" s="153"/>
      <c r="B371" s="156"/>
      <c r="C371" s="171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</row>
    <row r="372">
      <c r="A372" s="153"/>
      <c r="B372" s="156"/>
      <c r="C372" s="171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</row>
    <row r="373">
      <c r="A373" s="153"/>
      <c r="B373" s="156"/>
      <c r="C373" s="171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</row>
    <row r="374">
      <c r="A374" s="153"/>
      <c r="B374" s="156"/>
      <c r="C374" s="171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/>
      <c r="AH374" s="153"/>
    </row>
    <row r="375">
      <c r="A375" s="153"/>
      <c r="B375" s="156"/>
      <c r="C375" s="171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</row>
    <row r="376">
      <c r="A376" s="153"/>
      <c r="B376" s="156"/>
      <c r="C376" s="171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</row>
    <row r="377">
      <c r="A377" s="153"/>
      <c r="B377" s="156"/>
      <c r="C377" s="171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</row>
    <row r="378">
      <c r="A378" s="153"/>
      <c r="B378" s="156"/>
      <c r="C378" s="171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</row>
    <row r="379">
      <c r="A379" s="153"/>
      <c r="B379" s="156"/>
      <c r="C379" s="171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  <c r="AG379" s="153"/>
      <c r="AH379" s="153"/>
    </row>
    <row r="380">
      <c r="A380" s="153"/>
      <c r="B380" s="156"/>
      <c r="C380" s="171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  <c r="AG380" s="153"/>
      <c r="AH380" s="153"/>
    </row>
    <row r="381">
      <c r="A381" s="153"/>
      <c r="B381" s="156"/>
      <c r="C381" s="171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  <c r="AG381" s="153"/>
      <c r="AH381" s="153"/>
    </row>
    <row r="382">
      <c r="A382" s="153"/>
      <c r="B382" s="156"/>
      <c r="C382" s="171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  <c r="AG382" s="153"/>
      <c r="AH382" s="153"/>
    </row>
    <row r="383">
      <c r="A383" s="153"/>
      <c r="B383" s="156"/>
      <c r="C383" s="171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  <c r="AG383" s="153"/>
      <c r="AH383" s="153"/>
    </row>
    <row r="384">
      <c r="A384" s="153"/>
      <c r="B384" s="156"/>
      <c r="C384" s="171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</row>
    <row r="385">
      <c r="A385" s="153"/>
      <c r="B385" s="156"/>
      <c r="C385" s="171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</row>
    <row r="386">
      <c r="A386" s="153"/>
      <c r="B386" s="156"/>
      <c r="C386" s="171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</row>
    <row r="387">
      <c r="A387" s="153"/>
      <c r="B387" s="156"/>
      <c r="C387" s="171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</row>
    <row r="388">
      <c r="A388" s="153"/>
      <c r="B388" s="156"/>
      <c r="C388" s="171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</row>
    <row r="389">
      <c r="A389" s="153"/>
      <c r="B389" s="156"/>
      <c r="C389" s="171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</row>
    <row r="390">
      <c r="A390" s="153"/>
      <c r="B390" s="156"/>
      <c r="C390" s="171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</row>
    <row r="391">
      <c r="A391" s="153"/>
      <c r="B391" s="156"/>
      <c r="C391" s="171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</row>
    <row r="392">
      <c r="A392" s="153"/>
      <c r="B392" s="156"/>
      <c r="C392" s="171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</row>
    <row r="393">
      <c r="A393" s="153"/>
      <c r="B393" s="156"/>
      <c r="C393" s="171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</row>
    <row r="394">
      <c r="A394" s="153"/>
      <c r="B394" s="156"/>
      <c r="C394" s="171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</row>
    <row r="395">
      <c r="A395" s="153"/>
      <c r="B395" s="156"/>
      <c r="C395" s="171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</row>
    <row r="396">
      <c r="A396" s="153"/>
      <c r="B396" s="156"/>
      <c r="C396" s="171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</row>
    <row r="397">
      <c r="A397" s="153"/>
      <c r="B397" s="156"/>
      <c r="C397" s="171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</row>
    <row r="398">
      <c r="A398" s="153"/>
      <c r="B398" s="156"/>
      <c r="C398" s="171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</row>
    <row r="399">
      <c r="A399" s="153"/>
      <c r="B399" s="156"/>
      <c r="C399" s="171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</row>
    <row r="400">
      <c r="A400" s="153"/>
      <c r="B400" s="156"/>
      <c r="C400" s="171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</row>
    <row r="401">
      <c r="A401" s="153"/>
      <c r="B401" s="156"/>
      <c r="C401" s="171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  <c r="AG401" s="153"/>
      <c r="AH401" s="153"/>
    </row>
    <row r="402">
      <c r="A402" s="153"/>
      <c r="B402" s="156"/>
      <c r="C402" s="171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</row>
    <row r="403">
      <c r="A403" s="153"/>
      <c r="B403" s="156"/>
      <c r="C403" s="171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</row>
    <row r="404">
      <c r="A404" s="153"/>
      <c r="B404" s="156"/>
      <c r="C404" s="171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</row>
    <row r="405">
      <c r="A405" s="153"/>
      <c r="B405" s="156"/>
      <c r="C405" s="171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  <c r="AG405" s="153"/>
      <c r="AH405" s="153"/>
    </row>
    <row r="406">
      <c r="A406" s="153"/>
      <c r="B406" s="156"/>
      <c r="C406" s="171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</row>
    <row r="407">
      <c r="A407" s="153"/>
      <c r="B407" s="156"/>
      <c r="C407" s="171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</row>
    <row r="408">
      <c r="A408" s="153"/>
      <c r="B408" s="156"/>
      <c r="C408" s="171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</row>
    <row r="409">
      <c r="A409" s="153"/>
      <c r="B409" s="156"/>
      <c r="C409" s="171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</row>
    <row r="410">
      <c r="A410" s="153"/>
      <c r="B410" s="156"/>
      <c r="C410" s="171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</row>
    <row r="411">
      <c r="A411" s="153"/>
      <c r="B411" s="156"/>
      <c r="C411" s="171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</row>
    <row r="412">
      <c r="A412" s="153"/>
      <c r="B412" s="156"/>
      <c r="C412" s="171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</row>
    <row r="413">
      <c r="A413" s="153"/>
      <c r="B413" s="156"/>
      <c r="C413" s="171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</row>
    <row r="414">
      <c r="A414" s="153"/>
      <c r="B414" s="156"/>
      <c r="C414" s="171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</row>
    <row r="415">
      <c r="A415" s="153"/>
      <c r="B415" s="156"/>
      <c r="C415" s="171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  <c r="AG415" s="153"/>
      <c r="AH415" s="153"/>
    </row>
    <row r="416">
      <c r="A416" s="153"/>
      <c r="B416" s="156"/>
      <c r="C416" s="171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  <c r="AF416" s="153"/>
      <c r="AG416" s="153"/>
      <c r="AH416" s="153"/>
    </row>
    <row r="417">
      <c r="A417" s="153"/>
      <c r="B417" s="156"/>
      <c r="C417" s="171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  <c r="AF417" s="153"/>
      <c r="AG417" s="153"/>
      <c r="AH417" s="153"/>
    </row>
    <row r="418">
      <c r="A418" s="153"/>
      <c r="B418" s="156"/>
      <c r="C418" s="171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  <c r="AA418" s="153"/>
      <c r="AB418" s="153"/>
      <c r="AC418" s="153"/>
      <c r="AD418" s="153"/>
      <c r="AE418" s="153"/>
      <c r="AF418" s="153"/>
      <c r="AG418" s="153"/>
      <c r="AH418" s="153"/>
    </row>
    <row r="419">
      <c r="A419" s="153"/>
      <c r="B419" s="156"/>
      <c r="C419" s="171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  <c r="AG419" s="153"/>
      <c r="AH419" s="153"/>
    </row>
    <row r="420">
      <c r="A420" s="153"/>
      <c r="B420" s="156"/>
      <c r="C420" s="171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  <c r="AG420" s="153"/>
      <c r="AH420" s="153"/>
    </row>
    <row r="421">
      <c r="A421" s="153"/>
      <c r="B421" s="156"/>
      <c r="C421" s="171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  <c r="AG421" s="153"/>
      <c r="AH421" s="153"/>
    </row>
    <row r="422">
      <c r="A422" s="153"/>
      <c r="B422" s="156"/>
      <c r="C422" s="171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  <c r="AG422" s="153"/>
      <c r="AH422" s="153"/>
    </row>
    <row r="423">
      <c r="A423" s="153"/>
      <c r="B423" s="156"/>
      <c r="C423" s="171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</row>
    <row r="424">
      <c r="A424" s="153"/>
      <c r="B424" s="156"/>
      <c r="C424" s="171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</row>
    <row r="425">
      <c r="A425" s="153"/>
      <c r="B425" s="156"/>
      <c r="C425" s="171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</row>
    <row r="426">
      <c r="A426" s="153"/>
      <c r="B426" s="156"/>
      <c r="C426" s="171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</row>
    <row r="427">
      <c r="A427" s="153"/>
      <c r="B427" s="156"/>
      <c r="C427" s="171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</row>
    <row r="428">
      <c r="A428" s="153"/>
      <c r="B428" s="156"/>
      <c r="C428" s="171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</row>
    <row r="429">
      <c r="A429" s="153"/>
      <c r="B429" s="156"/>
      <c r="C429" s="171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</row>
    <row r="430">
      <c r="A430" s="153"/>
      <c r="B430" s="156"/>
      <c r="C430" s="171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</row>
    <row r="431">
      <c r="A431" s="153"/>
      <c r="B431" s="156"/>
      <c r="C431" s="171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</row>
    <row r="432">
      <c r="A432" s="153"/>
      <c r="B432" s="156"/>
      <c r="C432" s="171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</row>
    <row r="433">
      <c r="A433" s="153"/>
      <c r="B433" s="156"/>
      <c r="C433" s="171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</row>
    <row r="434">
      <c r="A434" s="153"/>
      <c r="B434" s="156"/>
      <c r="C434" s="171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</row>
    <row r="435">
      <c r="A435" s="153"/>
      <c r="B435" s="156"/>
      <c r="C435" s="171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</row>
    <row r="436">
      <c r="A436" s="153"/>
      <c r="B436" s="156"/>
      <c r="C436" s="171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</row>
    <row r="437">
      <c r="A437" s="153"/>
      <c r="B437" s="156"/>
      <c r="C437" s="171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</row>
    <row r="438">
      <c r="A438" s="153"/>
      <c r="B438" s="156"/>
      <c r="C438" s="171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</row>
    <row r="439">
      <c r="A439" s="153"/>
      <c r="B439" s="156"/>
      <c r="C439" s="171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  <c r="AG439" s="153"/>
      <c r="AH439" s="153"/>
    </row>
    <row r="440">
      <c r="A440" s="153"/>
      <c r="B440" s="156"/>
      <c r="C440" s="171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  <c r="AG440" s="153"/>
      <c r="AH440" s="153"/>
    </row>
    <row r="441">
      <c r="A441" s="153"/>
      <c r="B441" s="156"/>
      <c r="C441" s="171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  <c r="AG441" s="153"/>
      <c r="AH441" s="153"/>
    </row>
    <row r="442">
      <c r="A442" s="153"/>
      <c r="B442" s="156"/>
      <c r="C442" s="171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  <c r="AG442" s="153"/>
      <c r="AH442" s="153"/>
    </row>
    <row r="443">
      <c r="A443" s="153"/>
      <c r="B443" s="156"/>
      <c r="C443" s="171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  <c r="AG443" s="153"/>
      <c r="AH443" s="153"/>
    </row>
    <row r="444">
      <c r="A444" s="153"/>
      <c r="B444" s="156"/>
      <c r="C444" s="171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  <c r="AG444" s="153"/>
      <c r="AH444" s="153"/>
    </row>
    <row r="445">
      <c r="A445" s="153"/>
      <c r="B445" s="156"/>
      <c r="C445" s="171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  <c r="AG445" s="153"/>
      <c r="AH445" s="153"/>
    </row>
    <row r="446">
      <c r="A446" s="153"/>
      <c r="B446" s="156"/>
      <c r="C446" s="171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  <c r="AG446" s="153"/>
      <c r="AH446" s="153"/>
    </row>
    <row r="447">
      <c r="A447" s="153"/>
      <c r="B447" s="156"/>
      <c r="C447" s="171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  <c r="AG447" s="153"/>
      <c r="AH447" s="153"/>
    </row>
    <row r="448">
      <c r="A448" s="153"/>
      <c r="B448" s="156"/>
      <c r="C448" s="171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  <c r="AG448" s="153"/>
      <c r="AH448" s="153"/>
    </row>
    <row r="449">
      <c r="A449" s="153"/>
      <c r="B449" s="156"/>
      <c r="C449" s="171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  <c r="AG449" s="153"/>
      <c r="AH449" s="153"/>
    </row>
    <row r="450">
      <c r="A450" s="153"/>
      <c r="B450" s="156"/>
      <c r="C450" s="171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</row>
    <row r="451">
      <c r="A451" s="153"/>
      <c r="B451" s="156"/>
      <c r="C451" s="171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  <c r="AG451" s="153"/>
      <c r="AH451" s="153"/>
    </row>
    <row r="452">
      <c r="A452" s="153"/>
      <c r="B452" s="156"/>
      <c r="C452" s="171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  <c r="AG452" s="153"/>
      <c r="AH452" s="153"/>
    </row>
    <row r="453">
      <c r="A453" s="153"/>
      <c r="B453" s="156"/>
      <c r="C453" s="171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  <c r="AG453" s="153"/>
      <c r="AH453" s="153"/>
    </row>
    <row r="454">
      <c r="A454" s="153"/>
      <c r="B454" s="156"/>
      <c r="C454" s="171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  <c r="AG454" s="153"/>
      <c r="AH454" s="153"/>
    </row>
    <row r="455">
      <c r="A455" s="153"/>
      <c r="B455" s="156"/>
      <c r="C455" s="171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  <c r="AG455" s="153"/>
      <c r="AH455" s="153"/>
    </row>
    <row r="456">
      <c r="A456" s="153"/>
      <c r="B456" s="156"/>
      <c r="C456" s="171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  <c r="AG456" s="153"/>
      <c r="AH456" s="153"/>
    </row>
    <row r="457">
      <c r="A457" s="153"/>
      <c r="B457" s="156"/>
      <c r="C457" s="171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  <c r="AG457" s="153"/>
      <c r="AH457" s="153"/>
    </row>
    <row r="458">
      <c r="A458" s="153"/>
      <c r="B458" s="156"/>
      <c r="C458" s="171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  <c r="AG458" s="153"/>
      <c r="AH458" s="153"/>
    </row>
    <row r="459">
      <c r="A459" s="153"/>
      <c r="B459" s="156"/>
      <c r="C459" s="171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  <c r="AG459" s="153"/>
      <c r="AH459" s="153"/>
    </row>
    <row r="460">
      <c r="A460" s="153"/>
      <c r="B460" s="156"/>
      <c r="C460" s="171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</row>
    <row r="461">
      <c r="A461" s="153"/>
      <c r="B461" s="156"/>
      <c r="C461" s="171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</row>
    <row r="462">
      <c r="A462" s="153"/>
      <c r="B462" s="156"/>
      <c r="C462" s="171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</row>
    <row r="463">
      <c r="A463" s="153"/>
      <c r="B463" s="156"/>
      <c r="C463" s="171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</row>
    <row r="464">
      <c r="A464" s="153"/>
      <c r="B464" s="156"/>
      <c r="C464" s="171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</row>
    <row r="465">
      <c r="A465" s="153"/>
      <c r="B465" s="156"/>
      <c r="C465" s="171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</row>
    <row r="466">
      <c r="A466" s="153"/>
      <c r="B466" s="156"/>
      <c r="C466" s="171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</row>
    <row r="467">
      <c r="A467" s="153"/>
      <c r="B467" s="156"/>
      <c r="C467" s="171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</row>
    <row r="468">
      <c r="A468" s="153"/>
      <c r="B468" s="156"/>
      <c r="C468" s="171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</row>
    <row r="469">
      <c r="A469" s="153"/>
      <c r="B469" s="156"/>
      <c r="C469" s="171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  <c r="AG469" s="153"/>
      <c r="AH469" s="153"/>
    </row>
    <row r="470">
      <c r="A470" s="153"/>
      <c r="B470" s="156"/>
      <c r="C470" s="171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  <c r="AG470" s="153"/>
      <c r="AH470" s="153"/>
    </row>
    <row r="471">
      <c r="A471" s="153"/>
      <c r="B471" s="156"/>
      <c r="C471" s="171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  <c r="AG471" s="153"/>
      <c r="AH471" s="153"/>
    </row>
    <row r="472">
      <c r="A472" s="153"/>
      <c r="B472" s="156"/>
      <c r="C472" s="171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  <c r="AG472" s="153"/>
      <c r="AH472" s="153"/>
    </row>
    <row r="473">
      <c r="A473" s="153"/>
      <c r="B473" s="156"/>
      <c r="C473" s="171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</row>
    <row r="474">
      <c r="A474" s="153"/>
      <c r="B474" s="156"/>
      <c r="C474" s="171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  <c r="AG474" s="153"/>
      <c r="AH474" s="153"/>
    </row>
    <row r="475">
      <c r="A475" s="153"/>
      <c r="B475" s="156"/>
      <c r="C475" s="171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  <c r="AG475" s="153"/>
      <c r="AH475" s="153"/>
    </row>
    <row r="476">
      <c r="A476" s="153"/>
      <c r="B476" s="156"/>
      <c r="C476" s="171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  <c r="AG476" s="153"/>
      <c r="AH476" s="153"/>
    </row>
    <row r="477">
      <c r="A477" s="153"/>
      <c r="B477" s="156"/>
      <c r="C477" s="171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</row>
    <row r="478">
      <c r="A478" s="153"/>
      <c r="B478" s="156"/>
      <c r="C478" s="171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</row>
    <row r="479">
      <c r="A479" s="153"/>
      <c r="B479" s="156"/>
      <c r="C479" s="171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</row>
    <row r="480">
      <c r="A480" s="153"/>
      <c r="B480" s="156"/>
      <c r="C480" s="171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</row>
    <row r="481">
      <c r="A481" s="153"/>
      <c r="B481" s="156"/>
      <c r="C481" s="171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</row>
    <row r="482">
      <c r="A482" s="153"/>
      <c r="B482" s="156"/>
      <c r="C482" s="171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</row>
    <row r="483">
      <c r="A483" s="153"/>
      <c r="B483" s="156"/>
      <c r="C483" s="171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</row>
    <row r="484">
      <c r="A484" s="153"/>
      <c r="B484" s="156"/>
      <c r="C484" s="171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</row>
    <row r="485">
      <c r="A485" s="153"/>
      <c r="B485" s="156"/>
      <c r="C485" s="171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</row>
    <row r="486">
      <c r="A486" s="153"/>
      <c r="B486" s="156"/>
      <c r="C486" s="171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</row>
    <row r="487">
      <c r="A487" s="153"/>
      <c r="B487" s="156"/>
      <c r="C487" s="171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</row>
    <row r="488">
      <c r="A488" s="153"/>
      <c r="B488" s="156"/>
      <c r="C488" s="171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  <c r="AG488" s="153"/>
      <c r="AH488" s="153"/>
    </row>
    <row r="489">
      <c r="A489" s="153"/>
      <c r="B489" s="156"/>
      <c r="C489" s="171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</row>
    <row r="490">
      <c r="A490" s="153"/>
      <c r="B490" s="156"/>
      <c r="C490" s="171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  <c r="AG490" s="153"/>
      <c r="AH490" s="153"/>
    </row>
    <row r="491">
      <c r="A491" s="153"/>
      <c r="B491" s="156"/>
      <c r="C491" s="171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  <c r="AG491" s="153"/>
      <c r="AH491" s="153"/>
    </row>
    <row r="492">
      <c r="A492" s="153"/>
      <c r="B492" s="156"/>
      <c r="C492" s="171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  <c r="AG492" s="153"/>
      <c r="AH492" s="153"/>
    </row>
    <row r="493">
      <c r="A493" s="153"/>
      <c r="B493" s="156"/>
      <c r="C493" s="171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</row>
    <row r="494">
      <c r="A494" s="153"/>
      <c r="B494" s="156"/>
      <c r="C494" s="171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  <c r="AG494" s="153"/>
      <c r="AH494" s="153"/>
    </row>
    <row r="495">
      <c r="A495" s="153"/>
      <c r="B495" s="156"/>
      <c r="C495" s="171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3"/>
      <c r="AH495" s="153"/>
    </row>
    <row r="496">
      <c r="A496" s="153"/>
      <c r="B496" s="156"/>
      <c r="C496" s="171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</row>
    <row r="497">
      <c r="A497" s="153"/>
      <c r="B497" s="156"/>
      <c r="C497" s="171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</row>
    <row r="498">
      <c r="A498" s="153"/>
      <c r="B498" s="156"/>
      <c r="C498" s="171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</row>
    <row r="499">
      <c r="A499" s="153"/>
      <c r="B499" s="156"/>
      <c r="C499" s="171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</row>
    <row r="500">
      <c r="A500" s="153"/>
      <c r="B500" s="156"/>
      <c r="C500" s="171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</row>
    <row r="501">
      <c r="A501" s="153"/>
      <c r="B501" s="156"/>
      <c r="C501" s="171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</row>
    <row r="502">
      <c r="A502" s="153"/>
      <c r="B502" s="156"/>
      <c r="C502" s="171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</row>
    <row r="503">
      <c r="A503" s="153"/>
      <c r="B503" s="156"/>
      <c r="C503" s="171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</row>
    <row r="504">
      <c r="A504" s="153"/>
      <c r="B504" s="156"/>
      <c r="C504" s="171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</row>
    <row r="505">
      <c r="A505" s="153"/>
      <c r="B505" s="156"/>
      <c r="C505" s="171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</row>
    <row r="506">
      <c r="A506" s="153"/>
      <c r="B506" s="156"/>
      <c r="C506" s="171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</row>
    <row r="507">
      <c r="A507" s="153"/>
      <c r="B507" s="156"/>
      <c r="C507" s="171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  <c r="AG507" s="153"/>
      <c r="AH507" s="153"/>
    </row>
    <row r="508">
      <c r="A508" s="153"/>
      <c r="B508" s="156"/>
      <c r="C508" s="171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  <c r="AG508" s="153"/>
      <c r="AH508" s="153"/>
    </row>
    <row r="509">
      <c r="A509" s="153"/>
      <c r="B509" s="156"/>
      <c r="C509" s="171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  <c r="AG509" s="153"/>
      <c r="AH509" s="153"/>
    </row>
    <row r="510">
      <c r="A510" s="153"/>
      <c r="B510" s="156"/>
      <c r="C510" s="171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  <c r="AG510" s="153"/>
      <c r="AH510" s="153"/>
    </row>
    <row r="511">
      <c r="A511" s="153"/>
      <c r="B511" s="156"/>
      <c r="C511" s="171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  <c r="AG511" s="153"/>
      <c r="AH511" s="153"/>
    </row>
    <row r="512">
      <c r="A512" s="153"/>
      <c r="B512" s="156"/>
      <c r="C512" s="171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  <c r="AG512" s="153"/>
      <c r="AH512" s="153"/>
    </row>
    <row r="513">
      <c r="A513" s="153"/>
      <c r="B513" s="156"/>
      <c r="C513" s="171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  <c r="AG513" s="153"/>
      <c r="AH513" s="153"/>
    </row>
    <row r="514">
      <c r="A514" s="153"/>
      <c r="B514" s="156"/>
      <c r="C514" s="171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</row>
    <row r="515">
      <c r="A515" s="153"/>
      <c r="B515" s="156"/>
      <c r="C515" s="171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</row>
    <row r="516">
      <c r="A516" s="153"/>
      <c r="B516" s="156"/>
      <c r="C516" s="171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</row>
    <row r="517">
      <c r="A517" s="153"/>
      <c r="B517" s="156"/>
      <c r="C517" s="171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</row>
    <row r="518">
      <c r="A518" s="153"/>
      <c r="B518" s="156"/>
      <c r="C518" s="171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</row>
    <row r="519">
      <c r="A519" s="153"/>
      <c r="B519" s="156"/>
      <c r="C519" s="171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</row>
    <row r="520">
      <c r="A520" s="153"/>
      <c r="B520" s="156"/>
      <c r="C520" s="171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</row>
    <row r="521">
      <c r="A521" s="153"/>
      <c r="B521" s="156"/>
      <c r="C521" s="171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</row>
    <row r="522">
      <c r="A522" s="153"/>
      <c r="B522" s="156"/>
      <c r="C522" s="171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</row>
    <row r="523">
      <c r="A523" s="153"/>
      <c r="B523" s="156"/>
      <c r="C523" s="171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</row>
    <row r="524">
      <c r="A524" s="153"/>
      <c r="B524" s="156"/>
      <c r="C524" s="171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</row>
    <row r="525">
      <c r="A525" s="153"/>
      <c r="B525" s="156"/>
      <c r="C525" s="171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</row>
    <row r="526">
      <c r="A526" s="153"/>
      <c r="B526" s="156"/>
      <c r="C526" s="171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</row>
    <row r="527">
      <c r="A527" s="153"/>
      <c r="B527" s="156"/>
      <c r="C527" s="171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</row>
    <row r="528">
      <c r="A528" s="153"/>
      <c r="B528" s="156"/>
      <c r="C528" s="171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</row>
    <row r="529">
      <c r="A529" s="153"/>
      <c r="B529" s="156"/>
      <c r="C529" s="171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</row>
    <row r="530">
      <c r="A530" s="153"/>
      <c r="B530" s="156"/>
      <c r="C530" s="171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</row>
    <row r="531">
      <c r="A531" s="153"/>
      <c r="B531" s="156"/>
      <c r="C531" s="171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</row>
    <row r="532">
      <c r="A532" s="153"/>
      <c r="B532" s="156"/>
      <c r="C532" s="171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</row>
    <row r="533">
      <c r="A533" s="153"/>
      <c r="B533" s="156"/>
      <c r="C533" s="171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</row>
    <row r="534">
      <c r="A534" s="153"/>
      <c r="B534" s="156"/>
      <c r="C534" s="171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</row>
    <row r="535">
      <c r="A535" s="153"/>
      <c r="B535" s="156"/>
      <c r="C535" s="171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</row>
    <row r="536">
      <c r="A536" s="153"/>
      <c r="B536" s="156"/>
      <c r="C536" s="171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</row>
    <row r="537">
      <c r="A537" s="153"/>
      <c r="B537" s="156"/>
      <c r="C537" s="171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</row>
    <row r="538">
      <c r="A538" s="153"/>
      <c r="B538" s="156"/>
      <c r="C538" s="171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</row>
    <row r="539">
      <c r="A539" s="153"/>
      <c r="B539" s="156"/>
      <c r="C539" s="171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</row>
    <row r="540">
      <c r="A540" s="153"/>
      <c r="B540" s="156"/>
      <c r="C540" s="171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</row>
    <row r="541">
      <c r="A541" s="153"/>
      <c r="B541" s="156"/>
      <c r="C541" s="171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</row>
    <row r="542">
      <c r="A542" s="153"/>
      <c r="B542" s="156"/>
      <c r="C542" s="171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</row>
    <row r="543">
      <c r="A543" s="153"/>
      <c r="B543" s="156"/>
      <c r="C543" s="171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</row>
    <row r="544">
      <c r="A544" s="153"/>
      <c r="B544" s="156"/>
      <c r="C544" s="171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</row>
    <row r="545">
      <c r="A545" s="153"/>
      <c r="B545" s="156"/>
      <c r="C545" s="171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</row>
    <row r="546">
      <c r="A546" s="153"/>
      <c r="B546" s="156"/>
      <c r="C546" s="171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</row>
    <row r="547">
      <c r="A547" s="153"/>
      <c r="B547" s="156"/>
      <c r="C547" s="171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</row>
    <row r="548">
      <c r="A548" s="153"/>
      <c r="B548" s="156"/>
      <c r="C548" s="171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</row>
    <row r="549">
      <c r="A549" s="153"/>
      <c r="B549" s="156"/>
      <c r="C549" s="171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</row>
    <row r="550">
      <c r="A550" s="153"/>
      <c r="B550" s="156"/>
      <c r="C550" s="171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</row>
    <row r="551">
      <c r="A551" s="153"/>
      <c r="B551" s="156"/>
      <c r="C551" s="171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</row>
    <row r="552">
      <c r="A552" s="153"/>
      <c r="B552" s="156"/>
      <c r="C552" s="171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</row>
    <row r="553">
      <c r="A553" s="153"/>
      <c r="B553" s="156"/>
      <c r="C553" s="171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</row>
    <row r="554">
      <c r="A554" s="153"/>
      <c r="B554" s="156"/>
      <c r="C554" s="171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</row>
    <row r="555">
      <c r="A555" s="153"/>
      <c r="B555" s="156"/>
      <c r="C555" s="171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</row>
    <row r="556">
      <c r="A556" s="153"/>
      <c r="B556" s="156"/>
      <c r="C556" s="171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</row>
    <row r="557">
      <c r="A557" s="153"/>
      <c r="B557" s="156"/>
      <c r="C557" s="171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</row>
    <row r="558">
      <c r="A558" s="153"/>
      <c r="B558" s="156"/>
      <c r="C558" s="171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</row>
    <row r="559">
      <c r="A559" s="153"/>
      <c r="B559" s="156"/>
      <c r="C559" s="171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</row>
    <row r="560">
      <c r="A560" s="153"/>
      <c r="B560" s="156"/>
      <c r="C560" s="171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</row>
    <row r="561">
      <c r="A561" s="153"/>
      <c r="B561" s="156"/>
      <c r="C561" s="171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</row>
    <row r="562">
      <c r="A562" s="153"/>
      <c r="B562" s="156"/>
      <c r="C562" s="171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</row>
    <row r="563">
      <c r="A563" s="153"/>
      <c r="B563" s="156"/>
      <c r="C563" s="171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</row>
    <row r="564">
      <c r="A564" s="153"/>
      <c r="B564" s="156"/>
      <c r="C564" s="171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</row>
    <row r="565">
      <c r="A565" s="153"/>
      <c r="B565" s="156"/>
      <c r="C565" s="171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</row>
    <row r="566">
      <c r="A566" s="153"/>
      <c r="B566" s="156"/>
      <c r="C566" s="171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  <c r="AG566" s="153"/>
      <c r="AH566" s="153"/>
    </row>
    <row r="567">
      <c r="A567" s="153"/>
      <c r="B567" s="156"/>
      <c r="C567" s="171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</row>
    <row r="568">
      <c r="A568" s="153"/>
      <c r="B568" s="156"/>
      <c r="C568" s="171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</row>
    <row r="569">
      <c r="A569" s="153"/>
      <c r="B569" s="156"/>
      <c r="C569" s="171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  <c r="AG569" s="153"/>
      <c r="AH569" s="153"/>
    </row>
    <row r="570">
      <c r="A570" s="153"/>
      <c r="B570" s="156"/>
      <c r="C570" s="171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</row>
    <row r="571">
      <c r="A571" s="153"/>
      <c r="B571" s="156"/>
      <c r="C571" s="171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</row>
    <row r="572">
      <c r="A572" s="153"/>
      <c r="B572" s="156"/>
      <c r="C572" s="171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</row>
    <row r="573">
      <c r="A573" s="153"/>
      <c r="B573" s="156"/>
      <c r="C573" s="171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</row>
    <row r="574">
      <c r="A574" s="153"/>
      <c r="B574" s="156"/>
      <c r="C574" s="171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</row>
    <row r="575">
      <c r="A575" s="153"/>
      <c r="B575" s="156"/>
      <c r="C575" s="171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</row>
    <row r="576">
      <c r="A576" s="153"/>
      <c r="B576" s="156"/>
      <c r="C576" s="171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</row>
    <row r="577">
      <c r="A577" s="153"/>
      <c r="B577" s="156"/>
      <c r="C577" s="171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</row>
    <row r="578">
      <c r="A578" s="153"/>
      <c r="B578" s="156"/>
      <c r="C578" s="171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</row>
    <row r="579">
      <c r="A579" s="153"/>
      <c r="B579" s="156"/>
      <c r="C579" s="171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</row>
    <row r="580">
      <c r="A580" s="153"/>
      <c r="B580" s="156"/>
      <c r="C580" s="171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</row>
    <row r="581">
      <c r="A581" s="153"/>
      <c r="B581" s="156"/>
      <c r="C581" s="171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</row>
    <row r="582">
      <c r="A582" s="153"/>
      <c r="B582" s="156"/>
      <c r="C582" s="171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</row>
    <row r="583">
      <c r="A583" s="153"/>
      <c r="B583" s="156"/>
      <c r="C583" s="171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</row>
    <row r="584">
      <c r="A584" s="153"/>
      <c r="B584" s="156"/>
      <c r="C584" s="171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</row>
    <row r="585">
      <c r="A585" s="153"/>
      <c r="B585" s="156"/>
      <c r="C585" s="171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  <c r="AG585" s="153"/>
      <c r="AH585" s="153"/>
    </row>
    <row r="586">
      <c r="A586" s="153"/>
      <c r="B586" s="156"/>
      <c r="C586" s="171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</row>
    <row r="587">
      <c r="A587" s="153"/>
      <c r="B587" s="156"/>
      <c r="C587" s="171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</row>
    <row r="588">
      <c r="A588" s="153"/>
      <c r="B588" s="156"/>
      <c r="C588" s="171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</row>
    <row r="589">
      <c r="A589" s="153"/>
      <c r="B589" s="156"/>
      <c r="C589" s="171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</row>
    <row r="590">
      <c r="A590" s="153"/>
      <c r="B590" s="156"/>
      <c r="C590" s="171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</row>
    <row r="591">
      <c r="A591" s="153"/>
      <c r="B591" s="156"/>
      <c r="C591" s="171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</row>
    <row r="592">
      <c r="A592" s="153"/>
      <c r="B592" s="156"/>
      <c r="C592" s="171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</row>
    <row r="593">
      <c r="A593" s="153"/>
      <c r="B593" s="156"/>
      <c r="C593" s="171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</row>
    <row r="594">
      <c r="A594" s="153"/>
      <c r="B594" s="156"/>
      <c r="C594" s="171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</row>
    <row r="595">
      <c r="A595" s="153"/>
      <c r="B595" s="156"/>
      <c r="C595" s="171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</row>
    <row r="596">
      <c r="A596" s="153"/>
      <c r="B596" s="156"/>
      <c r="C596" s="171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</row>
    <row r="597">
      <c r="A597" s="153"/>
      <c r="B597" s="156"/>
      <c r="C597" s="171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  <c r="AG597" s="153"/>
      <c r="AH597" s="153"/>
    </row>
    <row r="598">
      <c r="A598" s="153"/>
      <c r="B598" s="156"/>
      <c r="C598" s="171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  <c r="AG598" s="153"/>
      <c r="AH598" s="153"/>
    </row>
    <row r="599">
      <c r="A599" s="153"/>
      <c r="B599" s="156"/>
      <c r="C599" s="171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  <c r="AG599" s="153"/>
      <c r="AH599" s="153"/>
    </row>
    <row r="600">
      <c r="A600" s="153"/>
      <c r="B600" s="156"/>
      <c r="C600" s="171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  <c r="AG600" s="153"/>
      <c r="AH600" s="153"/>
    </row>
    <row r="601">
      <c r="A601" s="153"/>
      <c r="B601" s="156"/>
      <c r="C601" s="171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  <c r="AG601" s="153"/>
      <c r="AH601" s="153"/>
    </row>
    <row r="602">
      <c r="A602" s="153"/>
      <c r="B602" s="156"/>
      <c r="C602" s="171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  <c r="AG602" s="153"/>
      <c r="AH602" s="153"/>
    </row>
    <row r="603">
      <c r="A603" s="153"/>
      <c r="B603" s="156"/>
      <c r="C603" s="171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  <c r="AG603" s="153"/>
      <c r="AH603" s="153"/>
    </row>
    <row r="604">
      <c r="A604" s="153"/>
      <c r="B604" s="156"/>
      <c r="C604" s="171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</row>
    <row r="605">
      <c r="A605" s="153"/>
      <c r="B605" s="156"/>
      <c r="C605" s="171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  <c r="AG605" s="153"/>
      <c r="AH605" s="153"/>
    </row>
    <row r="606">
      <c r="A606" s="153"/>
      <c r="B606" s="156"/>
      <c r="C606" s="171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  <c r="AG606" s="153"/>
      <c r="AH606" s="153"/>
    </row>
    <row r="607">
      <c r="A607" s="153"/>
      <c r="B607" s="156"/>
      <c r="C607" s="171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  <c r="AG607" s="153"/>
      <c r="AH607" s="153"/>
    </row>
    <row r="608">
      <c r="A608" s="153"/>
      <c r="B608" s="156"/>
      <c r="C608" s="171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</row>
    <row r="609">
      <c r="A609" s="153"/>
      <c r="B609" s="156"/>
      <c r="C609" s="171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</row>
    <row r="610">
      <c r="A610" s="153"/>
      <c r="B610" s="156"/>
      <c r="C610" s="171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</row>
    <row r="611">
      <c r="A611" s="153"/>
      <c r="B611" s="156"/>
      <c r="C611" s="171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</row>
    <row r="612">
      <c r="A612" s="153"/>
      <c r="B612" s="156"/>
      <c r="C612" s="171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</row>
    <row r="613">
      <c r="A613" s="153"/>
      <c r="B613" s="156"/>
      <c r="C613" s="171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  <c r="AG613" s="153"/>
      <c r="AH613" s="153"/>
    </row>
    <row r="614">
      <c r="A614" s="153"/>
      <c r="B614" s="156"/>
      <c r="C614" s="171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  <c r="AG614" s="153"/>
      <c r="AH614" s="153"/>
    </row>
    <row r="615">
      <c r="A615" s="153"/>
      <c r="B615" s="156"/>
      <c r="C615" s="171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</row>
    <row r="616">
      <c r="A616" s="153"/>
      <c r="B616" s="156"/>
      <c r="C616" s="171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  <c r="AG616" s="153"/>
      <c r="AH616" s="153"/>
    </row>
    <row r="617">
      <c r="A617" s="153"/>
      <c r="B617" s="156"/>
      <c r="C617" s="171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  <c r="AG617" s="153"/>
      <c r="AH617" s="153"/>
    </row>
    <row r="618">
      <c r="A618" s="153"/>
      <c r="B618" s="156"/>
      <c r="C618" s="171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  <c r="AG618" s="153"/>
      <c r="AH618" s="153"/>
    </row>
    <row r="619">
      <c r="A619" s="153"/>
      <c r="B619" s="156"/>
      <c r="C619" s="171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  <c r="AG619" s="153"/>
      <c r="AH619" s="153"/>
    </row>
    <row r="620">
      <c r="A620" s="153"/>
      <c r="B620" s="156"/>
      <c r="C620" s="171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  <c r="AG620" s="153"/>
      <c r="AH620" s="153"/>
    </row>
    <row r="621">
      <c r="A621" s="153"/>
      <c r="B621" s="156"/>
      <c r="C621" s="171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  <c r="AG621" s="153"/>
      <c r="AH621" s="153"/>
    </row>
    <row r="622">
      <c r="A622" s="153"/>
      <c r="B622" s="156"/>
      <c r="C622" s="171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  <c r="AG622" s="153"/>
      <c r="AH622" s="153"/>
    </row>
    <row r="623">
      <c r="A623" s="153"/>
      <c r="B623" s="156"/>
      <c r="C623" s="171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</row>
    <row r="624">
      <c r="A624" s="153"/>
      <c r="B624" s="156"/>
      <c r="C624" s="171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</row>
    <row r="625">
      <c r="A625" s="153"/>
      <c r="B625" s="156"/>
      <c r="C625" s="171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</row>
    <row r="626">
      <c r="A626" s="153"/>
      <c r="B626" s="156"/>
      <c r="C626" s="171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</row>
    <row r="627">
      <c r="A627" s="153"/>
      <c r="B627" s="156"/>
      <c r="C627" s="171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</row>
    <row r="628">
      <c r="A628" s="153"/>
      <c r="B628" s="156"/>
      <c r="C628" s="171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</row>
    <row r="629">
      <c r="A629" s="153"/>
      <c r="B629" s="156"/>
      <c r="C629" s="171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</row>
    <row r="630">
      <c r="A630" s="153"/>
      <c r="B630" s="156"/>
      <c r="C630" s="171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</row>
    <row r="631">
      <c r="A631" s="153"/>
      <c r="B631" s="156"/>
      <c r="C631" s="171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  <c r="AG631" s="153"/>
      <c r="AH631" s="153"/>
    </row>
    <row r="632">
      <c r="A632" s="153"/>
      <c r="B632" s="156"/>
      <c r="C632" s="171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  <c r="AG632" s="153"/>
      <c r="AH632" s="153"/>
    </row>
    <row r="633">
      <c r="A633" s="153"/>
      <c r="B633" s="156"/>
      <c r="C633" s="171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</row>
    <row r="634">
      <c r="A634" s="153"/>
      <c r="B634" s="156"/>
      <c r="C634" s="171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</row>
    <row r="635">
      <c r="A635" s="153"/>
      <c r="B635" s="156"/>
      <c r="C635" s="171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  <c r="AG635" s="153"/>
      <c r="AH635" s="153"/>
    </row>
    <row r="636">
      <c r="A636" s="153"/>
      <c r="B636" s="156"/>
      <c r="C636" s="171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  <c r="AG636" s="153"/>
      <c r="AH636" s="153"/>
    </row>
    <row r="637">
      <c r="A637" s="153"/>
      <c r="B637" s="156"/>
      <c r="C637" s="171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  <c r="AG637" s="153"/>
      <c r="AH637" s="153"/>
    </row>
    <row r="638">
      <c r="A638" s="153"/>
      <c r="B638" s="156"/>
      <c r="C638" s="171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  <c r="AG638" s="153"/>
      <c r="AH638" s="153"/>
    </row>
    <row r="639">
      <c r="A639" s="153"/>
      <c r="B639" s="156"/>
      <c r="C639" s="171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  <c r="AG639" s="153"/>
      <c r="AH639" s="153"/>
    </row>
    <row r="640">
      <c r="A640" s="153"/>
      <c r="B640" s="156"/>
      <c r="C640" s="171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  <c r="AG640" s="153"/>
      <c r="AH640" s="153"/>
    </row>
    <row r="641">
      <c r="A641" s="153"/>
      <c r="B641" s="156"/>
      <c r="C641" s="171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  <c r="AG641" s="153"/>
      <c r="AH641" s="153"/>
    </row>
    <row r="642">
      <c r="A642" s="153"/>
      <c r="B642" s="156"/>
      <c r="C642" s="171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</row>
    <row r="643">
      <c r="A643" s="153"/>
      <c r="B643" s="156"/>
      <c r="C643" s="171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</row>
    <row r="644">
      <c r="A644" s="153"/>
      <c r="B644" s="156"/>
      <c r="C644" s="171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</row>
    <row r="645">
      <c r="A645" s="153"/>
      <c r="B645" s="156"/>
      <c r="C645" s="171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</row>
    <row r="646">
      <c r="A646" s="153"/>
      <c r="B646" s="156"/>
      <c r="C646" s="171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</row>
    <row r="647">
      <c r="A647" s="153"/>
      <c r="B647" s="156"/>
      <c r="C647" s="171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</row>
    <row r="648">
      <c r="A648" s="153"/>
      <c r="B648" s="156"/>
      <c r="C648" s="171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</row>
    <row r="649">
      <c r="A649" s="153"/>
      <c r="B649" s="156"/>
      <c r="C649" s="171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</row>
    <row r="650">
      <c r="A650" s="153"/>
      <c r="B650" s="156"/>
      <c r="C650" s="171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</row>
    <row r="651">
      <c r="A651" s="153"/>
      <c r="B651" s="156"/>
      <c r="C651" s="171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  <c r="AA651" s="153"/>
      <c r="AB651" s="153"/>
      <c r="AC651" s="153"/>
      <c r="AD651" s="153"/>
      <c r="AE651" s="153"/>
      <c r="AF651" s="153"/>
      <c r="AG651" s="153"/>
      <c r="AH651" s="153"/>
    </row>
    <row r="652">
      <c r="A652" s="153"/>
      <c r="B652" s="156"/>
      <c r="C652" s="171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  <c r="AG652" s="153"/>
      <c r="AH652" s="153"/>
    </row>
    <row r="653">
      <c r="A653" s="153"/>
      <c r="B653" s="156"/>
      <c r="C653" s="171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  <c r="AG653" s="153"/>
      <c r="AH653" s="153"/>
    </row>
    <row r="654">
      <c r="A654" s="153"/>
      <c r="B654" s="156"/>
      <c r="C654" s="171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  <c r="AG654" s="153"/>
      <c r="AH654" s="153"/>
    </row>
    <row r="655">
      <c r="A655" s="153"/>
      <c r="B655" s="156"/>
      <c r="C655" s="171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  <c r="AG655" s="153"/>
      <c r="AH655" s="153"/>
    </row>
    <row r="656">
      <c r="A656" s="153"/>
      <c r="B656" s="156"/>
      <c r="C656" s="171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  <c r="AG656" s="153"/>
      <c r="AH656" s="153"/>
    </row>
    <row r="657">
      <c r="A657" s="153"/>
      <c r="B657" s="156"/>
      <c r="C657" s="171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  <c r="AG657" s="153"/>
      <c r="AH657" s="153"/>
    </row>
    <row r="658">
      <c r="A658" s="153"/>
      <c r="B658" s="156"/>
      <c r="C658" s="171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  <c r="AG658" s="153"/>
      <c r="AH658" s="153"/>
    </row>
    <row r="659">
      <c r="A659" s="153"/>
      <c r="B659" s="156"/>
      <c r="C659" s="171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  <c r="AG659" s="153"/>
      <c r="AH659" s="153"/>
    </row>
    <row r="660">
      <c r="A660" s="153"/>
      <c r="B660" s="156"/>
      <c r="C660" s="171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  <c r="AG660" s="153"/>
      <c r="AH660" s="153"/>
    </row>
    <row r="661">
      <c r="A661" s="153"/>
      <c r="B661" s="156"/>
      <c r="C661" s="171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  <c r="AG661" s="153"/>
      <c r="AH661" s="153"/>
    </row>
    <row r="662">
      <c r="A662" s="153"/>
      <c r="B662" s="156"/>
      <c r="C662" s="171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  <c r="AG662" s="153"/>
      <c r="AH662" s="153"/>
    </row>
    <row r="663">
      <c r="A663" s="153"/>
      <c r="B663" s="156"/>
      <c r="C663" s="171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  <c r="AG663" s="153"/>
      <c r="AH663" s="153"/>
    </row>
    <row r="664">
      <c r="A664" s="153"/>
      <c r="B664" s="156"/>
      <c r="C664" s="171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  <c r="AG664" s="153"/>
      <c r="AH664" s="153"/>
    </row>
    <row r="665">
      <c r="A665" s="153"/>
      <c r="B665" s="156"/>
      <c r="C665" s="171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  <c r="AG665" s="153"/>
      <c r="AH665" s="153"/>
    </row>
    <row r="666">
      <c r="A666" s="153"/>
      <c r="B666" s="156"/>
      <c r="C666" s="171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  <c r="AG666" s="153"/>
      <c r="AH666" s="153"/>
    </row>
    <row r="667">
      <c r="A667" s="153"/>
      <c r="B667" s="156"/>
      <c r="C667" s="171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  <c r="AG667" s="153"/>
      <c r="AH667" s="153"/>
    </row>
    <row r="668">
      <c r="A668" s="153"/>
      <c r="B668" s="156"/>
      <c r="C668" s="171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  <c r="AG668" s="153"/>
      <c r="AH668" s="153"/>
    </row>
    <row r="669">
      <c r="A669" s="153"/>
      <c r="B669" s="156"/>
      <c r="C669" s="171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  <c r="AG669" s="153"/>
      <c r="AH669" s="153"/>
    </row>
    <row r="670">
      <c r="A670" s="153"/>
      <c r="B670" s="156"/>
      <c r="C670" s="171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  <c r="AG670" s="153"/>
      <c r="AH670" s="153"/>
    </row>
    <row r="671">
      <c r="A671" s="153"/>
      <c r="B671" s="156"/>
      <c r="C671" s="171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</row>
    <row r="672">
      <c r="A672" s="153"/>
      <c r="B672" s="156"/>
      <c r="C672" s="171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</row>
    <row r="673">
      <c r="A673" s="153"/>
      <c r="B673" s="156"/>
      <c r="C673" s="171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</row>
    <row r="674">
      <c r="A674" s="153"/>
      <c r="B674" s="156"/>
      <c r="C674" s="171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</row>
    <row r="675">
      <c r="A675" s="153"/>
      <c r="B675" s="156"/>
      <c r="C675" s="171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</row>
    <row r="676">
      <c r="A676" s="153"/>
      <c r="B676" s="156"/>
      <c r="C676" s="171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  <c r="AG676" s="153"/>
      <c r="AH676" s="153"/>
    </row>
    <row r="677">
      <c r="A677" s="153"/>
      <c r="B677" s="156"/>
      <c r="C677" s="171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  <c r="AA677" s="153"/>
      <c r="AB677" s="153"/>
      <c r="AC677" s="153"/>
      <c r="AD677" s="153"/>
      <c r="AE677" s="153"/>
      <c r="AF677" s="153"/>
      <c r="AG677" s="153"/>
      <c r="AH677" s="153"/>
    </row>
    <row r="678">
      <c r="A678" s="153"/>
      <c r="B678" s="156"/>
      <c r="C678" s="171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  <c r="AG678" s="153"/>
      <c r="AH678" s="153"/>
    </row>
    <row r="679">
      <c r="A679" s="153"/>
      <c r="B679" s="156"/>
      <c r="C679" s="171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  <c r="AA679" s="153"/>
      <c r="AB679" s="153"/>
      <c r="AC679" s="153"/>
      <c r="AD679" s="153"/>
      <c r="AE679" s="153"/>
      <c r="AF679" s="153"/>
      <c r="AG679" s="153"/>
      <c r="AH679" s="153"/>
    </row>
    <row r="680">
      <c r="A680" s="153"/>
      <c r="B680" s="156"/>
      <c r="C680" s="171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  <c r="AA680" s="153"/>
      <c r="AB680" s="153"/>
      <c r="AC680" s="153"/>
      <c r="AD680" s="153"/>
      <c r="AE680" s="153"/>
      <c r="AF680" s="153"/>
      <c r="AG680" s="153"/>
      <c r="AH680" s="153"/>
    </row>
    <row r="681">
      <c r="A681" s="153"/>
      <c r="B681" s="156"/>
      <c r="C681" s="171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  <c r="AA681" s="153"/>
      <c r="AB681" s="153"/>
      <c r="AC681" s="153"/>
      <c r="AD681" s="153"/>
      <c r="AE681" s="153"/>
      <c r="AF681" s="153"/>
      <c r="AG681" s="153"/>
      <c r="AH681" s="153"/>
    </row>
    <row r="682">
      <c r="A682" s="153"/>
      <c r="B682" s="156"/>
      <c r="C682" s="171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  <c r="AA682" s="153"/>
      <c r="AB682" s="153"/>
      <c r="AC682" s="153"/>
      <c r="AD682" s="153"/>
      <c r="AE682" s="153"/>
      <c r="AF682" s="153"/>
      <c r="AG682" s="153"/>
      <c r="AH682" s="153"/>
    </row>
    <row r="683">
      <c r="A683" s="153"/>
      <c r="B683" s="156"/>
      <c r="C683" s="171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  <c r="AA683" s="153"/>
      <c r="AB683" s="153"/>
      <c r="AC683" s="153"/>
      <c r="AD683" s="153"/>
      <c r="AE683" s="153"/>
      <c r="AF683" s="153"/>
      <c r="AG683" s="153"/>
      <c r="AH683" s="153"/>
    </row>
    <row r="684">
      <c r="A684" s="153"/>
      <c r="B684" s="156"/>
      <c r="C684" s="171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  <c r="AA684" s="153"/>
      <c r="AB684" s="153"/>
      <c r="AC684" s="153"/>
      <c r="AD684" s="153"/>
      <c r="AE684" s="153"/>
      <c r="AF684" s="153"/>
      <c r="AG684" s="153"/>
      <c r="AH684" s="153"/>
    </row>
    <row r="685">
      <c r="A685" s="153"/>
      <c r="B685" s="156"/>
      <c r="C685" s="171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53"/>
      <c r="AB685" s="153"/>
      <c r="AC685" s="153"/>
      <c r="AD685" s="153"/>
      <c r="AE685" s="153"/>
      <c r="AF685" s="153"/>
      <c r="AG685" s="153"/>
      <c r="AH685" s="153"/>
    </row>
    <row r="686">
      <c r="A686" s="153"/>
      <c r="B686" s="156"/>
      <c r="C686" s="171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  <c r="AG686" s="153"/>
      <c r="AH686" s="153"/>
    </row>
    <row r="687">
      <c r="A687" s="153"/>
      <c r="B687" s="156"/>
      <c r="C687" s="171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  <c r="AA687" s="153"/>
      <c r="AB687" s="153"/>
      <c r="AC687" s="153"/>
      <c r="AD687" s="153"/>
      <c r="AE687" s="153"/>
      <c r="AF687" s="153"/>
      <c r="AG687" s="153"/>
      <c r="AH687" s="153"/>
    </row>
    <row r="688">
      <c r="A688" s="153"/>
      <c r="B688" s="156"/>
      <c r="C688" s="171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  <c r="AA688" s="153"/>
      <c r="AB688" s="153"/>
      <c r="AC688" s="153"/>
      <c r="AD688" s="153"/>
      <c r="AE688" s="153"/>
      <c r="AF688" s="153"/>
      <c r="AG688" s="153"/>
      <c r="AH688" s="153"/>
    </row>
    <row r="689">
      <c r="A689" s="153"/>
      <c r="B689" s="156"/>
      <c r="C689" s="171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  <c r="AA689" s="153"/>
      <c r="AB689" s="153"/>
      <c r="AC689" s="153"/>
      <c r="AD689" s="153"/>
      <c r="AE689" s="153"/>
      <c r="AF689" s="153"/>
      <c r="AG689" s="153"/>
      <c r="AH689" s="153"/>
    </row>
    <row r="690">
      <c r="A690" s="153"/>
      <c r="B690" s="156"/>
      <c r="C690" s="171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  <c r="AA690" s="153"/>
      <c r="AB690" s="153"/>
      <c r="AC690" s="153"/>
      <c r="AD690" s="153"/>
      <c r="AE690" s="153"/>
      <c r="AF690" s="153"/>
      <c r="AG690" s="153"/>
      <c r="AH690" s="153"/>
    </row>
    <row r="691">
      <c r="A691" s="153"/>
      <c r="B691" s="156"/>
      <c r="C691" s="171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  <c r="AA691" s="153"/>
      <c r="AB691" s="153"/>
      <c r="AC691" s="153"/>
      <c r="AD691" s="153"/>
      <c r="AE691" s="153"/>
      <c r="AF691" s="153"/>
      <c r="AG691" s="153"/>
      <c r="AH691" s="153"/>
    </row>
    <row r="692">
      <c r="A692" s="153"/>
      <c r="B692" s="156"/>
      <c r="C692" s="171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  <c r="AA692" s="153"/>
      <c r="AB692" s="153"/>
      <c r="AC692" s="153"/>
      <c r="AD692" s="153"/>
      <c r="AE692" s="153"/>
      <c r="AF692" s="153"/>
      <c r="AG692" s="153"/>
      <c r="AH692" s="153"/>
    </row>
    <row r="693">
      <c r="A693" s="153"/>
      <c r="B693" s="156"/>
      <c r="C693" s="171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  <c r="AA693" s="153"/>
      <c r="AB693" s="153"/>
      <c r="AC693" s="153"/>
      <c r="AD693" s="153"/>
      <c r="AE693" s="153"/>
      <c r="AF693" s="153"/>
      <c r="AG693" s="153"/>
      <c r="AH693" s="153"/>
    </row>
    <row r="694">
      <c r="A694" s="153"/>
      <c r="B694" s="156"/>
      <c r="C694" s="171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  <c r="AA694" s="153"/>
      <c r="AB694" s="153"/>
      <c r="AC694" s="153"/>
      <c r="AD694" s="153"/>
      <c r="AE694" s="153"/>
      <c r="AF694" s="153"/>
      <c r="AG694" s="153"/>
      <c r="AH694" s="153"/>
    </row>
    <row r="695">
      <c r="A695" s="153"/>
      <c r="B695" s="156"/>
      <c r="C695" s="171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  <c r="AG695" s="153"/>
      <c r="AH695" s="153"/>
    </row>
    <row r="696">
      <c r="A696" s="153"/>
      <c r="B696" s="156"/>
      <c r="C696" s="171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  <c r="AG696" s="153"/>
      <c r="AH696" s="153"/>
    </row>
    <row r="697">
      <c r="A697" s="153"/>
      <c r="B697" s="156"/>
      <c r="C697" s="171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  <c r="AG697" s="153"/>
      <c r="AH697" s="153"/>
    </row>
    <row r="698">
      <c r="A698" s="153"/>
      <c r="B698" s="156"/>
      <c r="C698" s="171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  <c r="AG698" s="153"/>
      <c r="AH698" s="153"/>
    </row>
    <row r="699">
      <c r="A699" s="153"/>
      <c r="B699" s="156"/>
      <c r="C699" s="171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  <c r="AG699" s="153"/>
      <c r="AH699" s="153"/>
    </row>
    <row r="700">
      <c r="A700" s="153"/>
      <c r="B700" s="156"/>
      <c r="C700" s="171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  <c r="AG700" s="153"/>
      <c r="AH700" s="153"/>
    </row>
    <row r="701">
      <c r="A701" s="153"/>
      <c r="B701" s="156"/>
      <c r="C701" s="171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  <c r="AG701" s="153"/>
      <c r="AH701" s="153"/>
    </row>
    <row r="702">
      <c r="A702" s="153"/>
      <c r="B702" s="156"/>
      <c r="C702" s="171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  <c r="AG702" s="153"/>
      <c r="AH702" s="153"/>
    </row>
    <row r="703">
      <c r="A703" s="153"/>
      <c r="B703" s="156"/>
      <c r="C703" s="171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  <c r="AG703" s="153"/>
      <c r="AH703" s="153"/>
    </row>
    <row r="704">
      <c r="A704" s="153"/>
      <c r="B704" s="156"/>
      <c r="C704" s="171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  <c r="AG704" s="153"/>
      <c r="AH704" s="153"/>
    </row>
    <row r="705">
      <c r="A705" s="153"/>
      <c r="B705" s="156"/>
      <c r="C705" s="171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  <c r="AG705" s="153"/>
      <c r="AH705" s="153"/>
    </row>
    <row r="706">
      <c r="A706" s="153"/>
      <c r="B706" s="156"/>
      <c r="C706" s="171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  <c r="AG706" s="153"/>
      <c r="AH706" s="153"/>
    </row>
    <row r="707">
      <c r="A707" s="153"/>
      <c r="B707" s="156"/>
      <c r="C707" s="171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  <c r="AG707" s="153"/>
      <c r="AH707" s="153"/>
    </row>
    <row r="708">
      <c r="A708" s="153"/>
      <c r="B708" s="156"/>
      <c r="C708" s="171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  <c r="AA708" s="153"/>
      <c r="AB708" s="153"/>
      <c r="AC708" s="153"/>
      <c r="AD708" s="153"/>
      <c r="AE708" s="153"/>
      <c r="AF708" s="153"/>
      <c r="AG708" s="153"/>
      <c r="AH708" s="153"/>
    </row>
    <row r="709">
      <c r="A709" s="153"/>
      <c r="B709" s="156"/>
      <c r="C709" s="171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  <c r="AA709" s="153"/>
      <c r="AB709" s="153"/>
      <c r="AC709" s="153"/>
      <c r="AD709" s="153"/>
      <c r="AE709" s="153"/>
      <c r="AF709" s="153"/>
      <c r="AG709" s="153"/>
      <c r="AH709" s="153"/>
    </row>
    <row r="710">
      <c r="A710" s="153"/>
      <c r="B710" s="156"/>
      <c r="C710" s="171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  <c r="AA710" s="153"/>
      <c r="AB710" s="153"/>
      <c r="AC710" s="153"/>
      <c r="AD710" s="153"/>
      <c r="AE710" s="153"/>
      <c r="AF710" s="153"/>
      <c r="AG710" s="153"/>
      <c r="AH710" s="153"/>
    </row>
    <row r="711">
      <c r="A711" s="153"/>
      <c r="B711" s="156"/>
      <c r="C711" s="171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  <c r="AG711" s="153"/>
      <c r="AH711" s="153"/>
    </row>
    <row r="712">
      <c r="A712" s="153"/>
      <c r="B712" s="156"/>
      <c r="C712" s="171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  <c r="AA712" s="153"/>
      <c r="AB712" s="153"/>
      <c r="AC712" s="153"/>
      <c r="AD712" s="153"/>
      <c r="AE712" s="153"/>
      <c r="AF712" s="153"/>
      <c r="AG712" s="153"/>
      <c r="AH712" s="153"/>
    </row>
    <row r="713">
      <c r="A713" s="153"/>
      <c r="B713" s="156"/>
      <c r="C713" s="171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  <c r="AG713" s="153"/>
      <c r="AH713" s="153"/>
    </row>
    <row r="714">
      <c r="A714" s="153"/>
      <c r="B714" s="156"/>
      <c r="C714" s="171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  <c r="AG714" s="153"/>
      <c r="AH714" s="153"/>
    </row>
    <row r="715">
      <c r="A715" s="153"/>
      <c r="B715" s="156"/>
      <c r="C715" s="171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  <c r="AG715" s="153"/>
      <c r="AH715" s="153"/>
    </row>
    <row r="716">
      <c r="A716" s="153"/>
      <c r="B716" s="156"/>
      <c r="C716" s="171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  <c r="AG716" s="153"/>
      <c r="AH716" s="153"/>
    </row>
    <row r="717">
      <c r="A717" s="153"/>
      <c r="B717" s="156"/>
      <c r="C717" s="171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  <c r="AG717" s="153"/>
      <c r="AH717" s="153"/>
    </row>
    <row r="718">
      <c r="A718" s="153"/>
      <c r="B718" s="156"/>
      <c r="C718" s="171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  <c r="AG718" s="153"/>
      <c r="AH718" s="153"/>
    </row>
    <row r="719">
      <c r="A719" s="153"/>
      <c r="B719" s="156"/>
      <c r="C719" s="171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  <c r="AG719" s="153"/>
      <c r="AH719" s="153"/>
    </row>
    <row r="720">
      <c r="A720" s="153"/>
      <c r="B720" s="156"/>
      <c r="C720" s="171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  <c r="AG720" s="153"/>
      <c r="AH720" s="153"/>
    </row>
    <row r="721">
      <c r="A721" s="153"/>
      <c r="B721" s="156"/>
      <c r="C721" s="171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  <c r="AG721" s="153"/>
      <c r="AH721" s="153"/>
    </row>
    <row r="722">
      <c r="A722" s="153"/>
      <c r="B722" s="156"/>
      <c r="C722" s="171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  <c r="AG722" s="153"/>
      <c r="AH722" s="153"/>
    </row>
    <row r="723">
      <c r="A723" s="153"/>
      <c r="B723" s="156"/>
      <c r="C723" s="171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  <c r="AG723" s="153"/>
      <c r="AH723" s="153"/>
    </row>
    <row r="724">
      <c r="A724" s="153"/>
      <c r="B724" s="156"/>
      <c r="C724" s="171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  <c r="AG724" s="153"/>
      <c r="AH724" s="153"/>
    </row>
    <row r="725">
      <c r="A725" s="153"/>
      <c r="B725" s="156"/>
      <c r="C725" s="171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  <c r="AA725" s="153"/>
      <c r="AB725" s="153"/>
      <c r="AC725" s="153"/>
      <c r="AD725" s="153"/>
      <c r="AE725" s="153"/>
      <c r="AF725" s="153"/>
      <c r="AG725" s="153"/>
      <c r="AH725" s="153"/>
    </row>
    <row r="726">
      <c r="A726" s="153"/>
      <c r="B726" s="156"/>
      <c r="C726" s="171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  <c r="AA726" s="153"/>
      <c r="AB726" s="153"/>
      <c r="AC726" s="153"/>
      <c r="AD726" s="153"/>
      <c r="AE726" s="153"/>
      <c r="AF726" s="153"/>
      <c r="AG726" s="153"/>
      <c r="AH726" s="153"/>
    </row>
    <row r="727">
      <c r="A727" s="153"/>
      <c r="B727" s="156"/>
      <c r="C727" s="171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  <c r="AA727" s="153"/>
      <c r="AB727" s="153"/>
      <c r="AC727" s="153"/>
      <c r="AD727" s="153"/>
      <c r="AE727" s="153"/>
      <c r="AF727" s="153"/>
      <c r="AG727" s="153"/>
      <c r="AH727" s="153"/>
    </row>
    <row r="728">
      <c r="A728" s="153"/>
      <c r="B728" s="156"/>
      <c r="C728" s="171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  <c r="AA728" s="153"/>
      <c r="AB728" s="153"/>
      <c r="AC728" s="153"/>
      <c r="AD728" s="153"/>
      <c r="AE728" s="153"/>
      <c r="AF728" s="153"/>
      <c r="AG728" s="153"/>
      <c r="AH728" s="153"/>
    </row>
    <row r="729">
      <c r="A729" s="153"/>
      <c r="B729" s="156"/>
      <c r="C729" s="171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  <c r="AA729" s="153"/>
      <c r="AB729" s="153"/>
      <c r="AC729" s="153"/>
      <c r="AD729" s="153"/>
      <c r="AE729" s="153"/>
      <c r="AF729" s="153"/>
      <c r="AG729" s="153"/>
      <c r="AH729" s="153"/>
    </row>
    <row r="730">
      <c r="A730" s="153"/>
      <c r="B730" s="156"/>
      <c r="C730" s="171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  <c r="AA730" s="153"/>
      <c r="AB730" s="153"/>
      <c r="AC730" s="153"/>
      <c r="AD730" s="153"/>
      <c r="AE730" s="153"/>
      <c r="AF730" s="153"/>
      <c r="AG730" s="153"/>
      <c r="AH730" s="153"/>
    </row>
    <row r="731">
      <c r="A731" s="153"/>
      <c r="B731" s="156"/>
      <c r="C731" s="171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  <c r="AA731" s="153"/>
      <c r="AB731" s="153"/>
      <c r="AC731" s="153"/>
      <c r="AD731" s="153"/>
      <c r="AE731" s="153"/>
      <c r="AF731" s="153"/>
      <c r="AG731" s="153"/>
      <c r="AH731" s="153"/>
    </row>
    <row r="732">
      <c r="A732" s="153"/>
      <c r="B732" s="156"/>
      <c r="C732" s="171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  <c r="AG732" s="153"/>
      <c r="AH732" s="153"/>
    </row>
    <row r="733">
      <c r="A733" s="153"/>
      <c r="B733" s="156"/>
      <c r="C733" s="171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  <c r="AG733" s="153"/>
      <c r="AH733" s="153"/>
    </row>
    <row r="734">
      <c r="A734" s="153"/>
      <c r="B734" s="156"/>
      <c r="C734" s="171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  <c r="AG734" s="153"/>
      <c r="AH734" s="153"/>
    </row>
    <row r="735">
      <c r="A735" s="153"/>
      <c r="B735" s="156"/>
      <c r="C735" s="171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  <c r="AG735" s="153"/>
      <c r="AH735" s="153"/>
    </row>
    <row r="736">
      <c r="A736" s="153"/>
      <c r="B736" s="156"/>
      <c r="C736" s="171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  <c r="AG736" s="153"/>
      <c r="AH736" s="153"/>
    </row>
    <row r="737">
      <c r="A737" s="153"/>
      <c r="B737" s="156"/>
      <c r="C737" s="171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  <c r="AG737" s="153"/>
      <c r="AH737" s="153"/>
    </row>
    <row r="738">
      <c r="A738" s="153"/>
      <c r="B738" s="156"/>
      <c r="C738" s="171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  <c r="AG738" s="153"/>
      <c r="AH738" s="153"/>
    </row>
    <row r="739">
      <c r="A739" s="153"/>
      <c r="B739" s="156"/>
      <c r="C739" s="171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  <c r="AG739" s="153"/>
      <c r="AH739" s="153"/>
    </row>
    <row r="740">
      <c r="A740" s="153"/>
      <c r="B740" s="156"/>
      <c r="C740" s="171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  <c r="AG740" s="153"/>
      <c r="AH740" s="153"/>
    </row>
    <row r="741">
      <c r="A741" s="153"/>
      <c r="B741" s="156"/>
      <c r="C741" s="171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  <c r="AG741" s="153"/>
      <c r="AH741" s="153"/>
    </row>
    <row r="742">
      <c r="A742" s="153"/>
      <c r="B742" s="156"/>
      <c r="C742" s="171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  <c r="AG742" s="153"/>
      <c r="AH742" s="153"/>
    </row>
    <row r="743">
      <c r="A743" s="153"/>
      <c r="B743" s="156"/>
      <c r="C743" s="171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  <c r="AG743" s="153"/>
      <c r="AH743" s="153"/>
    </row>
    <row r="744">
      <c r="A744" s="153"/>
      <c r="B744" s="156"/>
      <c r="C744" s="171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  <c r="AG744" s="153"/>
      <c r="AH744" s="153"/>
    </row>
    <row r="745">
      <c r="A745" s="153"/>
      <c r="B745" s="156"/>
      <c r="C745" s="171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  <c r="AG745" s="153"/>
      <c r="AH745" s="153"/>
    </row>
    <row r="746">
      <c r="A746" s="153"/>
      <c r="B746" s="156"/>
      <c r="C746" s="171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  <c r="AG746" s="153"/>
      <c r="AH746" s="153"/>
    </row>
    <row r="747">
      <c r="A747" s="153"/>
      <c r="B747" s="156"/>
      <c r="C747" s="171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  <c r="AG747" s="153"/>
      <c r="AH747" s="153"/>
    </row>
    <row r="748">
      <c r="A748" s="153"/>
      <c r="B748" s="156"/>
      <c r="C748" s="171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  <c r="AG748" s="153"/>
      <c r="AH748" s="153"/>
    </row>
    <row r="749">
      <c r="A749" s="153"/>
      <c r="B749" s="156"/>
      <c r="C749" s="171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  <c r="AG749" s="153"/>
      <c r="AH749" s="153"/>
    </row>
    <row r="750">
      <c r="A750" s="153"/>
      <c r="B750" s="156"/>
      <c r="C750" s="171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  <c r="AG750" s="153"/>
      <c r="AH750" s="153"/>
    </row>
    <row r="751">
      <c r="A751" s="153"/>
      <c r="B751" s="156"/>
      <c r="C751" s="171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  <c r="AG751" s="153"/>
      <c r="AH751" s="153"/>
    </row>
    <row r="752">
      <c r="A752" s="153"/>
      <c r="B752" s="156"/>
      <c r="C752" s="171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  <c r="AG752" s="153"/>
      <c r="AH752" s="153"/>
    </row>
    <row r="753">
      <c r="A753" s="153"/>
      <c r="B753" s="156"/>
      <c r="C753" s="171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  <c r="AA753" s="153"/>
      <c r="AB753" s="153"/>
      <c r="AC753" s="153"/>
      <c r="AD753" s="153"/>
      <c r="AE753" s="153"/>
      <c r="AF753" s="153"/>
      <c r="AG753" s="153"/>
      <c r="AH753" s="153"/>
    </row>
    <row r="754">
      <c r="A754" s="153"/>
      <c r="B754" s="156"/>
      <c r="C754" s="171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  <c r="AA754" s="153"/>
      <c r="AB754" s="153"/>
      <c r="AC754" s="153"/>
      <c r="AD754" s="153"/>
      <c r="AE754" s="153"/>
      <c r="AF754" s="153"/>
      <c r="AG754" s="153"/>
      <c r="AH754" s="153"/>
    </row>
    <row r="755">
      <c r="A755" s="153"/>
      <c r="B755" s="156"/>
      <c r="C755" s="171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  <c r="AA755" s="153"/>
      <c r="AB755" s="153"/>
      <c r="AC755" s="153"/>
      <c r="AD755" s="153"/>
      <c r="AE755" s="153"/>
      <c r="AF755" s="153"/>
      <c r="AG755" s="153"/>
      <c r="AH755" s="153"/>
    </row>
    <row r="756">
      <c r="A756" s="153"/>
      <c r="B756" s="156"/>
      <c r="C756" s="171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  <c r="AA756" s="153"/>
      <c r="AB756" s="153"/>
      <c r="AC756" s="153"/>
      <c r="AD756" s="153"/>
      <c r="AE756" s="153"/>
      <c r="AF756" s="153"/>
      <c r="AG756" s="153"/>
      <c r="AH756" s="153"/>
    </row>
    <row r="757">
      <c r="A757" s="153"/>
      <c r="B757" s="156"/>
      <c r="C757" s="171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  <c r="AG757" s="153"/>
      <c r="AH757" s="153"/>
    </row>
    <row r="758">
      <c r="A758" s="153"/>
      <c r="B758" s="156"/>
      <c r="C758" s="171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  <c r="AG758" s="153"/>
      <c r="AH758" s="153"/>
    </row>
    <row r="759">
      <c r="A759" s="153"/>
      <c r="B759" s="156"/>
      <c r="C759" s="171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  <c r="AA759" s="153"/>
      <c r="AB759" s="153"/>
      <c r="AC759" s="153"/>
      <c r="AD759" s="153"/>
      <c r="AE759" s="153"/>
      <c r="AF759" s="153"/>
      <c r="AG759" s="153"/>
      <c r="AH759" s="153"/>
    </row>
    <row r="760">
      <c r="A760" s="153"/>
      <c r="B760" s="156"/>
      <c r="C760" s="171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  <c r="AA760" s="153"/>
      <c r="AB760" s="153"/>
      <c r="AC760" s="153"/>
      <c r="AD760" s="153"/>
      <c r="AE760" s="153"/>
      <c r="AF760" s="153"/>
      <c r="AG760" s="153"/>
      <c r="AH760" s="153"/>
    </row>
    <row r="761">
      <c r="A761" s="153"/>
      <c r="B761" s="156"/>
      <c r="C761" s="171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  <c r="AG761" s="153"/>
      <c r="AH761" s="153"/>
    </row>
    <row r="762">
      <c r="A762" s="153"/>
      <c r="B762" s="156"/>
      <c r="C762" s="171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  <c r="AG762" s="153"/>
      <c r="AH762" s="153"/>
    </row>
    <row r="763">
      <c r="A763" s="153"/>
      <c r="B763" s="156"/>
      <c r="C763" s="171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  <c r="AA763" s="153"/>
      <c r="AB763" s="153"/>
      <c r="AC763" s="153"/>
      <c r="AD763" s="153"/>
      <c r="AE763" s="153"/>
      <c r="AF763" s="153"/>
      <c r="AG763" s="153"/>
      <c r="AH763" s="153"/>
    </row>
    <row r="764">
      <c r="A764" s="153"/>
      <c r="B764" s="156"/>
      <c r="C764" s="171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  <c r="AA764" s="153"/>
      <c r="AB764" s="153"/>
      <c r="AC764" s="153"/>
      <c r="AD764" s="153"/>
      <c r="AE764" s="153"/>
      <c r="AF764" s="153"/>
      <c r="AG764" s="153"/>
      <c r="AH764" s="153"/>
    </row>
    <row r="765">
      <c r="A765" s="153"/>
      <c r="B765" s="156"/>
      <c r="C765" s="171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  <c r="AA765" s="153"/>
      <c r="AB765" s="153"/>
      <c r="AC765" s="153"/>
      <c r="AD765" s="153"/>
      <c r="AE765" s="153"/>
      <c r="AF765" s="153"/>
      <c r="AG765" s="153"/>
      <c r="AH765" s="153"/>
    </row>
    <row r="766">
      <c r="A766" s="153"/>
      <c r="B766" s="156"/>
      <c r="C766" s="171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  <c r="AA766" s="153"/>
      <c r="AB766" s="153"/>
      <c r="AC766" s="153"/>
      <c r="AD766" s="153"/>
      <c r="AE766" s="153"/>
      <c r="AF766" s="153"/>
      <c r="AG766" s="153"/>
      <c r="AH766" s="153"/>
    </row>
    <row r="767">
      <c r="A767" s="153"/>
      <c r="B767" s="156"/>
      <c r="C767" s="171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  <c r="AA767" s="153"/>
      <c r="AB767" s="153"/>
      <c r="AC767" s="153"/>
      <c r="AD767" s="153"/>
      <c r="AE767" s="153"/>
      <c r="AF767" s="153"/>
      <c r="AG767" s="153"/>
      <c r="AH767" s="153"/>
    </row>
    <row r="768">
      <c r="A768" s="153"/>
      <c r="B768" s="156"/>
      <c r="C768" s="171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  <c r="AA768" s="153"/>
      <c r="AB768" s="153"/>
      <c r="AC768" s="153"/>
      <c r="AD768" s="153"/>
      <c r="AE768" s="153"/>
      <c r="AF768" s="153"/>
      <c r="AG768" s="153"/>
      <c r="AH768" s="153"/>
    </row>
    <row r="769">
      <c r="A769" s="153"/>
      <c r="B769" s="156"/>
      <c r="C769" s="171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  <c r="AA769" s="153"/>
      <c r="AB769" s="153"/>
      <c r="AC769" s="153"/>
      <c r="AD769" s="153"/>
      <c r="AE769" s="153"/>
      <c r="AF769" s="153"/>
      <c r="AG769" s="153"/>
      <c r="AH769" s="153"/>
    </row>
    <row r="770">
      <c r="A770" s="153"/>
      <c r="B770" s="156"/>
      <c r="C770" s="171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  <c r="AA770" s="153"/>
      <c r="AB770" s="153"/>
      <c r="AC770" s="153"/>
      <c r="AD770" s="153"/>
      <c r="AE770" s="153"/>
      <c r="AF770" s="153"/>
      <c r="AG770" s="153"/>
      <c r="AH770" s="153"/>
    </row>
    <row r="771">
      <c r="A771" s="153"/>
      <c r="B771" s="156"/>
      <c r="C771" s="171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  <c r="AA771" s="153"/>
      <c r="AB771" s="153"/>
      <c r="AC771" s="153"/>
      <c r="AD771" s="153"/>
      <c r="AE771" s="153"/>
      <c r="AF771" s="153"/>
      <c r="AG771" s="153"/>
      <c r="AH771" s="153"/>
    </row>
    <row r="772">
      <c r="A772" s="153"/>
      <c r="B772" s="156"/>
      <c r="C772" s="171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  <c r="AA772" s="153"/>
      <c r="AB772" s="153"/>
      <c r="AC772" s="153"/>
      <c r="AD772" s="153"/>
      <c r="AE772" s="153"/>
      <c r="AF772" s="153"/>
      <c r="AG772" s="153"/>
      <c r="AH772" s="153"/>
    </row>
    <row r="773">
      <c r="A773" s="153"/>
      <c r="B773" s="156"/>
      <c r="C773" s="171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  <c r="AA773" s="153"/>
      <c r="AB773" s="153"/>
      <c r="AC773" s="153"/>
      <c r="AD773" s="153"/>
      <c r="AE773" s="153"/>
      <c r="AF773" s="153"/>
      <c r="AG773" s="153"/>
      <c r="AH773" s="153"/>
    </row>
    <row r="774">
      <c r="A774" s="153"/>
      <c r="B774" s="156"/>
      <c r="C774" s="171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  <c r="AA774" s="153"/>
      <c r="AB774" s="153"/>
      <c r="AC774" s="153"/>
      <c r="AD774" s="153"/>
      <c r="AE774" s="153"/>
      <c r="AF774" s="153"/>
      <c r="AG774" s="153"/>
      <c r="AH774" s="153"/>
    </row>
    <row r="775">
      <c r="A775" s="153"/>
      <c r="B775" s="156"/>
      <c r="C775" s="171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  <c r="AA775" s="153"/>
      <c r="AB775" s="153"/>
      <c r="AC775" s="153"/>
      <c r="AD775" s="153"/>
      <c r="AE775" s="153"/>
      <c r="AF775" s="153"/>
      <c r="AG775" s="153"/>
      <c r="AH775" s="153"/>
    </row>
    <row r="776">
      <c r="A776" s="153"/>
      <c r="B776" s="156"/>
      <c r="C776" s="171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  <c r="AA776" s="153"/>
      <c r="AB776" s="153"/>
      <c r="AC776" s="153"/>
      <c r="AD776" s="153"/>
      <c r="AE776" s="153"/>
      <c r="AF776" s="153"/>
      <c r="AG776" s="153"/>
      <c r="AH776" s="153"/>
    </row>
    <row r="777">
      <c r="A777" s="153"/>
      <c r="B777" s="156"/>
      <c r="C777" s="171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  <c r="AA777" s="153"/>
      <c r="AB777" s="153"/>
      <c r="AC777" s="153"/>
      <c r="AD777" s="153"/>
      <c r="AE777" s="153"/>
      <c r="AF777" s="153"/>
      <c r="AG777" s="153"/>
      <c r="AH777" s="153"/>
    </row>
    <row r="778">
      <c r="A778" s="153"/>
      <c r="B778" s="156"/>
      <c r="C778" s="171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  <c r="AA778" s="153"/>
      <c r="AB778" s="153"/>
      <c r="AC778" s="153"/>
      <c r="AD778" s="153"/>
      <c r="AE778" s="153"/>
      <c r="AF778" s="153"/>
      <c r="AG778" s="153"/>
      <c r="AH778" s="153"/>
    </row>
    <row r="779">
      <c r="A779" s="153"/>
      <c r="B779" s="156"/>
      <c r="C779" s="171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  <c r="AA779" s="153"/>
      <c r="AB779" s="153"/>
      <c r="AC779" s="153"/>
      <c r="AD779" s="153"/>
      <c r="AE779" s="153"/>
      <c r="AF779" s="153"/>
      <c r="AG779" s="153"/>
      <c r="AH779" s="153"/>
    </row>
    <row r="780">
      <c r="A780" s="153"/>
      <c r="B780" s="156"/>
      <c r="C780" s="171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  <c r="AA780" s="153"/>
      <c r="AB780" s="153"/>
      <c r="AC780" s="153"/>
      <c r="AD780" s="153"/>
      <c r="AE780" s="153"/>
      <c r="AF780" s="153"/>
      <c r="AG780" s="153"/>
      <c r="AH780" s="153"/>
    </row>
    <row r="781">
      <c r="A781" s="153"/>
      <c r="B781" s="156"/>
      <c r="C781" s="171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  <c r="AA781" s="153"/>
      <c r="AB781" s="153"/>
      <c r="AC781" s="153"/>
      <c r="AD781" s="153"/>
      <c r="AE781" s="153"/>
      <c r="AF781" s="153"/>
      <c r="AG781" s="153"/>
      <c r="AH781" s="153"/>
    </row>
    <row r="782">
      <c r="A782" s="153"/>
      <c r="B782" s="156"/>
      <c r="C782" s="171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  <c r="AA782" s="153"/>
      <c r="AB782" s="153"/>
      <c r="AC782" s="153"/>
      <c r="AD782" s="153"/>
      <c r="AE782" s="153"/>
      <c r="AF782" s="153"/>
      <c r="AG782" s="153"/>
      <c r="AH782" s="153"/>
    </row>
    <row r="783">
      <c r="A783" s="153"/>
      <c r="B783" s="156"/>
      <c r="C783" s="171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  <c r="AA783" s="153"/>
      <c r="AB783" s="153"/>
      <c r="AC783" s="153"/>
      <c r="AD783" s="153"/>
      <c r="AE783" s="153"/>
      <c r="AF783" s="153"/>
      <c r="AG783" s="153"/>
      <c r="AH783" s="153"/>
    </row>
    <row r="784">
      <c r="A784" s="153"/>
      <c r="B784" s="156"/>
      <c r="C784" s="171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  <c r="AA784" s="153"/>
      <c r="AB784" s="153"/>
      <c r="AC784" s="153"/>
      <c r="AD784" s="153"/>
      <c r="AE784" s="153"/>
      <c r="AF784" s="153"/>
      <c r="AG784" s="153"/>
      <c r="AH784" s="153"/>
    </row>
    <row r="785">
      <c r="A785" s="153"/>
      <c r="B785" s="156"/>
      <c r="C785" s="171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  <c r="AA785" s="153"/>
      <c r="AB785" s="153"/>
      <c r="AC785" s="153"/>
      <c r="AD785" s="153"/>
      <c r="AE785" s="153"/>
      <c r="AF785" s="153"/>
      <c r="AG785" s="153"/>
      <c r="AH785" s="153"/>
    </row>
    <row r="786">
      <c r="A786" s="153"/>
      <c r="B786" s="156"/>
      <c r="C786" s="171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  <c r="AG786" s="153"/>
      <c r="AH786" s="153"/>
    </row>
    <row r="787">
      <c r="A787" s="153"/>
      <c r="B787" s="156"/>
      <c r="C787" s="171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  <c r="AG787" s="153"/>
      <c r="AH787" s="153"/>
    </row>
    <row r="788">
      <c r="A788" s="153"/>
      <c r="B788" s="156"/>
      <c r="C788" s="171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  <c r="AG788" s="153"/>
      <c r="AH788" s="153"/>
    </row>
    <row r="789">
      <c r="A789" s="153"/>
      <c r="B789" s="156"/>
      <c r="C789" s="171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  <c r="AG789" s="153"/>
      <c r="AH789" s="153"/>
    </row>
    <row r="790">
      <c r="A790" s="153"/>
      <c r="B790" s="156"/>
      <c r="C790" s="171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  <c r="AG790" s="153"/>
      <c r="AH790" s="153"/>
    </row>
    <row r="791">
      <c r="A791" s="153"/>
      <c r="B791" s="156"/>
      <c r="C791" s="171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  <c r="AG791" s="153"/>
      <c r="AH791" s="153"/>
    </row>
    <row r="792">
      <c r="A792" s="153"/>
      <c r="B792" s="156"/>
      <c r="C792" s="171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  <c r="AG792" s="153"/>
      <c r="AH792" s="153"/>
    </row>
    <row r="793">
      <c r="A793" s="153"/>
      <c r="B793" s="156"/>
      <c r="C793" s="171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  <c r="AG793" s="153"/>
      <c r="AH793" s="153"/>
    </row>
    <row r="794">
      <c r="A794" s="153"/>
      <c r="B794" s="156"/>
      <c r="C794" s="171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  <c r="AG794" s="153"/>
      <c r="AH794" s="153"/>
    </row>
    <row r="795">
      <c r="A795" s="153"/>
      <c r="B795" s="156"/>
      <c r="C795" s="171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  <c r="AA795" s="153"/>
      <c r="AB795" s="153"/>
      <c r="AC795" s="153"/>
      <c r="AD795" s="153"/>
      <c r="AE795" s="153"/>
      <c r="AF795" s="153"/>
      <c r="AG795" s="153"/>
      <c r="AH795" s="153"/>
    </row>
    <row r="796">
      <c r="A796" s="153"/>
      <c r="B796" s="156"/>
      <c r="C796" s="171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  <c r="AA796" s="153"/>
      <c r="AB796" s="153"/>
      <c r="AC796" s="153"/>
      <c r="AD796" s="153"/>
      <c r="AE796" s="153"/>
      <c r="AF796" s="153"/>
      <c r="AG796" s="153"/>
      <c r="AH796" s="153"/>
    </row>
    <row r="797">
      <c r="A797" s="153"/>
      <c r="B797" s="156"/>
      <c r="C797" s="171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  <c r="AA797" s="153"/>
      <c r="AB797" s="153"/>
      <c r="AC797" s="153"/>
      <c r="AD797" s="153"/>
      <c r="AE797" s="153"/>
      <c r="AF797" s="153"/>
      <c r="AG797" s="153"/>
      <c r="AH797" s="153"/>
    </row>
    <row r="798">
      <c r="A798" s="153"/>
      <c r="B798" s="156"/>
      <c r="C798" s="171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  <c r="AA798" s="153"/>
      <c r="AB798" s="153"/>
      <c r="AC798" s="153"/>
      <c r="AD798" s="153"/>
      <c r="AE798" s="153"/>
      <c r="AF798" s="153"/>
      <c r="AG798" s="153"/>
      <c r="AH798" s="153"/>
    </row>
    <row r="799">
      <c r="A799" s="153"/>
      <c r="B799" s="156"/>
      <c r="C799" s="171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  <c r="AE799" s="153"/>
      <c r="AF799" s="153"/>
      <c r="AG799" s="153"/>
      <c r="AH799" s="153"/>
    </row>
    <row r="800">
      <c r="A800" s="153"/>
      <c r="B800" s="156"/>
      <c r="C800" s="171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  <c r="AA800" s="153"/>
      <c r="AB800" s="153"/>
      <c r="AC800" s="153"/>
      <c r="AD800" s="153"/>
      <c r="AE800" s="153"/>
      <c r="AF800" s="153"/>
      <c r="AG800" s="153"/>
      <c r="AH800" s="153"/>
    </row>
    <row r="801">
      <c r="A801" s="153"/>
      <c r="B801" s="156"/>
      <c r="C801" s="171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  <c r="AA801" s="153"/>
      <c r="AB801" s="153"/>
      <c r="AC801" s="153"/>
      <c r="AD801" s="153"/>
      <c r="AE801" s="153"/>
      <c r="AF801" s="153"/>
      <c r="AG801" s="153"/>
      <c r="AH801" s="153"/>
    </row>
    <row r="802">
      <c r="A802" s="153"/>
      <c r="B802" s="156"/>
      <c r="C802" s="171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  <c r="AA802" s="153"/>
      <c r="AB802" s="153"/>
      <c r="AC802" s="153"/>
      <c r="AD802" s="153"/>
      <c r="AE802" s="153"/>
      <c r="AF802" s="153"/>
      <c r="AG802" s="153"/>
      <c r="AH802" s="153"/>
    </row>
    <row r="803">
      <c r="A803" s="153"/>
      <c r="B803" s="156"/>
      <c r="C803" s="171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  <c r="AA803" s="153"/>
      <c r="AB803" s="153"/>
      <c r="AC803" s="153"/>
      <c r="AD803" s="153"/>
      <c r="AE803" s="153"/>
      <c r="AF803" s="153"/>
      <c r="AG803" s="153"/>
      <c r="AH803" s="153"/>
    </row>
    <row r="804">
      <c r="A804" s="153"/>
      <c r="B804" s="156"/>
      <c r="C804" s="171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  <c r="AA804" s="153"/>
      <c r="AB804" s="153"/>
      <c r="AC804" s="153"/>
      <c r="AD804" s="153"/>
      <c r="AE804" s="153"/>
      <c r="AF804" s="153"/>
      <c r="AG804" s="153"/>
      <c r="AH804" s="153"/>
    </row>
    <row r="805">
      <c r="A805" s="153"/>
      <c r="B805" s="156"/>
      <c r="C805" s="171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  <c r="AA805" s="153"/>
      <c r="AB805" s="153"/>
      <c r="AC805" s="153"/>
      <c r="AD805" s="153"/>
      <c r="AE805" s="153"/>
      <c r="AF805" s="153"/>
      <c r="AG805" s="153"/>
      <c r="AH805" s="153"/>
    </row>
    <row r="806">
      <c r="A806" s="153"/>
      <c r="B806" s="156"/>
      <c r="C806" s="171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  <c r="AA806" s="153"/>
      <c r="AB806" s="153"/>
      <c r="AC806" s="153"/>
      <c r="AD806" s="153"/>
      <c r="AE806" s="153"/>
      <c r="AF806" s="153"/>
      <c r="AG806" s="153"/>
      <c r="AH806" s="153"/>
    </row>
    <row r="807">
      <c r="A807" s="153"/>
      <c r="B807" s="156"/>
      <c r="C807" s="171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  <c r="AA807" s="153"/>
      <c r="AB807" s="153"/>
      <c r="AC807" s="153"/>
      <c r="AD807" s="153"/>
      <c r="AE807" s="153"/>
      <c r="AF807" s="153"/>
      <c r="AG807" s="153"/>
      <c r="AH807" s="153"/>
    </row>
    <row r="808">
      <c r="A808" s="153"/>
      <c r="B808" s="156"/>
      <c r="C808" s="171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  <c r="AA808" s="153"/>
      <c r="AB808" s="153"/>
      <c r="AC808" s="153"/>
      <c r="AD808" s="153"/>
      <c r="AE808" s="153"/>
      <c r="AF808" s="153"/>
      <c r="AG808" s="153"/>
      <c r="AH808" s="153"/>
    </row>
    <row r="809">
      <c r="A809" s="153"/>
      <c r="B809" s="156"/>
      <c r="C809" s="171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  <c r="AA809" s="153"/>
      <c r="AB809" s="153"/>
      <c r="AC809" s="153"/>
      <c r="AD809" s="153"/>
      <c r="AE809" s="153"/>
      <c r="AF809" s="153"/>
      <c r="AG809" s="153"/>
      <c r="AH809" s="153"/>
    </row>
    <row r="810">
      <c r="A810" s="153"/>
      <c r="B810" s="156"/>
      <c r="C810" s="171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  <c r="AA810" s="153"/>
      <c r="AB810" s="153"/>
      <c r="AC810" s="153"/>
      <c r="AD810" s="153"/>
      <c r="AE810" s="153"/>
      <c r="AF810" s="153"/>
      <c r="AG810" s="153"/>
      <c r="AH810" s="153"/>
    </row>
    <row r="811">
      <c r="A811" s="153"/>
      <c r="B811" s="156"/>
      <c r="C811" s="171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  <c r="AA811" s="153"/>
      <c r="AB811" s="153"/>
      <c r="AC811" s="153"/>
      <c r="AD811" s="153"/>
      <c r="AE811" s="153"/>
      <c r="AF811" s="153"/>
      <c r="AG811" s="153"/>
      <c r="AH811" s="153"/>
    </row>
    <row r="812">
      <c r="A812" s="153"/>
      <c r="B812" s="156"/>
      <c r="C812" s="171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53"/>
      <c r="AB812" s="153"/>
      <c r="AC812" s="153"/>
      <c r="AD812" s="153"/>
      <c r="AE812" s="153"/>
      <c r="AF812" s="153"/>
      <c r="AG812" s="153"/>
      <c r="AH812" s="153"/>
    </row>
    <row r="813">
      <c r="A813" s="153"/>
      <c r="B813" s="156"/>
      <c r="C813" s="171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  <c r="AG813" s="153"/>
      <c r="AH813" s="153"/>
    </row>
    <row r="814">
      <c r="A814" s="153"/>
      <c r="B814" s="156"/>
      <c r="C814" s="171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  <c r="AD814" s="153"/>
      <c r="AE814" s="153"/>
      <c r="AF814" s="153"/>
      <c r="AG814" s="153"/>
      <c r="AH814" s="153"/>
    </row>
    <row r="815">
      <c r="A815" s="153"/>
      <c r="B815" s="156"/>
      <c r="C815" s="171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  <c r="AA815" s="153"/>
      <c r="AB815" s="153"/>
      <c r="AC815" s="153"/>
      <c r="AD815" s="153"/>
      <c r="AE815" s="153"/>
      <c r="AF815" s="153"/>
      <c r="AG815" s="153"/>
      <c r="AH815" s="153"/>
    </row>
    <row r="816">
      <c r="A816" s="153"/>
      <c r="B816" s="156"/>
      <c r="C816" s="171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  <c r="AA816" s="153"/>
      <c r="AB816" s="153"/>
      <c r="AC816" s="153"/>
      <c r="AD816" s="153"/>
      <c r="AE816" s="153"/>
      <c r="AF816" s="153"/>
      <c r="AG816" s="153"/>
      <c r="AH816" s="153"/>
    </row>
    <row r="817">
      <c r="A817" s="153"/>
      <c r="B817" s="156"/>
      <c r="C817" s="171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  <c r="AA817" s="153"/>
      <c r="AB817" s="153"/>
      <c r="AC817" s="153"/>
      <c r="AD817" s="153"/>
      <c r="AE817" s="153"/>
      <c r="AF817" s="153"/>
      <c r="AG817" s="153"/>
      <c r="AH817" s="153"/>
    </row>
    <row r="818">
      <c r="A818" s="153"/>
      <c r="B818" s="156"/>
      <c r="C818" s="171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  <c r="AA818" s="153"/>
      <c r="AB818" s="153"/>
      <c r="AC818" s="153"/>
      <c r="AD818" s="153"/>
      <c r="AE818" s="153"/>
      <c r="AF818" s="153"/>
      <c r="AG818" s="153"/>
      <c r="AH818" s="153"/>
    </row>
    <row r="819">
      <c r="A819" s="153"/>
      <c r="B819" s="156"/>
      <c r="C819" s="171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  <c r="AA819" s="153"/>
      <c r="AB819" s="153"/>
      <c r="AC819" s="153"/>
      <c r="AD819" s="153"/>
      <c r="AE819" s="153"/>
      <c r="AF819" s="153"/>
      <c r="AG819" s="153"/>
      <c r="AH819" s="153"/>
    </row>
    <row r="820">
      <c r="A820" s="153"/>
      <c r="B820" s="156"/>
      <c r="C820" s="171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  <c r="AA820" s="153"/>
      <c r="AB820" s="153"/>
      <c r="AC820" s="153"/>
      <c r="AD820" s="153"/>
      <c r="AE820" s="153"/>
      <c r="AF820" s="153"/>
      <c r="AG820" s="153"/>
      <c r="AH820" s="153"/>
    </row>
    <row r="821">
      <c r="A821" s="153"/>
      <c r="B821" s="156"/>
      <c r="C821" s="171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  <c r="AA821" s="153"/>
      <c r="AB821" s="153"/>
      <c r="AC821" s="153"/>
      <c r="AD821" s="153"/>
      <c r="AE821" s="153"/>
      <c r="AF821" s="153"/>
      <c r="AG821" s="153"/>
      <c r="AH821" s="153"/>
    </row>
    <row r="822">
      <c r="A822" s="153"/>
      <c r="B822" s="156"/>
      <c r="C822" s="171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  <c r="AA822" s="153"/>
      <c r="AB822" s="153"/>
      <c r="AC822" s="153"/>
      <c r="AD822" s="153"/>
      <c r="AE822" s="153"/>
      <c r="AF822" s="153"/>
      <c r="AG822" s="153"/>
      <c r="AH822" s="153"/>
    </row>
    <row r="823">
      <c r="A823" s="153"/>
      <c r="B823" s="156"/>
      <c r="C823" s="171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  <c r="AA823" s="153"/>
      <c r="AB823" s="153"/>
      <c r="AC823" s="153"/>
      <c r="AD823" s="153"/>
      <c r="AE823" s="153"/>
      <c r="AF823" s="153"/>
      <c r="AG823" s="153"/>
      <c r="AH823" s="153"/>
    </row>
    <row r="824">
      <c r="A824" s="153"/>
      <c r="B824" s="156"/>
      <c r="C824" s="171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  <c r="AA824" s="153"/>
      <c r="AB824" s="153"/>
      <c r="AC824" s="153"/>
      <c r="AD824" s="153"/>
      <c r="AE824" s="153"/>
      <c r="AF824" s="153"/>
      <c r="AG824" s="153"/>
      <c r="AH824" s="153"/>
    </row>
    <row r="825">
      <c r="A825" s="153"/>
      <c r="B825" s="156"/>
      <c r="C825" s="171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  <c r="AA825" s="153"/>
      <c r="AB825" s="153"/>
      <c r="AC825" s="153"/>
      <c r="AD825" s="153"/>
      <c r="AE825" s="153"/>
      <c r="AF825" s="153"/>
      <c r="AG825" s="153"/>
      <c r="AH825" s="153"/>
    </row>
    <row r="826">
      <c r="A826" s="153"/>
      <c r="B826" s="156"/>
      <c r="C826" s="171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  <c r="AA826" s="153"/>
      <c r="AB826" s="153"/>
      <c r="AC826" s="153"/>
      <c r="AD826" s="153"/>
      <c r="AE826" s="153"/>
      <c r="AF826" s="153"/>
      <c r="AG826" s="153"/>
      <c r="AH826" s="153"/>
    </row>
    <row r="827">
      <c r="A827" s="153"/>
      <c r="B827" s="156"/>
      <c r="C827" s="171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  <c r="AA827" s="153"/>
      <c r="AB827" s="153"/>
      <c r="AC827" s="153"/>
      <c r="AD827" s="153"/>
      <c r="AE827" s="153"/>
      <c r="AF827" s="153"/>
      <c r="AG827" s="153"/>
      <c r="AH827" s="153"/>
    </row>
    <row r="828">
      <c r="A828" s="153"/>
      <c r="B828" s="156"/>
      <c r="C828" s="171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  <c r="AE828" s="153"/>
      <c r="AF828" s="153"/>
      <c r="AG828" s="153"/>
      <c r="AH828" s="153"/>
    </row>
    <row r="829">
      <c r="A829" s="153"/>
      <c r="B829" s="156"/>
      <c r="C829" s="171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  <c r="AA829" s="153"/>
      <c r="AB829" s="153"/>
      <c r="AC829" s="153"/>
      <c r="AD829" s="153"/>
      <c r="AE829" s="153"/>
      <c r="AF829" s="153"/>
      <c r="AG829" s="153"/>
      <c r="AH829" s="153"/>
    </row>
    <row r="830">
      <c r="A830" s="153"/>
      <c r="B830" s="156"/>
      <c r="C830" s="171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  <c r="AD830" s="153"/>
      <c r="AE830" s="153"/>
      <c r="AF830" s="153"/>
      <c r="AG830" s="153"/>
      <c r="AH830" s="153"/>
    </row>
    <row r="831">
      <c r="A831" s="153"/>
      <c r="B831" s="156"/>
      <c r="C831" s="171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  <c r="AG831" s="153"/>
      <c r="AH831" s="153"/>
    </row>
    <row r="832">
      <c r="A832" s="153"/>
      <c r="B832" s="156"/>
      <c r="C832" s="171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  <c r="AA832" s="153"/>
      <c r="AB832" s="153"/>
      <c r="AC832" s="153"/>
      <c r="AD832" s="153"/>
      <c r="AE832" s="153"/>
      <c r="AF832" s="153"/>
      <c r="AG832" s="153"/>
      <c r="AH832" s="153"/>
    </row>
    <row r="833">
      <c r="A833" s="153"/>
      <c r="B833" s="156"/>
      <c r="C833" s="171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  <c r="AA833" s="153"/>
      <c r="AB833" s="153"/>
      <c r="AC833" s="153"/>
      <c r="AD833" s="153"/>
      <c r="AE833" s="153"/>
      <c r="AF833" s="153"/>
      <c r="AG833" s="153"/>
      <c r="AH833" s="153"/>
    </row>
    <row r="834">
      <c r="A834" s="153"/>
      <c r="B834" s="156"/>
      <c r="C834" s="171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  <c r="AA834" s="153"/>
      <c r="AB834" s="153"/>
      <c r="AC834" s="153"/>
      <c r="AD834" s="153"/>
      <c r="AE834" s="153"/>
      <c r="AF834" s="153"/>
      <c r="AG834" s="153"/>
      <c r="AH834" s="153"/>
    </row>
    <row r="835">
      <c r="A835" s="153"/>
      <c r="B835" s="156"/>
      <c r="C835" s="171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  <c r="AA835" s="153"/>
      <c r="AB835" s="153"/>
      <c r="AC835" s="153"/>
      <c r="AD835" s="153"/>
      <c r="AE835" s="153"/>
      <c r="AF835" s="153"/>
      <c r="AG835" s="153"/>
      <c r="AH835" s="153"/>
    </row>
    <row r="836">
      <c r="A836" s="153"/>
      <c r="B836" s="156"/>
      <c r="C836" s="171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  <c r="AA836" s="153"/>
      <c r="AB836" s="153"/>
      <c r="AC836" s="153"/>
      <c r="AD836" s="153"/>
      <c r="AE836" s="153"/>
      <c r="AF836" s="153"/>
      <c r="AG836" s="153"/>
      <c r="AH836" s="153"/>
    </row>
    <row r="837">
      <c r="A837" s="153"/>
      <c r="B837" s="156"/>
      <c r="C837" s="171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  <c r="AG837" s="153"/>
      <c r="AH837" s="153"/>
    </row>
    <row r="838">
      <c r="A838" s="153"/>
      <c r="B838" s="156"/>
      <c r="C838" s="171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  <c r="AA838" s="153"/>
      <c r="AB838" s="153"/>
      <c r="AC838" s="153"/>
      <c r="AD838" s="153"/>
      <c r="AE838" s="153"/>
      <c r="AF838" s="153"/>
      <c r="AG838" s="153"/>
      <c r="AH838" s="153"/>
    </row>
    <row r="839">
      <c r="A839" s="153"/>
      <c r="B839" s="156"/>
      <c r="C839" s="171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  <c r="AA839" s="153"/>
      <c r="AB839" s="153"/>
      <c r="AC839" s="153"/>
      <c r="AD839" s="153"/>
      <c r="AE839" s="153"/>
      <c r="AF839" s="153"/>
      <c r="AG839" s="153"/>
      <c r="AH839" s="153"/>
    </row>
    <row r="840">
      <c r="A840" s="153"/>
      <c r="B840" s="156"/>
      <c r="C840" s="171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  <c r="AA840" s="153"/>
      <c r="AB840" s="153"/>
      <c r="AC840" s="153"/>
      <c r="AD840" s="153"/>
      <c r="AE840" s="153"/>
      <c r="AF840" s="153"/>
      <c r="AG840" s="153"/>
      <c r="AH840" s="153"/>
    </row>
    <row r="841">
      <c r="A841" s="153"/>
      <c r="B841" s="156"/>
      <c r="C841" s="171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  <c r="AA841" s="153"/>
      <c r="AB841" s="153"/>
      <c r="AC841" s="153"/>
      <c r="AD841" s="153"/>
      <c r="AE841" s="153"/>
      <c r="AF841" s="153"/>
      <c r="AG841" s="153"/>
      <c r="AH841" s="153"/>
    </row>
    <row r="842">
      <c r="A842" s="153"/>
      <c r="B842" s="156"/>
      <c r="C842" s="171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  <c r="AA842" s="153"/>
      <c r="AB842" s="153"/>
      <c r="AC842" s="153"/>
      <c r="AD842" s="153"/>
      <c r="AE842" s="153"/>
      <c r="AF842" s="153"/>
      <c r="AG842" s="153"/>
      <c r="AH842" s="153"/>
    </row>
    <row r="843">
      <c r="A843" s="153"/>
      <c r="B843" s="156"/>
      <c r="C843" s="171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  <c r="AA843" s="153"/>
      <c r="AB843" s="153"/>
      <c r="AC843" s="153"/>
      <c r="AD843" s="153"/>
      <c r="AE843" s="153"/>
      <c r="AF843" s="153"/>
      <c r="AG843" s="153"/>
      <c r="AH843" s="153"/>
    </row>
    <row r="844">
      <c r="A844" s="153"/>
      <c r="B844" s="156"/>
      <c r="C844" s="171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  <c r="AG844" s="153"/>
      <c r="AH844" s="153"/>
    </row>
    <row r="845">
      <c r="A845" s="153"/>
      <c r="B845" s="156"/>
      <c r="C845" s="171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  <c r="AG845" s="153"/>
      <c r="AH845" s="153"/>
    </row>
    <row r="846">
      <c r="A846" s="153"/>
      <c r="B846" s="156"/>
      <c r="C846" s="171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  <c r="AG846" s="153"/>
      <c r="AH846" s="153"/>
    </row>
    <row r="847">
      <c r="A847" s="153"/>
      <c r="B847" s="156"/>
      <c r="C847" s="171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  <c r="AG847" s="153"/>
      <c r="AH847" s="153"/>
    </row>
    <row r="848">
      <c r="A848" s="153"/>
      <c r="B848" s="156"/>
      <c r="C848" s="171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  <c r="AG848" s="153"/>
      <c r="AH848" s="153"/>
    </row>
    <row r="849">
      <c r="A849" s="153"/>
      <c r="B849" s="156"/>
      <c r="C849" s="171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  <c r="AG849" s="153"/>
      <c r="AH849" s="153"/>
    </row>
    <row r="850">
      <c r="A850" s="153"/>
      <c r="B850" s="156"/>
      <c r="C850" s="171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  <c r="AG850" s="153"/>
      <c r="AH850" s="153"/>
    </row>
    <row r="851">
      <c r="A851" s="153"/>
      <c r="B851" s="156"/>
      <c r="C851" s="171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  <c r="AG851" s="153"/>
      <c r="AH851" s="153"/>
    </row>
    <row r="852">
      <c r="A852" s="153"/>
      <c r="B852" s="156"/>
      <c r="C852" s="171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  <c r="AG852" s="153"/>
      <c r="AH852" s="153"/>
    </row>
    <row r="853">
      <c r="A853" s="153"/>
      <c r="B853" s="156"/>
      <c r="C853" s="171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  <c r="AA853" s="153"/>
      <c r="AB853" s="153"/>
      <c r="AC853" s="153"/>
      <c r="AD853" s="153"/>
      <c r="AE853" s="153"/>
      <c r="AF853" s="153"/>
      <c r="AG853" s="153"/>
      <c r="AH853" s="153"/>
    </row>
    <row r="854">
      <c r="A854" s="153"/>
      <c r="B854" s="156"/>
      <c r="C854" s="171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  <c r="AA854" s="153"/>
      <c r="AB854" s="153"/>
      <c r="AC854" s="153"/>
      <c r="AD854" s="153"/>
      <c r="AE854" s="153"/>
      <c r="AF854" s="153"/>
      <c r="AG854" s="153"/>
      <c r="AH854" s="153"/>
    </row>
    <row r="855">
      <c r="A855" s="153"/>
      <c r="B855" s="156"/>
      <c r="C855" s="171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  <c r="AA855" s="153"/>
      <c r="AB855" s="153"/>
      <c r="AC855" s="153"/>
      <c r="AD855" s="153"/>
      <c r="AE855" s="153"/>
      <c r="AF855" s="153"/>
      <c r="AG855" s="153"/>
      <c r="AH855" s="153"/>
    </row>
    <row r="856">
      <c r="A856" s="153"/>
      <c r="B856" s="156"/>
      <c r="C856" s="171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  <c r="AA856" s="153"/>
      <c r="AB856" s="153"/>
      <c r="AC856" s="153"/>
      <c r="AD856" s="153"/>
      <c r="AE856" s="153"/>
      <c r="AF856" s="153"/>
      <c r="AG856" s="153"/>
      <c r="AH856" s="153"/>
    </row>
    <row r="857">
      <c r="A857" s="153"/>
      <c r="B857" s="156"/>
      <c r="C857" s="171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  <c r="AA857" s="153"/>
      <c r="AB857" s="153"/>
      <c r="AC857" s="153"/>
      <c r="AD857" s="153"/>
      <c r="AE857" s="153"/>
      <c r="AF857" s="153"/>
      <c r="AG857" s="153"/>
      <c r="AH857" s="153"/>
    </row>
    <row r="858">
      <c r="A858" s="153"/>
      <c r="B858" s="156"/>
      <c r="C858" s="171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  <c r="AA858" s="153"/>
      <c r="AB858" s="153"/>
      <c r="AC858" s="153"/>
      <c r="AD858" s="153"/>
      <c r="AE858" s="153"/>
      <c r="AF858" s="153"/>
      <c r="AG858" s="153"/>
      <c r="AH858" s="153"/>
    </row>
    <row r="859">
      <c r="A859" s="153"/>
      <c r="B859" s="156"/>
      <c r="C859" s="171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  <c r="AA859" s="153"/>
      <c r="AB859" s="153"/>
      <c r="AC859" s="153"/>
      <c r="AD859" s="153"/>
      <c r="AE859" s="153"/>
      <c r="AF859" s="153"/>
      <c r="AG859" s="153"/>
      <c r="AH859" s="153"/>
    </row>
    <row r="860">
      <c r="A860" s="153"/>
      <c r="B860" s="156"/>
      <c r="C860" s="171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  <c r="AB860" s="153"/>
      <c r="AC860" s="153"/>
      <c r="AD860" s="153"/>
      <c r="AE860" s="153"/>
      <c r="AF860" s="153"/>
      <c r="AG860" s="153"/>
      <c r="AH860" s="153"/>
    </row>
    <row r="861">
      <c r="A861" s="153"/>
      <c r="B861" s="156"/>
      <c r="C861" s="171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  <c r="AA861" s="153"/>
      <c r="AB861" s="153"/>
      <c r="AC861" s="153"/>
      <c r="AD861" s="153"/>
      <c r="AE861" s="153"/>
      <c r="AF861" s="153"/>
      <c r="AG861" s="153"/>
      <c r="AH861" s="153"/>
    </row>
    <row r="862">
      <c r="A862" s="153"/>
      <c r="B862" s="156"/>
      <c r="C862" s="171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  <c r="AD862" s="153"/>
      <c r="AE862" s="153"/>
      <c r="AF862" s="153"/>
      <c r="AG862" s="153"/>
      <c r="AH862" s="153"/>
    </row>
    <row r="863">
      <c r="A863" s="153"/>
      <c r="B863" s="156"/>
      <c r="C863" s="171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  <c r="AG863" s="153"/>
      <c r="AH863" s="153"/>
    </row>
    <row r="864">
      <c r="A864" s="153"/>
      <c r="B864" s="156"/>
      <c r="C864" s="171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  <c r="AG864" s="153"/>
      <c r="AH864" s="153"/>
    </row>
    <row r="865">
      <c r="A865" s="153"/>
      <c r="B865" s="156"/>
      <c r="C865" s="171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  <c r="AG865" s="153"/>
      <c r="AH865" s="153"/>
    </row>
    <row r="866">
      <c r="A866" s="153"/>
      <c r="B866" s="156"/>
      <c r="C866" s="171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  <c r="AG866" s="153"/>
      <c r="AH866" s="153"/>
    </row>
    <row r="867">
      <c r="A867" s="153"/>
      <c r="B867" s="156"/>
      <c r="C867" s="171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  <c r="AG867" s="153"/>
      <c r="AH867" s="153"/>
    </row>
    <row r="868">
      <c r="A868" s="153"/>
      <c r="B868" s="156"/>
      <c r="C868" s="171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  <c r="AG868" s="153"/>
      <c r="AH868" s="153"/>
    </row>
    <row r="869">
      <c r="A869" s="153"/>
      <c r="B869" s="156"/>
      <c r="C869" s="171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  <c r="AG869" s="153"/>
      <c r="AH869" s="153"/>
    </row>
    <row r="870">
      <c r="A870" s="153"/>
      <c r="B870" s="156"/>
      <c r="C870" s="171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  <c r="AG870" s="153"/>
      <c r="AH870" s="153"/>
    </row>
    <row r="871">
      <c r="A871" s="153"/>
      <c r="B871" s="156"/>
      <c r="C871" s="171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  <c r="AG871" s="153"/>
      <c r="AH871" s="153"/>
    </row>
    <row r="872">
      <c r="A872" s="153"/>
      <c r="B872" s="156"/>
      <c r="C872" s="171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  <c r="AA872" s="153"/>
      <c r="AB872" s="153"/>
      <c r="AC872" s="153"/>
      <c r="AD872" s="153"/>
      <c r="AE872" s="153"/>
      <c r="AF872" s="153"/>
      <c r="AG872" s="153"/>
      <c r="AH872" s="153"/>
    </row>
    <row r="873">
      <c r="A873" s="153"/>
      <c r="B873" s="156"/>
      <c r="C873" s="171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  <c r="AA873" s="153"/>
      <c r="AB873" s="153"/>
      <c r="AC873" s="153"/>
      <c r="AD873" s="153"/>
      <c r="AE873" s="153"/>
      <c r="AF873" s="153"/>
      <c r="AG873" s="153"/>
      <c r="AH873" s="153"/>
    </row>
    <row r="874">
      <c r="A874" s="153"/>
      <c r="B874" s="156"/>
      <c r="C874" s="171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  <c r="AA874" s="153"/>
      <c r="AB874" s="153"/>
      <c r="AC874" s="153"/>
      <c r="AD874" s="153"/>
      <c r="AE874" s="153"/>
      <c r="AF874" s="153"/>
      <c r="AG874" s="153"/>
      <c r="AH874" s="153"/>
    </row>
    <row r="875">
      <c r="A875" s="153"/>
      <c r="B875" s="156"/>
      <c r="C875" s="171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  <c r="AA875" s="153"/>
      <c r="AB875" s="153"/>
      <c r="AC875" s="153"/>
      <c r="AD875" s="153"/>
      <c r="AE875" s="153"/>
      <c r="AF875" s="153"/>
      <c r="AG875" s="153"/>
      <c r="AH875" s="153"/>
    </row>
    <row r="876">
      <c r="A876" s="153"/>
      <c r="B876" s="156"/>
      <c r="C876" s="171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  <c r="AB876" s="153"/>
      <c r="AC876" s="153"/>
      <c r="AD876" s="153"/>
      <c r="AE876" s="153"/>
      <c r="AF876" s="153"/>
      <c r="AG876" s="153"/>
      <c r="AH876" s="153"/>
    </row>
    <row r="877">
      <c r="A877" s="153"/>
      <c r="B877" s="156"/>
      <c r="C877" s="171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  <c r="AG877" s="153"/>
      <c r="AH877" s="153"/>
    </row>
    <row r="878">
      <c r="A878" s="153"/>
      <c r="B878" s="156"/>
      <c r="C878" s="171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  <c r="AG878" s="153"/>
      <c r="AH878" s="153"/>
    </row>
    <row r="879">
      <c r="A879" s="153"/>
      <c r="B879" s="156"/>
      <c r="C879" s="171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  <c r="AG879" s="153"/>
      <c r="AH879" s="153"/>
    </row>
    <row r="880">
      <c r="A880" s="153"/>
      <c r="B880" s="156"/>
      <c r="C880" s="171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  <c r="AG880" s="153"/>
      <c r="AH880" s="153"/>
    </row>
    <row r="881">
      <c r="A881" s="153"/>
      <c r="B881" s="156"/>
      <c r="C881" s="171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  <c r="AG881" s="153"/>
      <c r="AH881" s="153"/>
    </row>
    <row r="882">
      <c r="A882" s="153"/>
      <c r="B882" s="156"/>
      <c r="C882" s="171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  <c r="AG882" s="153"/>
      <c r="AH882" s="153"/>
    </row>
    <row r="883">
      <c r="A883" s="153"/>
      <c r="B883" s="156"/>
      <c r="C883" s="171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  <c r="AG883" s="153"/>
      <c r="AH883" s="153"/>
    </row>
    <row r="884">
      <c r="A884" s="153"/>
      <c r="B884" s="156"/>
      <c r="C884" s="171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  <c r="AG884" s="153"/>
      <c r="AH884" s="153"/>
    </row>
    <row r="885">
      <c r="A885" s="153"/>
      <c r="B885" s="156"/>
      <c r="C885" s="171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  <c r="AG885" s="153"/>
      <c r="AH885" s="153"/>
    </row>
    <row r="886">
      <c r="A886" s="153"/>
      <c r="B886" s="156"/>
      <c r="C886" s="171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  <c r="AG886" s="153"/>
      <c r="AH886" s="153"/>
    </row>
    <row r="887">
      <c r="A887" s="153"/>
      <c r="B887" s="156"/>
      <c r="C887" s="171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  <c r="AG887" s="153"/>
      <c r="AH887" s="153"/>
    </row>
    <row r="888">
      <c r="A888" s="153"/>
      <c r="B888" s="156"/>
      <c r="C888" s="171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  <c r="AG888" s="153"/>
      <c r="AH888" s="153"/>
    </row>
    <row r="889">
      <c r="A889" s="153"/>
      <c r="B889" s="156"/>
      <c r="C889" s="171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  <c r="AG889" s="153"/>
      <c r="AH889" s="153"/>
    </row>
    <row r="890">
      <c r="A890" s="153"/>
      <c r="B890" s="156"/>
      <c r="C890" s="171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  <c r="AA890" s="153"/>
      <c r="AB890" s="153"/>
      <c r="AC890" s="153"/>
      <c r="AD890" s="153"/>
      <c r="AE890" s="153"/>
      <c r="AF890" s="153"/>
      <c r="AG890" s="153"/>
      <c r="AH890" s="153"/>
    </row>
    <row r="891">
      <c r="A891" s="153"/>
      <c r="B891" s="156"/>
      <c r="C891" s="171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  <c r="AA891" s="153"/>
      <c r="AB891" s="153"/>
      <c r="AC891" s="153"/>
      <c r="AD891" s="153"/>
      <c r="AE891" s="153"/>
      <c r="AF891" s="153"/>
      <c r="AG891" s="153"/>
      <c r="AH891" s="153"/>
    </row>
    <row r="892">
      <c r="A892" s="153"/>
      <c r="B892" s="156"/>
      <c r="C892" s="171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  <c r="AB892" s="153"/>
      <c r="AC892" s="153"/>
      <c r="AD892" s="153"/>
      <c r="AE892" s="153"/>
      <c r="AF892" s="153"/>
      <c r="AG892" s="153"/>
      <c r="AH892" s="153"/>
    </row>
    <row r="893">
      <c r="A893" s="153"/>
      <c r="B893" s="156"/>
      <c r="C893" s="171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  <c r="AA893" s="153"/>
      <c r="AB893" s="153"/>
      <c r="AC893" s="153"/>
      <c r="AD893" s="153"/>
      <c r="AE893" s="153"/>
      <c r="AF893" s="153"/>
      <c r="AG893" s="153"/>
      <c r="AH893" s="153"/>
    </row>
    <row r="894">
      <c r="A894" s="153"/>
      <c r="B894" s="156"/>
      <c r="C894" s="171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  <c r="AD894" s="153"/>
      <c r="AE894" s="153"/>
      <c r="AF894" s="153"/>
      <c r="AG894" s="153"/>
      <c r="AH894" s="153"/>
    </row>
    <row r="895">
      <c r="A895" s="153"/>
      <c r="B895" s="156"/>
      <c r="C895" s="171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  <c r="AA895" s="153"/>
      <c r="AB895" s="153"/>
      <c r="AC895" s="153"/>
      <c r="AD895" s="153"/>
      <c r="AE895" s="153"/>
      <c r="AF895" s="153"/>
      <c r="AG895" s="153"/>
      <c r="AH895" s="153"/>
    </row>
    <row r="896">
      <c r="A896" s="153"/>
      <c r="B896" s="156"/>
      <c r="C896" s="171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  <c r="AA896" s="153"/>
      <c r="AB896" s="153"/>
      <c r="AC896" s="153"/>
      <c r="AD896" s="153"/>
      <c r="AE896" s="153"/>
      <c r="AF896" s="153"/>
      <c r="AG896" s="153"/>
      <c r="AH896" s="153"/>
    </row>
    <row r="897">
      <c r="A897" s="153"/>
      <c r="B897" s="156"/>
      <c r="C897" s="171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  <c r="AG897" s="153"/>
      <c r="AH897" s="153"/>
    </row>
    <row r="898">
      <c r="A898" s="153"/>
      <c r="B898" s="156"/>
      <c r="C898" s="171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  <c r="AA898" s="153"/>
      <c r="AB898" s="153"/>
      <c r="AC898" s="153"/>
      <c r="AD898" s="153"/>
      <c r="AE898" s="153"/>
      <c r="AF898" s="153"/>
      <c r="AG898" s="153"/>
      <c r="AH898" s="153"/>
    </row>
    <row r="899">
      <c r="A899" s="153"/>
      <c r="B899" s="156"/>
      <c r="C899" s="171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  <c r="AA899" s="153"/>
      <c r="AB899" s="153"/>
      <c r="AC899" s="153"/>
      <c r="AD899" s="153"/>
      <c r="AE899" s="153"/>
      <c r="AF899" s="153"/>
      <c r="AG899" s="153"/>
      <c r="AH899" s="153"/>
    </row>
    <row r="900">
      <c r="A900" s="153"/>
      <c r="B900" s="156"/>
      <c r="C900" s="171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  <c r="AA900" s="153"/>
      <c r="AB900" s="153"/>
      <c r="AC900" s="153"/>
      <c r="AD900" s="153"/>
      <c r="AE900" s="153"/>
      <c r="AF900" s="153"/>
      <c r="AG900" s="153"/>
      <c r="AH900" s="153"/>
    </row>
    <row r="901">
      <c r="A901" s="153"/>
      <c r="B901" s="156"/>
      <c r="C901" s="171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  <c r="AG901" s="153"/>
      <c r="AH901" s="153"/>
    </row>
    <row r="902">
      <c r="A902" s="153"/>
      <c r="B902" s="156"/>
      <c r="C902" s="171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  <c r="AA902" s="153"/>
      <c r="AB902" s="153"/>
      <c r="AC902" s="153"/>
      <c r="AD902" s="153"/>
      <c r="AE902" s="153"/>
      <c r="AF902" s="153"/>
      <c r="AG902" s="153"/>
      <c r="AH902" s="153"/>
    </row>
    <row r="903">
      <c r="A903" s="153"/>
      <c r="B903" s="156"/>
      <c r="C903" s="171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  <c r="AG903" s="153"/>
      <c r="AH903" s="153"/>
    </row>
    <row r="904">
      <c r="A904" s="153"/>
      <c r="B904" s="156"/>
      <c r="C904" s="171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  <c r="AA904" s="153"/>
      <c r="AB904" s="153"/>
      <c r="AC904" s="153"/>
      <c r="AD904" s="153"/>
      <c r="AE904" s="153"/>
      <c r="AF904" s="153"/>
      <c r="AG904" s="153"/>
      <c r="AH904" s="153"/>
    </row>
    <row r="905">
      <c r="A905" s="153"/>
      <c r="B905" s="156"/>
      <c r="C905" s="171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  <c r="AG905" s="153"/>
      <c r="AH905" s="153"/>
    </row>
    <row r="906">
      <c r="A906" s="153"/>
      <c r="B906" s="156"/>
      <c r="C906" s="171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  <c r="AA906" s="153"/>
      <c r="AB906" s="153"/>
      <c r="AC906" s="153"/>
      <c r="AD906" s="153"/>
      <c r="AE906" s="153"/>
      <c r="AF906" s="153"/>
      <c r="AG906" s="153"/>
      <c r="AH906" s="153"/>
    </row>
    <row r="907">
      <c r="A907" s="153"/>
      <c r="B907" s="156"/>
      <c r="C907" s="171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  <c r="AG907" s="153"/>
      <c r="AH907" s="153"/>
    </row>
    <row r="908">
      <c r="A908" s="153"/>
      <c r="B908" s="156"/>
      <c r="C908" s="171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  <c r="AB908" s="153"/>
      <c r="AC908" s="153"/>
      <c r="AD908" s="153"/>
      <c r="AE908" s="153"/>
      <c r="AF908" s="153"/>
      <c r="AG908" s="153"/>
      <c r="AH908" s="153"/>
    </row>
    <row r="909">
      <c r="A909" s="153"/>
      <c r="B909" s="156"/>
      <c r="C909" s="171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  <c r="AG909" s="153"/>
      <c r="AH909" s="153"/>
    </row>
    <row r="910">
      <c r="A910" s="153"/>
      <c r="B910" s="156"/>
      <c r="C910" s="171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  <c r="AD910" s="153"/>
      <c r="AE910" s="153"/>
      <c r="AF910" s="153"/>
      <c r="AG910" s="153"/>
      <c r="AH910" s="153"/>
    </row>
    <row r="911">
      <c r="A911" s="153"/>
      <c r="B911" s="156"/>
      <c r="C911" s="171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  <c r="AA911" s="153"/>
      <c r="AB911" s="153"/>
      <c r="AC911" s="153"/>
      <c r="AD911" s="153"/>
      <c r="AE911" s="153"/>
      <c r="AF911" s="153"/>
      <c r="AG911" s="153"/>
      <c r="AH911" s="153"/>
    </row>
    <row r="912">
      <c r="A912" s="153"/>
      <c r="B912" s="156"/>
      <c r="C912" s="171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  <c r="AG912" s="153"/>
      <c r="AH912" s="153"/>
    </row>
    <row r="913">
      <c r="A913" s="153"/>
      <c r="B913" s="156"/>
      <c r="C913" s="171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  <c r="AG913" s="153"/>
      <c r="AH913" s="153"/>
    </row>
    <row r="914">
      <c r="A914" s="153"/>
      <c r="B914" s="156"/>
      <c r="C914" s="171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  <c r="AG914" s="153"/>
      <c r="AH914" s="153"/>
    </row>
    <row r="915">
      <c r="A915" s="153"/>
      <c r="B915" s="156"/>
      <c r="C915" s="171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  <c r="AG915" s="153"/>
      <c r="AH915" s="153"/>
    </row>
    <row r="916">
      <c r="A916" s="153"/>
      <c r="B916" s="156"/>
      <c r="C916" s="171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  <c r="AG916" s="153"/>
      <c r="AH916" s="153"/>
    </row>
    <row r="917">
      <c r="A917" s="153"/>
      <c r="B917" s="156"/>
      <c r="C917" s="171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  <c r="AG917" s="153"/>
      <c r="AH917" s="153"/>
    </row>
    <row r="918">
      <c r="A918" s="153"/>
      <c r="B918" s="156"/>
      <c r="C918" s="171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  <c r="AG918" s="153"/>
      <c r="AH918" s="153"/>
    </row>
    <row r="919">
      <c r="A919" s="153"/>
      <c r="B919" s="156"/>
      <c r="C919" s="171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  <c r="AG919" s="153"/>
      <c r="AH919" s="153"/>
    </row>
    <row r="920">
      <c r="A920" s="153"/>
      <c r="B920" s="156"/>
      <c r="C920" s="171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  <c r="AG920" s="153"/>
      <c r="AH920" s="153"/>
    </row>
    <row r="921">
      <c r="A921" s="153"/>
      <c r="B921" s="156"/>
      <c r="C921" s="171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</row>
    <row r="922">
      <c r="A922" s="153"/>
      <c r="B922" s="156"/>
      <c r="C922" s="171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  <c r="AG922" s="153"/>
      <c r="AH922" s="153"/>
    </row>
    <row r="923">
      <c r="A923" s="153"/>
      <c r="B923" s="156"/>
      <c r="C923" s="171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  <c r="AG923" s="153"/>
      <c r="AH923" s="153"/>
    </row>
    <row r="924">
      <c r="A924" s="153"/>
      <c r="B924" s="156"/>
      <c r="C924" s="171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  <c r="AG924" s="153"/>
      <c r="AH924" s="153"/>
    </row>
    <row r="925">
      <c r="A925" s="153"/>
      <c r="B925" s="156"/>
      <c r="C925" s="171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  <c r="AG925" s="153"/>
      <c r="AH925" s="153"/>
    </row>
    <row r="926">
      <c r="A926" s="153"/>
      <c r="B926" s="156"/>
      <c r="C926" s="171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  <c r="AG926" s="153"/>
      <c r="AH926" s="153"/>
    </row>
    <row r="927">
      <c r="A927" s="153"/>
      <c r="B927" s="156"/>
      <c r="C927" s="171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  <c r="AA927" s="153"/>
      <c r="AB927" s="153"/>
      <c r="AC927" s="153"/>
      <c r="AD927" s="153"/>
      <c r="AE927" s="153"/>
      <c r="AF927" s="153"/>
      <c r="AG927" s="153"/>
      <c r="AH927" s="153"/>
    </row>
    <row r="928">
      <c r="A928" s="153"/>
      <c r="B928" s="156"/>
      <c r="C928" s="171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  <c r="AA928" s="153"/>
      <c r="AB928" s="153"/>
      <c r="AC928" s="153"/>
      <c r="AD928" s="153"/>
      <c r="AE928" s="153"/>
      <c r="AF928" s="153"/>
      <c r="AG928" s="153"/>
      <c r="AH928" s="153"/>
    </row>
    <row r="929">
      <c r="A929" s="153"/>
      <c r="B929" s="156"/>
      <c r="C929" s="171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  <c r="AA929" s="153"/>
      <c r="AB929" s="153"/>
      <c r="AC929" s="153"/>
      <c r="AD929" s="153"/>
      <c r="AE929" s="153"/>
      <c r="AF929" s="153"/>
      <c r="AG929" s="153"/>
      <c r="AH929" s="153"/>
    </row>
    <row r="930">
      <c r="A930" s="153"/>
      <c r="B930" s="156"/>
      <c r="C930" s="171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  <c r="AA930" s="153"/>
      <c r="AB930" s="153"/>
      <c r="AC930" s="153"/>
      <c r="AD930" s="153"/>
      <c r="AE930" s="153"/>
      <c r="AF930" s="153"/>
      <c r="AG930" s="153"/>
      <c r="AH930" s="153"/>
    </row>
    <row r="931">
      <c r="A931" s="153"/>
      <c r="B931" s="156"/>
      <c r="C931" s="171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  <c r="AA931" s="153"/>
      <c r="AB931" s="153"/>
      <c r="AC931" s="153"/>
      <c r="AD931" s="153"/>
      <c r="AE931" s="153"/>
      <c r="AF931" s="153"/>
      <c r="AG931" s="153"/>
      <c r="AH931" s="153"/>
    </row>
    <row r="932">
      <c r="A932" s="153"/>
      <c r="B932" s="156"/>
      <c r="C932" s="171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  <c r="AA932" s="153"/>
      <c r="AB932" s="153"/>
      <c r="AC932" s="153"/>
      <c r="AD932" s="153"/>
      <c r="AE932" s="153"/>
      <c r="AF932" s="153"/>
      <c r="AG932" s="153"/>
      <c r="AH932" s="153"/>
    </row>
    <row r="933">
      <c r="A933" s="153"/>
      <c r="B933" s="156"/>
      <c r="C933" s="171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  <c r="AG933" s="153"/>
      <c r="AH933" s="153"/>
    </row>
    <row r="934">
      <c r="A934" s="153"/>
      <c r="B934" s="156"/>
      <c r="C934" s="171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  <c r="AG934" s="153"/>
      <c r="AH934" s="153"/>
    </row>
    <row r="935">
      <c r="A935" s="153"/>
      <c r="B935" s="156"/>
      <c r="C935" s="171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  <c r="AG935" s="153"/>
      <c r="AH935" s="153"/>
    </row>
    <row r="936">
      <c r="A936" s="153"/>
      <c r="B936" s="156"/>
      <c r="C936" s="171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  <c r="AG936" s="153"/>
      <c r="AH936" s="153"/>
    </row>
    <row r="937">
      <c r="A937" s="153"/>
      <c r="B937" s="156"/>
      <c r="C937" s="171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</row>
    <row r="938">
      <c r="A938" s="153"/>
      <c r="B938" s="156"/>
      <c r="C938" s="171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  <c r="AG938" s="153"/>
      <c r="AH938" s="153"/>
    </row>
    <row r="939">
      <c r="A939" s="153"/>
      <c r="B939" s="156"/>
      <c r="C939" s="171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</row>
    <row r="940">
      <c r="A940" s="153"/>
      <c r="B940" s="156"/>
      <c r="C940" s="171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  <c r="AG940" s="153"/>
      <c r="AH940" s="153"/>
    </row>
    <row r="941">
      <c r="A941" s="153"/>
      <c r="B941" s="156"/>
      <c r="C941" s="171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  <c r="AG941" s="153"/>
      <c r="AH941" s="153"/>
    </row>
    <row r="942">
      <c r="A942" s="153"/>
      <c r="B942" s="156"/>
      <c r="C942" s="171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  <c r="AG942" s="153"/>
      <c r="AH942" s="153"/>
    </row>
    <row r="943">
      <c r="A943" s="153"/>
      <c r="B943" s="156"/>
      <c r="C943" s="171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  <c r="AG943" s="153"/>
      <c r="AH943" s="153"/>
    </row>
    <row r="944">
      <c r="A944" s="153"/>
      <c r="B944" s="156"/>
      <c r="C944" s="171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  <c r="AG944" s="153"/>
      <c r="AH944" s="153"/>
    </row>
    <row r="945">
      <c r="A945" s="153"/>
      <c r="B945" s="156"/>
      <c r="C945" s="171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  <c r="AA945" s="153"/>
      <c r="AB945" s="153"/>
      <c r="AC945" s="153"/>
      <c r="AD945" s="153"/>
      <c r="AE945" s="153"/>
      <c r="AF945" s="153"/>
      <c r="AG945" s="153"/>
      <c r="AH945" s="153"/>
    </row>
    <row r="946">
      <c r="A946" s="153"/>
      <c r="B946" s="156"/>
      <c r="C946" s="171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  <c r="AA946" s="153"/>
      <c r="AB946" s="153"/>
      <c r="AC946" s="153"/>
      <c r="AD946" s="153"/>
      <c r="AE946" s="153"/>
      <c r="AF946" s="153"/>
      <c r="AG946" s="153"/>
      <c r="AH946" s="153"/>
    </row>
    <row r="947">
      <c r="A947" s="153"/>
      <c r="B947" s="156"/>
      <c r="C947" s="171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  <c r="AA947" s="153"/>
      <c r="AB947" s="153"/>
      <c r="AC947" s="153"/>
      <c r="AD947" s="153"/>
      <c r="AE947" s="153"/>
      <c r="AF947" s="153"/>
      <c r="AG947" s="153"/>
      <c r="AH947" s="153"/>
    </row>
    <row r="948">
      <c r="A948" s="153"/>
      <c r="B948" s="156"/>
      <c r="C948" s="171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  <c r="AA948" s="153"/>
      <c r="AB948" s="153"/>
      <c r="AC948" s="153"/>
      <c r="AD948" s="153"/>
      <c r="AE948" s="153"/>
      <c r="AF948" s="153"/>
      <c r="AG948" s="153"/>
      <c r="AH948" s="153"/>
    </row>
    <row r="949">
      <c r="A949" s="153"/>
      <c r="B949" s="156"/>
      <c r="C949" s="171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  <c r="AA949" s="153"/>
      <c r="AB949" s="153"/>
      <c r="AC949" s="153"/>
      <c r="AD949" s="153"/>
      <c r="AE949" s="153"/>
      <c r="AF949" s="153"/>
      <c r="AG949" s="153"/>
      <c r="AH949" s="153"/>
    </row>
    <row r="950">
      <c r="A950" s="153"/>
      <c r="B950" s="156"/>
      <c r="C950" s="171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  <c r="AA950" s="153"/>
      <c r="AB950" s="153"/>
      <c r="AC950" s="153"/>
      <c r="AD950" s="153"/>
      <c r="AE950" s="153"/>
      <c r="AF950" s="153"/>
      <c r="AG950" s="153"/>
      <c r="AH950" s="153"/>
    </row>
    <row r="951">
      <c r="A951" s="153"/>
      <c r="B951" s="156"/>
      <c r="C951" s="171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  <c r="AA951" s="153"/>
      <c r="AB951" s="153"/>
      <c r="AC951" s="153"/>
      <c r="AD951" s="153"/>
      <c r="AE951" s="153"/>
      <c r="AF951" s="153"/>
      <c r="AG951" s="153"/>
      <c r="AH951" s="153"/>
    </row>
    <row r="952">
      <c r="A952" s="153"/>
      <c r="B952" s="156"/>
      <c r="C952" s="171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  <c r="AA952" s="153"/>
      <c r="AB952" s="153"/>
      <c r="AC952" s="153"/>
      <c r="AD952" s="153"/>
      <c r="AE952" s="153"/>
      <c r="AF952" s="153"/>
      <c r="AG952" s="153"/>
      <c r="AH952" s="153"/>
    </row>
    <row r="953">
      <c r="A953" s="153"/>
      <c r="B953" s="156"/>
      <c r="C953" s="171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  <c r="AA953" s="153"/>
      <c r="AB953" s="153"/>
      <c r="AC953" s="153"/>
      <c r="AD953" s="153"/>
      <c r="AE953" s="153"/>
      <c r="AF953" s="153"/>
      <c r="AG953" s="153"/>
      <c r="AH953" s="153"/>
    </row>
    <row r="954">
      <c r="A954" s="153"/>
      <c r="B954" s="156"/>
      <c r="C954" s="171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  <c r="AG954" s="153"/>
      <c r="AH954" s="153"/>
    </row>
    <row r="955">
      <c r="A955" s="153"/>
      <c r="B955" s="156"/>
      <c r="C955" s="171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  <c r="AG955" s="153"/>
      <c r="AH955" s="153"/>
    </row>
    <row r="956">
      <c r="A956" s="153"/>
      <c r="B956" s="156"/>
      <c r="C956" s="171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  <c r="AG956" s="153"/>
      <c r="AH956" s="153"/>
    </row>
    <row r="957">
      <c r="A957" s="153"/>
      <c r="B957" s="156"/>
      <c r="C957" s="171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  <c r="AG957" s="153"/>
      <c r="AH957" s="153"/>
    </row>
    <row r="958">
      <c r="A958" s="153"/>
      <c r="B958" s="156"/>
      <c r="C958" s="171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  <c r="AG958" s="153"/>
      <c r="AH958" s="153"/>
    </row>
    <row r="959">
      <c r="A959" s="153"/>
      <c r="B959" s="156"/>
      <c r="C959" s="171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  <c r="AG959" s="153"/>
      <c r="AH959" s="153"/>
    </row>
    <row r="960">
      <c r="A960" s="153"/>
      <c r="B960" s="156"/>
      <c r="C960" s="171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  <c r="AG960" s="153"/>
      <c r="AH960" s="153"/>
    </row>
    <row r="961">
      <c r="A961" s="153"/>
      <c r="B961" s="156"/>
      <c r="C961" s="171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  <c r="AG961" s="153"/>
      <c r="AH961" s="153"/>
    </row>
    <row r="962">
      <c r="A962" s="153"/>
      <c r="B962" s="156"/>
      <c r="C962" s="171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  <c r="AG962" s="153"/>
      <c r="AH962" s="153"/>
    </row>
    <row r="963">
      <c r="A963" s="153"/>
      <c r="B963" s="156"/>
      <c r="C963" s="171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  <c r="AA963" s="153"/>
      <c r="AB963" s="153"/>
      <c r="AC963" s="153"/>
      <c r="AD963" s="153"/>
      <c r="AE963" s="153"/>
      <c r="AF963" s="153"/>
      <c r="AG963" s="153"/>
      <c r="AH963" s="153"/>
    </row>
    <row r="964">
      <c r="A964" s="153"/>
      <c r="B964" s="156"/>
      <c r="C964" s="171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  <c r="AA964" s="153"/>
      <c r="AB964" s="153"/>
      <c r="AC964" s="153"/>
      <c r="AD964" s="153"/>
      <c r="AE964" s="153"/>
      <c r="AF964" s="153"/>
      <c r="AG964" s="153"/>
      <c r="AH964" s="153"/>
    </row>
    <row r="965">
      <c r="A965" s="153"/>
      <c r="B965" s="156"/>
      <c r="C965" s="171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  <c r="AA965" s="153"/>
      <c r="AB965" s="153"/>
      <c r="AC965" s="153"/>
      <c r="AD965" s="153"/>
      <c r="AE965" s="153"/>
      <c r="AF965" s="153"/>
      <c r="AG965" s="153"/>
      <c r="AH965" s="153"/>
    </row>
    <row r="966">
      <c r="A966" s="153"/>
      <c r="B966" s="156"/>
      <c r="C966" s="171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  <c r="AA966" s="153"/>
      <c r="AB966" s="153"/>
      <c r="AC966" s="153"/>
      <c r="AD966" s="153"/>
      <c r="AE966" s="153"/>
      <c r="AF966" s="153"/>
      <c r="AG966" s="153"/>
      <c r="AH966" s="153"/>
    </row>
    <row r="967">
      <c r="A967" s="153"/>
      <c r="B967" s="156"/>
      <c r="C967" s="171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  <c r="AA967" s="153"/>
      <c r="AB967" s="153"/>
      <c r="AC967" s="153"/>
      <c r="AD967" s="153"/>
      <c r="AE967" s="153"/>
      <c r="AF967" s="153"/>
      <c r="AG967" s="153"/>
      <c r="AH967" s="153"/>
    </row>
    <row r="968">
      <c r="A968" s="153"/>
      <c r="B968" s="156"/>
      <c r="C968" s="171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  <c r="AA968" s="153"/>
      <c r="AB968" s="153"/>
      <c r="AC968" s="153"/>
      <c r="AD968" s="153"/>
      <c r="AE968" s="153"/>
      <c r="AF968" s="153"/>
      <c r="AG968" s="153"/>
      <c r="AH968" s="153"/>
    </row>
    <row r="969">
      <c r="A969" s="153"/>
      <c r="B969" s="156"/>
      <c r="C969" s="171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  <c r="AA969" s="153"/>
      <c r="AB969" s="153"/>
      <c r="AC969" s="153"/>
      <c r="AD969" s="153"/>
      <c r="AE969" s="153"/>
      <c r="AF969" s="153"/>
      <c r="AG969" s="153"/>
      <c r="AH969" s="153"/>
    </row>
    <row r="970">
      <c r="A970" s="153"/>
      <c r="B970" s="156"/>
      <c r="C970" s="171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  <c r="AA970" s="153"/>
      <c r="AB970" s="153"/>
      <c r="AC970" s="153"/>
      <c r="AD970" s="153"/>
      <c r="AE970" s="153"/>
      <c r="AF970" s="153"/>
      <c r="AG970" s="153"/>
      <c r="AH970" s="153"/>
    </row>
    <row r="971">
      <c r="A971" s="153"/>
      <c r="B971" s="156"/>
      <c r="C971" s="171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  <c r="AA971" s="153"/>
      <c r="AB971" s="153"/>
      <c r="AC971" s="153"/>
      <c r="AD971" s="153"/>
      <c r="AE971" s="153"/>
      <c r="AF971" s="153"/>
      <c r="AG971" s="153"/>
      <c r="AH971" s="153"/>
    </row>
    <row r="972">
      <c r="A972" s="153"/>
      <c r="B972" s="156"/>
      <c r="C972" s="171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  <c r="AA972" s="153"/>
      <c r="AB972" s="153"/>
      <c r="AC972" s="153"/>
      <c r="AD972" s="153"/>
      <c r="AE972" s="153"/>
      <c r="AF972" s="153"/>
      <c r="AG972" s="153"/>
      <c r="AH972" s="153"/>
    </row>
    <row r="973">
      <c r="A973" s="153"/>
      <c r="B973" s="156"/>
      <c r="C973" s="171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  <c r="AA973" s="153"/>
      <c r="AB973" s="153"/>
      <c r="AC973" s="153"/>
      <c r="AD973" s="153"/>
      <c r="AE973" s="153"/>
      <c r="AF973" s="153"/>
      <c r="AG973" s="153"/>
      <c r="AH973" s="153"/>
    </row>
    <row r="974">
      <c r="A974" s="153"/>
      <c r="B974" s="156"/>
      <c r="C974" s="171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  <c r="AD974" s="153"/>
      <c r="AE974" s="153"/>
      <c r="AF974" s="153"/>
      <c r="AG974" s="153"/>
      <c r="AH974" s="153"/>
    </row>
    <row r="975">
      <c r="A975" s="153"/>
      <c r="B975" s="156"/>
      <c r="C975" s="171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  <c r="AA975" s="153"/>
      <c r="AB975" s="153"/>
      <c r="AC975" s="153"/>
      <c r="AD975" s="153"/>
      <c r="AE975" s="153"/>
      <c r="AF975" s="153"/>
      <c r="AG975" s="153"/>
      <c r="AH975" s="153"/>
    </row>
    <row r="976">
      <c r="A976" s="153"/>
      <c r="B976" s="156"/>
      <c r="C976" s="171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  <c r="AG976" s="153"/>
      <c r="AH976" s="153"/>
    </row>
    <row r="977">
      <c r="A977" s="153"/>
      <c r="B977" s="156"/>
      <c r="C977" s="171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  <c r="AG977" s="153"/>
      <c r="AH977" s="153"/>
    </row>
    <row r="978">
      <c r="A978" s="153"/>
      <c r="B978" s="156"/>
      <c r="C978" s="171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  <c r="AA978" s="153"/>
      <c r="AB978" s="153"/>
      <c r="AC978" s="153"/>
      <c r="AD978" s="153"/>
      <c r="AE978" s="153"/>
      <c r="AF978" s="153"/>
      <c r="AG978" s="153"/>
      <c r="AH978" s="153"/>
    </row>
    <row r="979">
      <c r="A979" s="153"/>
      <c r="B979" s="156"/>
      <c r="C979" s="171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  <c r="AA979" s="153"/>
      <c r="AB979" s="153"/>
      <c r="AC979" s="153"/>
      <c r="AD979" s="153"/>
      <c r="AE979" s="153"/>
      <c r="AF979" s="153"/>
      <c r="AG979" s="153"/>
      <c r="AH979" s="153"/>
    </row>
    <row r="980">
      <c r="A980" s="153"/>
      <c r="B980" s="156"/>
      <c r="C980" s="171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  <c r="AA980" s="153"/>
      <c r="AB980" s="153"/>
      <c r="AC980" s="153"/>
      <c r="AD980" s="153"/>
      <c r="AE980" s="153"/>
      <c r="AF980" s="153"/>
      <c r="AG980" s="153"/>
      <c r="AH980" s="153"/>
    </row>
    <row r="981">
      <c r="A981" s="153"/>
      <c r="B981" s="156"/>
      <c r="C981" s="171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  <c r="AA981" s="153"/>
      <c r="AB981" s="153"/>
      <c r="AC981" s="153"/>
      <c r="AD981" s="153"/>
      <c r="AE981" s="153"/>
      <c r="AF981" s="153"/>
      <c r="AG981" s="153"/>
      <c r="AH981" s="153"/>
    </row>
    <row r="982">
      <c r="A982" s="153"/>
      <c r="B982" s="156"/>
      <c r="C982" s="171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  <c r="AA982" s="153"/>
      <c r="AB982" s="153"/>
      <c r="AC982" s="153"/>
      <c r="AD982" s="153"/>
      <c r="AE982" s="153"/>
      <c r="AF982" s="153"/>
      <c r="AG982" s="153"/>
      <c r="AH982" s="153"/>
    </row>
    <row r="983">
      <c r="A983" s="153"/>
      <c r="B983" s="156"/>
      <c r="C983" s="171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  <c r="AA983" s="153"/>
      <c r="AB983" s="153"/>
      <c r="AC983" s="153"/>
      <c r="AD983" s="153"/>
      <c r="AE983" s="153"/>
      <c r="AF983" s="153"/>
      <c r="AG983" s="153"/>
      <c r="AH983" s="153"/>
    </row>
    <row r="984">
      <c r="A984" s="153"/>
      <c r="B984" s="156"/>
      <c r="C984" s="171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  <c r="AA984" s="153"/>
      <c r="AB984" s="153"/>
      <c r="AC984" s="153"/>
      <c r="AD984" s="153"/>
      <c r="AE984" s="153"/>
      <c r="AF984" s="153"/>
      <c r="AG984" s="153"/>
      <c r="AH984" s="153"/>
    </row>
    <row r="985">
      <c r="A985" s="153"/>
      <c r="B985" s="156"/>
      <c r="C985" s="171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  <c r="AA985" s="153"/>
      <c r="AB985" s="153"/>
      <c r="AC985" s="153"/>
      <c r="AD985" s="153"/>
      <c r="AE985" s="153"/>
      <c r="AF985" s="153"/>
      <c r="AG985" s="153"/>
      <c r="AH985" s="153"/>
    </row>
    <row r="986">
      <c r="A986" s="153"/>
      <c r="B986" s="156"/>
      <c r="C986" s="171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  <c r="AA986" s="153"/>
      <c r="AB986" s="153"/>
      <c r="AC986" s="153"/>
      <c r="AD986" s="153"/>
      <c r="AE986" s="153"/>
      <c r="AF986" s="153"/>
      <c r="AG986" s="153"/>
      <c r="AH986" s="153"/>
    </row>
    <row r="987">
      <c r="A987" s="153"/>
      <c r="B987" s="156"/>
      <c r="C987" s="171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  <c r="AA987" s="153"/>
      <c r="AB987" s="153"/>
      <c r="AC987" s="153"/>
      <c r="AD987" s="153"/>
      <c r="AE987" s="153"/>
      <c r="AF987" s="153"/>
      <c r="AG987" s="153"/>
      <c r="AH987" s="153"/>
    </row>
    <row r="988">
      <c r="A988" s="153"/>
      <c r="B988" s="156"/>
      <c r="C988" s="171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  <c r="AA988" s="153"/>
      <c r="AB988" s="153"/>
      <c r="AC988" s="153"/>
      <c r="AD988" s="153"/>
      <c r="AE988" s="153"/>
      <c r="AF988" s="153"/>
      <c r="AG988" s="153"/>
      <c r="AH988" s="153"/>
    </row>
    <row r="989">
      <c r="A989" s="153"/>
      <c r="B989" s="156"/>
      <c r="C989" s="171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  <c r="AA989" s="153"/>
      <c r="AB989" s="153"/>
      <c r="AC989" s="153"/>
      <c r="AD989" s="153"/>
      <c r="AE989" s="153"/>
      <c r="AF989" s="153"/>
      <c r="AG989" s="153"/>
      <c r="AH989" s="153"/>
    </row>
    <row r="990">
      <c r="A990" s="153"/>
      <c r="B990" s="156"/>
      <c r="C990" s="171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  <c r="AD990" s="153"/>
      <c r="AE990" s="153"/>
      <c r="AF990" s="153"/>
      <c r="AG990" s="153"/>
      <c r="AH990" s="153"/>
    </row>
    <row r="991">
      <c r="A991" s="153"/>
      <c r="B991" s="156"/>
      <c r="C991" s="171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  <c r="AA991" s="153"/>
      <c r="AB991" s="153"/>
      <c r="AC991" s="153"/>
      <c r="AD991" s="153"/>
      <c r="AE991" s="153"/>
      <c r="AF991" s="153"/>
      <c r="AG991" s="153"/>
      <c r="AH991" s="153"/>
    </row>
    <row r="992">
      <c r="A992" s="153"/>
      <c r="B992" s="156"/>
      <c r="C992" s="171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  <c r="AA992" s="153"/>
      <c r="AB992" s="153"/>
      <c r="AC992" s="153"/>
      <c r="AD992" s="153"/>
      <c r="AE992" s="153"/>
      <c r="AF992" s="153"/>
      <c r="AG992" s="153"/>
      <c r="AH992" s="153"/>
    </row>
    <row r="993">
      <c r="A993" s="153"/>
      <c r="B993" s="156"/>
      <c r="C993" s="171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  <c r="AA993" s="153"/>
      <c r="AB993" s="153"/>
      <c r="AC993" s="153"/>
      <c r="AD993" s="153"/>
      <c r="AE993" s="153"/>
      <c r="AF993" s="153"/>
      <c r="AG993" s="153"/>
      <c r="AH993" s="153"/>
    </row>
    <row r="994">
      <c r="A994" s="153"/>
      <c r="B994" s="156"/>
      <c r="C994" s="171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  <c r="AA994" s="153"/>
      <c r="AB994" s="153"/>
      <c r="AC994" s="153"/>
      <c r="AD994" s="153"/>
      <c r="AE994" s="153"/>
      <c r="AF994" s="153"/>
      <c r="AG994" s="153"/>
      <c r="AH994" s="153"/>
    </row>
    <row r="995">
      <c r="A995" s="153"/>
      <c r="B995" s="156"/>
      <c r="C995" s="171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  <c r="AA995" s="153"/>
      <c r="AB995" s="153"/>
      <c r="AC995" s="153"/>
      <c r="AD995" s="153"/>
      <c r="AE995" s="153"/>
      <c r="AF995" s="153"/>
      <c r="AG995" s="153"/>
      <c r="AH995" s="153"/>
    </row>
    <row r="996">
      <c r="A996" s="153"/>
      <c r="B996" s="156"/>
      <c r="C996" s="171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  <c r="AA996" s="153"/>
      <c r="AB996" s="153"/>
      <c r="AC996" s="153"/>
      <c r="AD996" s="153"/>
      <c r="AE996" s="153"/>
      <c r="AF996" s="153"/>
      <c r="AG996" s="153"/>
      <c r="AH996" s="153"/>
    </row>
    <row r="997">
      <c r="A997" s="153"/>
      <c r="B997" s="156"/>
      <c r="C997" s="171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  <c r="AA997" s="153"/>
      <c r="AB997" s="153"/>
      <c r="AC997" s="153"/>
      <c r="AD997" s="153"/>
      <c r="AE997" s="153"/>
      <c r="AF997" s="153"/>
      <c r="AG997" s="153"/>
      <c r="AH997" s="153"/>
    </row>
    <row r="998">
      <c r="A998" s="153"/>
      <c r="B998" s="156"/>
      <c r="C998" s="171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  <c r="AA998" s="153"/>
      <c r="AB998" s="153"/>
      <c r="AC998" s="153"/>
      <c r="AD998" s="153"/>
      <c r="AE998" s="153"/>
      <c r="AF998" s="153"/>
      <c r="AG998" s="153"/>
      <c r="AH998" s="153"/>
    </row>
    <row r="999">
      <c r="A999" s="153"/>
      <c r="B999" s="156"/>
      <c r="C999" s="171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  <c r="AA999" s="153"/>
      <c r="AB999" s="153"/>
      <c r="AC999" s="153"/>
      <c r="AD999" s="153"/>
      <c r="AE999" s="153"/>
      <c r="AF999" s="153"/>
      <c r="AG999" s="153"/>
      <c r="AH999" s="153"/>
    </row>
    <row r="1000">
      <c r="A1000" s="153"/>
      <c r="B1000" s="156"/>
      <c r="C1000" s="171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  <c r="AA1000" s="153"/>
      <c r="AB1000" s="153"/>
      <c r="AC1000" s="153"/>
      <c r="AD1000" s="153"/>
      <c r="AE1000" s="153"/>
      <c r="AF1000" s="153"/>
      <c r="AG1000" s="153"/>
      <c r="AH1000" s="153"/>
    </row>
    <row r="1001">
      <c r="A1001" s="153"/>
      <c r="B1001" s="156"/>
      <c r="C1001" s="171"/>
      <c r="D1001" s="153"/>
      <c r="E1001" s="153"/>
      <c r="F1001" s="153"/>
      <c r="G1001" s="153"/>
      <c r="H1001" s="153"/>
      <c r="I1001" s="153"/>
      <c r="J1001" s="153"/>
      <c r="K1001" s="153"/>
      <c r="L1001" s="153"/>
      <c r="M1001" s="153"/>
      <c r="N1001" s="153"/>
      <c r="O1001" s="153"/>
      <c r="P1001" s="153"/>
      <c r="Q1001" s="153"/>
      <c r="R1001" s="153"/>
      <c r="S1001" s="153"/>
      <c r="T1001" s="153"/>
      <c r="U1001" s="153"/>
      <c r="V1001" s="153"/>
      <c r="W1001" s="153"/>
      <c r="X1001" s="153"/>
      <c r="Y1001" s="153"/>
      <c r="Z1001" s="153"/>
      <c r="AA1001" s="153"/>
      <c r="AB1001" s="153"/>
      <c r="AC1001" s="153"/>
      <c r="AD1001" s="153"/>
      <c r="AE1001" s="153"/>
      <c r="AF1001" s="153"/>
      <c r="AG1001" s="153"/>
      <c r="AH1001" s="153"/>
    </row>
    <row r="1002">
      <c r="A1002" s="153"/>
      <c r="B1002" s="156"/>
      <c r="C1002" s="171"/>
      <c r="D1002" s="153"/>
      <c r="E1002" s="153"/>
      <c r="F1002" s="153"/>
      <c r="G1002" s="153"/>
      <c r="H1002" s="153"/>
      <c r="I1002" s="153"/>
      <c r="J1002" s="153"/>
      <c r="K1002" s="153"/>
      <c r="L1002" s="153"/>
      <c r="M1002" s="153"/>
      <c r="N1002" s="153"/>
      <c r="O1002" s="153"/>
      <c r="P1002" s="153"/>
      <c r="Q1002" s="153"/>
      <c r="R1002" s="153"/>
      <c r="S1002" s="153"/>
      <c r="T1002" s="153"/>
      <c r="U1002" s="153"/>
      <c r="V1002" s="153"/>
      <c r="W1002" s="153"/>
      <c r="X1002" s="153"/>
      <c r="Y1002" s="153"/>
      <c r="Z1002" s="153"/>
      <c r="AA1002" s="153"/>
      <c r="AB1002" s="153"/>
      <c r="AC1002" s="153"/>
      <c r="AD1002" s="153"/>
      <c r="AE1002" s="153"/>
      <c r="AF1002" s="153"/>
      <c r="AG1002" s="153"/>
      <c r="AH1002" s="153"/>
    </row>
    <row r="1003">
      <c r="A1003" s="153"/>
      <c r="B1003" s="156"/>
      <c r="C1003" s="171"/>
      <c r="D1003" s="153"/>
      <c r="E1003" s="153"/>
      <c r="F1003" s="153"/>
      <c r="G1003" s="153"/>
      <c r="H1003" s="153"/>
      <c r="I1003" s="153"/>
      <c r="J1003" s="153"/>
      <c r="K1003" s="153"/>
      <c r="L1003" s="153"/>
      <c r="M1003" s="153"/>
      <c r="N1003" s="153"/>
      <c r="O1003" s="153"/>
      <c r="P1003" s="153"/>
      <c r="Q1003" s="153"/>
      <c r="R1003" s="153"/>
      <c r="S1003" s="153"/>
      <c r="T1003" s="153"/>
      <c r="U1003" s="153"/>
      <c r="V1003" s="153"/>
      <c r="W1003" s="153"/>
      <c r="X1003" s="153"/>
      <c r="Y1003" s="153"/>
      <c r="Z1003" s="153"/>
      <c r="AA1003" s="153"/>
      <c r="AB1003" s="153"/>
      <c r="AC1003" s="153"/>
      <c r="AD1003" s="153"/>
      <c r="AE1003" s="153"/>
      <c r="AF1003" s="153"/>
      <c r="AG1003" s="153"/>
      <c r="AH1003" s="153"/>
    </row>
    <row r="1004">
      <c r="A1004" s="153"/>
      <c r="B1004" s="156"/>
      <c r="C1004" s="171"/>
      <c r="D1004" s="153"/>
      <c r="E1004" s="153"/>
      <c r="F1004" s="153"/>
      <c r="G1004" s="153"/>
      <c r="H1004" s="153"/>
      <c r="I1004" s="153"/>
      <c r="J1004" s="153"/>
      <c r="K1004" s="153"/>
      <c r="L1004" s="153"/>
      <c r="M1004" s="153"/>
      <c r="N1004" s="153"/>
      <c r="O1004" s="153"/>
      <c r="P1004" s="153"/>
      <c r="Q1004" s="153"/>
      <c r="R1004" s="153"/>
      <c r="S1004" s="153"/>
      <c r="T1004" s="153"/>
      <c r="U1004" s="153"/>
      <c r="V1004" s="153"/>
      <c r="W1004" s="153"/>
      <c r="X1004" s="153"/>
      <c r="Y1004" s="153"/>
      <c r="Z1004" s="153"/>
      <c r="AA1004" s="153"/>
      <c r="AB1004" s="153"/>
      <c r="AC1004" s="153"/>
      <c r="AD1004" s="153"/>
      <c r="AE1004" s="153"/>
      <c r="AF1004" s="153"/>
      <c r="AG1004" s="153"/>
      <c r="AH1004" s="153"/>
    </row>
    <row r="1005">
      <c r="A1005" s="153"/>
      <c r="B1005" s="156"/>
      <c r="C1005" s="171"/>
      <c r="D1005" s="153"/>
      <c r="E1005" s="153"/>
      <c r="F1005" s="153"/>
      <c r="G1005" s="153"/>
      <c r="H1005" s="153"/>
      <c r="I1005" s="153"/>
      <c r="J1005" s="153"/>
      <c r="K1005" s="153"/>
      <c r="L1005" s="153"/>
      <c r="M1005" s="153"/>
      <c r="N1005" s="153"/>
      <c r="O1005" s="153"/>
      <c r="P1005" s="153"/>
      <c r="Q1005" s="153"/>
      <c r="R1005" s="153"/>
      <c r="S1005" s="153"/>
      <c r="T1005" s="153"/>
      <c r="U1005" s="153"/>
      <c r="V1005" s="153"/>
      <c r="W1005" s="153"/>
      <c r="X1005" s="153"/>
      <c r="Y1005" s="153"/>
      <c r="Z1005" s="153"/>
      <c r="AA1005" s="153"/>
      <c r="AB1005" s="153"/>
      <c r="AC1005" s="153"/>
      <c r="AD1005" s="153"/>
      <c r="AE1005" s="153"/>
      <c r="AF1005" s="153"/>
      <c r="AG1005" s="153"/>
      <c r="AH1005" s="153"/>
    </row>
    <row r="1006">
      <c r="A1006" s="153"/>
      <c r="B1006" s="156"/>
      <c r="C1006" s="171"/>
      <c r="D1006" s="153"/>
      <c r="E1006" s="153"/>
      <c r="F1006" s="153"/>
      <c r="G1006" s="153"/>
      <c r="H1006" s="153"/>
      <c r="I1006" s="153"/>
      <c r="J1006" s="153"/>
      <c r="K1006" s="153"/>
      <c r="L1006" s="153"/>
      <c r="M1006" s="153"/>
      <c r="N1006" s="153"/>
      <c r="O1006" s="153"/>
      <c r="P1006" s="153"/>
      <c r="Q1006" s="153"/>
      <c r="R1006" s="153"/>
      <c r="S1006" s="153"/>
      <c r="T1006" s="153"/>
      <c r="U1006" s="153"/>
      <c r="V1006" s="153"/>
      <c r="W1006" s="153"/>
      <c r="X1006" s="153"/>
      <c r="Y1006" s="153"/>
      <c r="Z1006" s="153"/>
      <c r="AA1006" s="153"/>
      <c r="AB1006" s="153"/>
      <c r="AC1006" s="153"/>
      <c r="AD1006" s="153"/>
      <c r="AE1006" s="153"/>
      <c r="AF1006" s="153"/>
      <c r="AG1006" s="153"/>
      <c r="AH1006" s="153"/>
    </row>
    <row r="1007">
      <c r="A1007" s="153"/>
      <c r="B1007" s="156"/>
      <c r="C1007" s="171"/>
      <c r="D1007" s="153"/>
      <c r="E1007" s="153"/>
      <c r="F1007" s="153"/>
      <c r="G1007" s="153"/>
      <c r="H1007" s="153"/>
      <c r="I1007" s="153"/>
      <c r="J1007" s="153"/>
      <c r="K1007" s="153"/>
      <c r="L1007" s="153"/>
      <c r="M1007" s="153"/>
      <c r="N1007" s="153"/>
      <c r="O1007" s="153"/>
      <c r="P1007" s="153"/>
      <c r="Q1007" s="153"/>
      <c r="R1007" s="153"/>
      <c r="S1007" s="153"/>
      <c r="T1007" s="153"/>
      <c r="U1007" s="153"/>
      <c r="V1007" s="153"/>
      <c r="W1007" s="153"/>
      <c r="X1007" s="153"/>
      <c r="Y1007" s="153"/>
      <c r="Z1007" s="153"/>
      <c r="AA1007" s="153"/>
      <c r="AB1007" s="153"/>
      <c r="AC1007" s="153"/>
      <c r="AD1007" s="153"/>
      <c r="AE1007" s="153"/>
      <c r="AF1007" s="153"/>
      <c r="AG1007" s="153"/>
      <c r="AH1007" s="153"/>
    </row>
    <row r="1008">
      <c r="A1008" s="153"/>
      <c r="B1008" s="156"/>
      <c r="C1008" s="171"/>
      <c r="D1008" s="153"/>
      <c r="E1008" s="153"/>
      <c r="F1008" s="153"/>
      <c r="G1008" s="153"/>
      <c r="H1008" s="153"/>
      <c r="I1008" s="153"/>
      <c r="J1008" s="153"/>
      <c r="K1008" s="153"/>
      <c r="L1008" s="153"/>
      <c r="M1008" s="153"/>
      <c r="N1008" s="153"/>
      <c r="O1008" s="153"/>
      <c r="P1008" s="153"/>
      <c r="Q1008" s="153"/>
      <c r="R1008" s="153"/>
      <c r="S1008" s="153"/>
      <c r="T1008" s="153"/>
      <c r="U1008" s="153"/>
      <c r="V1008" s="153"/>
      <c r="W1008" s="153"/>
      <c r="X1008" s="153"/>
      <c r="Y1008" s="153"/>
      <c r="Z1008" s="153"/>
      <c r="AA1008" s="153"/>
      <c r="AB1008" s="153"/>
      <c r="AC1008" s="153"/>
      <c r="AD1008" s="153"/>
      <c r="AE1008" s="153"/>
      <c r="AF1008" s="153"/>
      <c r="AG1008" s="153"/>
      <c r="AH1008" s="153"/>
    </row>
    <row r="1009">
      <c r="A1009" s="153"/>
      <c r="B1009" s="156"/>
      <c r="C1009" s="171"/>
      <c r="D1009" s="153"/>
      <c r="E1009" s="153"/>
      <c r="F1009" s="153"/>
      <c r="G1009" s="153"/>
      <c r="H1009" s="153"/>
      <c r="I1009" s="153"/>
      <c r="J1009" s="153"/>
      <c r="K1009" s="153"/>
      <c r="L1009" s="153"/>
      <c r="M1009" s="153"/>
      <c r="N1009" s="153"/>
      <c r="O1009" s="153"/>
      <c r="P1009" s="153"/>
      <c r="Q1009" s="153"/>
      <c r="R1009" s="153"/>
      <c r="S1009" s="153"/>
      <c r="T1009" s="153"/>
      <c r="U1009" s="153"/>
      <c r="V1009" s="153"/>
      <c r="W1009" s="153"/>
      <c r="X1009" s="153"/>
      <c r="Y1009" s="153"/>
      <c r="Z1009" s="153"/>
      <c r="AA1009" s="153"/>
      <c r="AB1009" s="153"/>
      <c r="AC1009" s="153"/>
      <c r="AD1009" s="153"/>
      <c r="AE1009" s="153"/>
      <c r="AF1009" s="153"/>
      <c r="AG1009" s="153"/>
      <c r="AH1009" s="153"/>
    </row>
    <row r="1010">
      <c r="A1010" s="153"/>
      <c r="B1010" s="156"/>
      <c r="C1010" s="171"/>
      <c r="D1010" s="153"/>
      <c r="E1010" s="153"/>
      <c r="F1010" s="153"/>
      <c r="G1010" s="153"/>
      <c r="H1010" s="153"/>
      <c r="I1010" s="153"/>
      <c r="J1010" s="153"/>
      <c r="K1010" s="153"/>
      <c r="L1010" s="153"/>
      <c r="M1010" s="153"/>
      <c r="N1010" s="153"/>
      <c r="O1010" s="153"/>
      <c r="P1010" s="153"/>
      <c r="Q1010" s="153"/>
      <c r="R1010" s="153"/>
      <c r="S1010" s="153"/>
      <c r="T1010" s="153"/>
      <c r="U1010" s="153"/>
      <c r="V1010" s="153"/>
      <c r="W1010" s="153"/>
      <c r="X1010" s="153"/>
      <c r="Y1010" s="153"/>
      <c r="Z1010" s="153"/>
      <c r="AA1010" s="153"/>
      <c r="AB1010" s="153"/>
      <c r="AC1010" s="153"/>
      <c r="AD1010" s="153"/>
      <c r="AE1010" s="153"/>
      <c r="AF1010" s="153"/>
      <c r="AG1010" s="153"/>
      <c r="AH1010" s="153"/>
    </row>
    <row r="1011">
      <c r="A1011" s="153"/>
      <c r="B1011" s="156"/>
      <c r="C1011" s="171"/>
      <c r="D1011" s="153"/>
      <c r="E1011" s="153"/>
      <c r="F1011" s="153"/>
      <c r="G1011" s="153"/>
      <c r="H1011" s="153"/>
      <c r="I1011" s="153"/>
      <c r="J1011" s="153"/>
      <c r="K1011" s="153"/>
      <c r="L1011" s="153"/>
      <c r="M1011" s="153"/>
      <c r="N1011" s="153"/>
      <c r="O1011" s="153"/>
      <c r="P1011" s="153"/>
      <c r="Q1011" s="153"/>
      <c r="R1011" s="153"/>
      <c r="S1011" s="153"/>
      <c r="T1011" s="153"/>
      <c r="U1011" s="153"/>
      <c r="V1011" s="153"/>
      <c r="W1011" s="153"/>
      <c r="X1011" s="153"/>
      <c r="Y1011" s="153"/>
      <c r="Z1011" s="153"/>
      <c r="AA1011" s="153"/>
      <c r="AB1011" s="153"/>
      <c r="AC1011" s="153"/>
      <c r="AD1011" s="153"/>
      <c r="AE1011" s="153"/>
      <c r="AF1011" s="153"/>
      <c r="AG1011" s="153"/>
      <c r="AH1011" s="153"/>
    </row>
    <row r="1012">
      <c r="A1012" s="153"/>
      <c r="B1012" s="156"/>
      <c r="C1012" s="171"/>
      <c r="D1012" s="153"/>
      <c r="E1012" s="153"/>
      <c r="F1012" s="153"/>
      <c r="G1012" s="153"/>
      <c r="H1012" s="153"/>
      <c r="I1012" s="153"/>
      <c r="J1012" s="153"/>
      <c r="K1012" s="153"/>
      <c r="L1012" s="153"/>
      <c r="M1012" s="153"/>
      <c r="N1012" s="153"/>
      <c r="O1012" s="153"/>
      <c r="P1012" s="153"/>
      <c r="Q1012" s="153"/>
      <c r="R1012" s="153"/>
      <c r="S1012" s="153"/>
      <c r="T1012" s="153"/>
      <c r="U1012" s="153"/>
      <c r="V1012" s="153"/>
      <c r="W1012" s="153"/>
      <c r="X1012" s="153"/>
      <c r="Y1012" s="153"/>
      <c r="Z1012" s="153"/>
      <c r="AA1012" s="153"/>
      <c r="AB1012" s="153"/>
      <c r="AC1012" s="153"/>
      <c r="AD1012" s="153"/>
      <c r="AE1012" s="153"/>
      <c r="AF1012" s="153"/>
      <c r="AG1012" s="153"/>
      <c r="AH1012" s="153"/>
    </row>
    <row r="1013">
      <c r="A1013" s="153"/>
      <c r="B1013" s="156"/>
      <c r="C1013" s="171"/>
      <c r="D1013" s="153"/>
      <c r="E1013" s="153"/>
      <c r="F1013" s="153"/>
      <c r="G1013" s="153"/>
      <c r="H1013" s="153"/>
      <c r="I1013" s="153"/>
      <c r="J1013" s="153"/>
      <c r="K1013" s="153"/>
      <c r="L1013" s="153"/>
      <c r="M1013" s="153"/>
      <c r="N1013" s="153"/>
      <c r="O1013" s="153"/>
      <c r="P1013" s="153"/>
      <c r="Q1013" s="153"/>
      <c r="R1013" s="153"/>
      <c r="S1013" s="153"/>
      <c r="T1013" s="153"/>
      <c r="U1013" s="153"/>
      <c r="V1013" s="153"/>
      <c r="W1013" s="153"/>
      <c r="X1013" s="153"/>
      <c r="Y1013" s="153"/>
      <c r="Z1013" s="153"/>
      <c r="AA1013" s="153"/>
      <c r="AB1013" s="153"/>
      <c r="AC1013" s="153"/>
      <c r="AD1013" s="153"/>
      <c r="AE1013" s="153"/>
      <c r="AF1013" s="153"/>
      <c r="AG1013" s="153"/>
      <c r="AH1013" s="153"/>
    </row>
    <row r="1014">
      <c r="A1014" s="153"/>
      <c r="B1014" s="156"/>
      <c r="C1014" s="171"/>
      <c r="D1014" s="153"/>
      <c r="E1014" s="153"/>
      <c r="F1014" s="153"/>
      <c r="G1014" s="153"/>
      <c r="H1014" s="153"/>
      <c r="I1014" s="153"/>
      <c r="J1014" s="153"/>
      <c r="K1014" s="153"/>
      <c r="L1014" s="153"/>
      <c r="M1014" s="153"/>
      <c r="N1014" s="153"/>
      <c r="O1014" s="153"/>
      <c r="P1014" s="153"/>
      <c r="Q1014" s="153"/>
      <c r="R1014" s="153"/>
      <c r="S1014" s="153"/>
      <c r="T1014" s="153"/>
      <c r="U1014" s="153"/>
      <c r="V1014" s="153"/>
      <c r="W1014" s="153"/>
      <c r="X1014" s="153"/>
      <c r="Y1014" s="153"/>
      <c r="Z1014" s="153"/>
      <c r="AA1014" s="153"/>
      <c r="AB1014" s="153"/>
      <c r="AC1014" s="153"/>
      <c r="AD1014" s="153"/>
      <c r="AE1014" s="153"/>
      <c r="AF1014" s="153"/>
      <c r="AG1014" s="153"/>
      <c r="AH1014" s="153"/>
    </row>
    <row r="1015">
      <c r="A1015" s="153"/>
      <c r="B1015" s="156"/>
      <c r="C1015" s="171"/>
      <c r="D1015" s="153"/>
      <c r="E1015" s="153"/>
      <c r="F1015" s="153"/>
      <c r="G1015" s="153"/>
      <c r="H1015" s="153"/>
      <c r="I1015" s="153"/>
      <c r="J1015" s="153"/>
      <c r="K1015" s="153"/>
      <c r="L1015" s="153"/>
      <c r="M1015" s="153"/>
      <c r="N1015" s="153"/>
      <c r="O1015" s="153"/>
      <c r="P1015" s="153"/>
      <c r="Q1015" s="153"/>
      <c r="R1015" s="153"/>
      <c r="S1015" s="153"/>
      <c r="T1015" s="153"/>
      <c r="U1015" s="153"/>
      <c r="V1015" s="153"/>
      <c r="W1015" s="153"/>
      <c r="X1015" s="153"/>
      <c r="Y1015" s="153"/>
      <c r="Z1015" s="153"/>
      <c r="AA1015" s="153"/>
      <c r="AB1015" s="153"/>
      <c r="AC1015" s="153"/>
      <c r="AD1015" s="153"/>
      <c r="AE1015" s="153"/>
      <c r="AF1015" s="153"/>
      <c r="AG1015" s="153"/>
      <c r="AH1015" s="153"/>
    </row>
    <row r="1016">
      <c r="A1016" s="153"/>
      <c r="B1016" s="156"/>
      <c r="C1016" s="171"/>
      <c r="D1016" s="153"/>
      <c r="E1016" s="153"/>
      <c r="F1016" s="153"/>
      <c r="G1016" s="153"/>
      <c r="H1016" s="153"/>
      <c r="I1016" s="153"/>
      <c r="J1016" s="153"/>
      <c r="K1016" s="153"/>
      <c r="L1016" s="153"/>
      <c r="M1016" s="153"/>
      <c r="N1016" s="153"/>
      <c r="O1016" s="153"/>
      <c r="P1016" s="153"/>
      <c r="Q1016" s="153"/>
      <c r="R1016" s="153"/>
      <c r="S1016" s="153"/>
      <c r="T1016" s="153"/>
      <c r="U1016" s="153"/>
      <c r="V1016" s="153"/>
      <c r="W1016" s="153"/>
      <c r="X1016" s="153"/>
      <c r="Y1016" s="153"/>
      <c r="Z1016" s="153"/>
      <c r="AA1016" s="153"/>
      <c r="AB1016" s="153"/>
      <c r="AC1016" s="153"/>
      <c r="AD1016" s="153"/>
      <c r="AE1016" s="153"/>
      <c r="AF1016" s="153"/>
      <c r="AG1016" s="153"/>
      <c r="AH1016" s="153"/>
    </row>
    <row r="1017">
      <c r="A1017" s="153"/>
      <c r="B1017" s="156"/>
      <c r="C1017" s="171"/>
      <c r="D1017" s="153"/>
      <c r="E1017" s="153"/>
      <c r="F1017" s="153"/>
      <c r="G1017" s="153"/>
      <c r="H1017" s="153"/>
      <c r="I1017" s="153"/>
      <c r="J1017" s="153"/>
      <c r="K1017" s="153"/>
      <c r="L1017" s="153"/>
      <c r="M1017" s="153"/>
      <c r="N1017" s="153"/>
      <c r="O1017" s="153"/>
      <c r="P1017" s="153"/>
      <c r="Q1017" s="153"/>
      <c r="R1017" s="153"/>
      <c r="S1017" s="153"/>
      <c r="T1017" s="153"/>
      <c r="U1017" s="153"/>
      <c r="V1017" s="153"/>
      <c r="W1017" s="153"/>
      <c r="X1017" s="153"/>
      <c r="Y1017" s="153"/>
      <c r="Z1017" s="153"/>
      <c r="AA1017" s="153"/>
      <c r="AB1017" s="153"/>
      <c r="AC1017" s="153"/>
      <c r="AD1017" s="153"/>
      <c r="AE1017" s="153"/>
      <c r="AF1017" s="153"/>
      <c r="AG1017" s="153"/>
      <c r="AH1017" s="153"/>
    </row>
    <row r="1018">
      <c r="A1018" s="153"/>
      <c r="B1018" s="156"/>
      <c r="C1018" s="171"/>
      <c r="D1018" s="153"/>
      <c r="E1018" s="153"/>
      <c r="F1018" s="153"/>
      <c r="G1018" s="153"/>
      <c r="H1018" s="153"/>
      <c r="I1018" s="153"/>
      <c r="J1018" s="153"/>
      <c r="K1018" s="153"/>
      <c r="L1018" s="153"/>
      <c r="M1018" s="153"/>
      <c r="N1018" s="153"/>
      <c r="O1018" s="153"/>
      <c r="P1018" s="153"/>
      <c r="Q1018" s="153"/>
      <c r="R1018" s="153"/>
      <c r="S1018" s="153"/>
      <c r="T1018" s="153"/>
      <c r="U1018" s="153"/>
      <c r="V1018" s="153"/>
      <c r="W1018" s="153"/>
      <c r="X1018" s="153"/>
      <c r="Y1018" s="153"/>
      <c r="Z1018" s="153"/>
      <c r="AA1018" s="153"/>
      <c r="AB1018" s="153"/>
      <c r="AC1018" s="153"/>
      <c r="AD1018" s="153"/>
      <c r="AE1018" s="153"/>
      <c r="AF1018" s="153"/>
      <c r="AG1018" s="153"/>
      <c r="AH1018" s="153"/>
    </row>
    <row r="1019">
      <c r="A1019" s="153"/>
      <c r="B1019" s="156"/>
      <c r="C1019" s="171"/>
      <c r="D1019" s="153"/>
      <c r="E1019" s="153"/>
      <c r="F1019" s="153"/>
      <c r="G1019" s="153"/>
      <c r="H1019" s="153"/>
      <c r="I1019" s="153"/>
      <c r="J1019" s="153"/>
      <c r="K1019" s="153"/>
      <c r="L1019" s="153"/>
      <c r="M1019" s="153"/>
      <c r="N1019" s="153"/>
      <c r="O1019" s="153"/>
      <c r="P1019" s="153"/>
      <c r="Q1019" s="153"/>
      <c r="R1019" s="153"/>
      <c r="S1019" s="153"/>
      <c r="T1019" s="153"/>
      <c r="U1019" s="153"/>
      <c r="V1019" s="153"/>
      <c r="W1019" s="153"/>
      <c r="X1019" s="153"/>
      <c r="Y1019" s="153"/>
      <c r="Z1019" s="153"/>
      <c r="AA1019" s="153"/>
      <c r="AB1019" s="153"/>
      <c r="AC1019" s="153"/>
      <c r="AD1019" s="153"/>
      <c r="AE1019" s="153"/>
      <c r="AF1019" s="153"/>
      <c r="AG1019" s="153"/>
      <c r="AH1019" s="153"/>
    </row>
    <row r="1020">
      <c r="A1020" s="153"/>
      <c r="B1020" s="156"/>
      <c r="C1020" s="171"/>
      <c r="D1020" s="153"/>
      <c r="E1020" s="153"/>
      <c r="F1020" s="153"/>
      <c r="G1020" s="153"/>
      <c r="H1020" s="153"/>
      <c r="I1020" s="153"/>
      <c r="J1020" s="153"/>
      <c r="K1020" s="153"/>
      <c r="L1020" s="153"/>
      <c r="M1020" s="153"/>
      <c r="N1020" s="153"/>
      <c r="O1020" s="153"/>
      <c r="P1020" s="153"/>
      <c r="Q1020" s="153"/>
      <c r="R1020" s="153"/>
      <c r="S1020" s="153"/>
      <c r="T1020" s="153"/>
      <c r="U1020" s="153"/>
      <c r="V1020" s="153"/>
      <c r="W1020" s="153"/>
      <c r="X1020" s="153"/>
      <c r="Y1020" s="153"/>
      <c r="Z1020" s="153"/>
      <c r="AA1020" s="153"/>
      <c r="AB1020" s="153"/>
      <c r="AC1020" s="153"/>
      <c r="AD1020" s="153"/>
      <c r="AE1020" s="153"/>
      <c r="AF1020" s="153"/>
      <c r="AG1020" s="153"/>
      <c r="AH1020" s="153"/>
    </row>
    <row r="1021">
      <c r="A1021" s="153"/>
      <c r="B1021" s="156"/>
      <c r="C1021" s="171"/>
      <c r="D1021" s="153"/>
      <c r="E1021" s="153"/>
      <c r="F1021" s="153"/>
      <c r="G1021" s="153"/>
      <c r="H1021" s="153"/>
      <c r="I1021" s="153"/>
      <c r="J1021" s="153"/>
      <c r="K1021" s="153"/>
      <c r="L1021" s="153"/>
      <c r="M1021" s="153"/>
      <c r="N1021" s="153"/>
      <c r="O1021" s="153"/>
      <c r="P1021" s="153"/>
      <c r="Q1021" s="153"/>
      <c r="R1021" s="153"/>
      <c r="S1021" s="153"/>
      <c r="T1021" s="153"/>
      <c r="U1021" s="153"/>
      <c r="V1021" s="153"/>
      <c r="W1021" s="153"/>
      <c r="X1021" s="153"/>
      <c r="Y1021" s="153"/>
      <c r="Z1021" s="153"/>
      <c r="AA1021" s="153"/>
      <c r="AB1021" s="153"/>
      <c r="AC1021" s="153"/>
      <c r="AD1021" s="153"/>
      <c r="AE1021" s="153"/>
      <c r="AF1021" s="153"/>
      <c r="AG1021" s="153"/>
      <c r="AH1021" s="153"/>
    </row>
    <row r="1022">
      <c r="A1022" s="153"/>
      <c r="B1022" s="156"/>
      <c r="C1022" s="171"/>
      <c r="D1022" s="153"/>
      <c r="E1022" s="153"/>
      <c r="F1022" s="153"/>
      <c r="G1022" s="153"/>
      <c r="H1022" s="153"/>
      <c r="I1022" s="153"/>
      <c r="J1022" s="153"/>
      <c r="K1022" s="153"/>
      <c r="L1022" s="153"/>
      <c r="M1022" s="153"/>
      <c r="N1022" s="153"/>
      <c r="O1022" s="153"/>
      <c r="P1022" s="153"/>
      <c r="Q1022" s="153"/>
      <c r="R1022" s="153"/>
      <c r="S1022" s="153"/>
      <c r="T1022" s="153"/>
      <c r="U1022" s="153"/>
      <c r="V1022" s="153"/>
      <c r="W1022" s="153"/>
      <c r="X1022" s="153"/>
      <c r="Y1022" s="153"/>
      <c r="Z1022" s="153"/>
      <c r="AA1022" s="153"/>
      <c r="AB1022" s="153"/>
      <c r="AC1022" s="153"/>
      <c r="AD1022" s="153"/>
      <c r="AE1022" s="153"/>
      <c r="AF1022" s="153"/>
      <c r="AG1022" s="153"/>
      <c r="AH1022" s="153"/>
    </row>
    <row r="1023">
      <c r="A1023" s="153"/>
      <c r="B1023" s="156"/>
      <c r="C1023" s="171"/>
      <c r="D1023" s="153"/>
      <c r="E1023" s="153"/>
      <c r="F1023" s="153"/>
      <c r="G1023" s="153"/>
      <c r="H1023" s="153"/>
      <c r="I1023" s="153"/>
      <c r="J1023" s="153"/>
      <c r="K1023" s="153"/>
      <c r="L1023" s="153"/>
      <c r="M1023" s="153"/>
      <c r="N1023" s="153"/>
      <c r="O1023" s="153"/>
      <c r="P1023" s="153"/>
      <c r="Q1023" s="153"/>
      <c r="R1023" s="153"/>
      <c r="S1023" s="153"/>
      <c r="T1023" s="153"/>
      <c r="U1023" s="153"/>
      <c r="V1023" s="153"/>
      <c r="W1023" s="153"/>
      <c r="X1023" s="153"/>
      <c r="Y1023" s="153"/>
      <c r="Z1023" s="153"/>
      <c r="AA1023" s="153"/>
      <c r="AB1023" s="153"/>
      <c r="AC1023" s="153"/>
      <c r="AD1023" s="153"/>
      <c r="AE1023" s="153"/>
      <c r="AF1023" s="153"/>
      <c r="AG1023" s="153"/>
      <c r="AH1023" s="153"/>
    </row>
    <row r="1024">
      <c r="A1024" s="153"/>
      <c r="B1024" s="156"/>
      <c r="C1024" s="171"/>
      <c r="D1024" s="153"/>
      <c r="E1024" s="153"/>
      <c r="F1024" s="153"/>
      <c r="G1024" s="153"/>
      <c r="H1024" s="153"/>
      <c r="I1024" s="153"/>
      <c r="J1024" s="153"/>
      <c r="K1024" s="153"/>
      <c r="L1024" s="153"/>
      <c r="M1024" s="153"/>
      <c r="N1024" s="153"/>
      <c r="O1024" s="153"/>
      <c r="P1024" s="153"/>
      <c r="Q1024" s="153"/>
      <c r="R1024" s="153"/>
      <c r="S1024" s="153"/>
      <c r="T1024" s="153"/>
      <c r="U1024" s="153"/>
      <c r="V1024" s="153"/>
      <c r="W1024" s="153"/>
      <c r="X1024" s="153"/>
      <c r="Y1024" s="153"/>
      <c r="Z1024" s="153"/>
      <c r="AA1024" s="153"/>
      <c r="AB1024" s="153"/>
      <c r="AC1024" s="153"/>
      <c r="AD1024" s="153"/>
      <c r="AE1024" s="153"/>
      <c r="AF1024" s="153"/>
      <c r="AG1024" s="153"/>
      <c r="AH1024" s="153"/>
    </row>
    <row r="1025">
      <c r="A1025" s="153"/>
      <c r="B1025" s="156"/>
      <c r="C1025" s="171"/>
      <c r="D1025" s="153"/>
      <c r="E1025" s="153"/>
      <c r="F1025" s="153"/>
      <c r="G1025" s="153"/>
      <c r="H1025" s="153"/>
      <c r="I1025" s="153"/>
      <c r="J1025" s="153"/>
      <c r="K1025" s="153"/>
      <c r="L1025" s="153"/>
      <c r="M1025" s="153"/>
      <c r="N1025" s="153"/>
      <c r="O1025" s="153"/>
      <c r="P1025" s="153"/>
      <c r="Q1025" s="153"/>
      <c r="R1025" s="153"/>
      <c r="S1025" s="153"/>
      <c r="T1025" s="153"/>
      <c r="U1025" s="153"/>
      <c r="V1025" s="153"/>
      <c r="W1025" s="153"/>
      <c r="X1025" s="153"/>
      <c r="Y1025" s="153"/>
      <c r="Z1025" s="153"/>
      <c r="AA1025" s="153"/>
      <c r="AB1025" s="153"/>
      <c r="AC1025" s="153"/>
      <c r="AD1025" s="153"/>
      <c r="AE1025" s="153"/>
      <c r="AF1025" s="153"/>
      <c r="AG1025" s="153"/>
      <c r="AH1025" s="153"/>
    </row>
    <row r="1026">
      <c r="A1026" s="153"/>
      <c r="B1026" s="156"/>
      <c r="C1026" s="171"/>
      <c r="D1026" s="153"/>
      <c r="E1026" s="153"/>
      <c r="F1026" s="153"/>
      <c r="G1026" s="153"/>
      <c r="H1026" s="153"/>
      <c r="I1026" s="153"/>
      <c r="J1026" s="153"/>
      <c r="K1026" s="153"/>
      <c r="L1026" s="153"/>
      <c r="M1026" s="153"/>
      <c r="N1026" s="153"/>
      <c r="O1026" s="153"/>
      <c r="P1026" s="153"/>
      <c r="Q1026" s="153"/>
      <c r="R1026" s="153"/>
      <c r="S1026" s="153"/>
      <c r="T1026" s="153"/>
      <c r="U1026" s="153"/>
      <c r="V1026" s="153"/>
      <c r="W1026" s="153"/>
      <c r="X1026" s="153"/>
      <c r="Y1026" s="153"/>
      <c r="Z1026" s="153"/>
      <c r="AA1026" s="153"/>
      <c r="AB1026" s="153"/>
      <c r="AC1026" s="153"/>
      <c r="AD1026" s="153"/>
      <c r="AE1026" s="153"/>
      <c r="AF1026" s="153"/>
      <c r="AG1026" s="153"/>
      <c r="AH1026" s="153"/>
    </row>
    <row r="1027">
      <c r="A1027" s="153"/>
      <c r="B1027" s="156"/>
      <c r="C1027" s="171"/>
      <c r="D1027" s="153"/>
      <c r="E1027" s="153"/>
      <c r="F1027" s="153"/>
      <c r="G1027" s="153"/>
      <c r="H1027" s="153"/>
      <c r="I1027" s="153"/>
      <c r="J1027" s="153"/>
      <c r="K1027" s="153"/>
      <c r="L1027" s="153"/>
      <c r="M1027" s="153"/>
      <c r="N1027" s="153"/>
      <c r="O1027" s="153"/>
      <c r="P1027" s="153"/>
      <c r="Q1027" s="153"/>
      <c r="R1027" s="153"/>
      <c r="S1027" s="153"/>
      <c r="T1027" s="153"/>
      <c r="U1027" s="153"/>
      <c r="V1027" s="153"/>
      <c r="W1027" s="153"/>
      <c r="X1027" s="153"/>
      <c r="Y1027" s="153"/>
      <c r="Z1027" s="153"/>
      <c r="AA1027" s="153"/>
      <c r="AB1027" s="153"/>
      <c r="AC1027" s="153"/>
      <c r="AD1027" s="153"/>
      <c r="AE1027" s="153"/>
      <c r="AF1027" s="153"/>
      <c r="AG1027" s="153"/>
      <c r="AH1027" s="153"/>
    </row>
    <row r="1028">
      <c r="A1028" s="153"/>
      <c r="B1028" s="156"/>
      <c r="C1028" s="171"/>
      <c r="D1028" s="153"/>
      <c r="E1028" s="153"/>
      <c r="F1028" s="153"/>
      <c r="G1028" s="153"/>
      <c r="H1028" s="153"/>
      <c r="I1028" s="153"/>
      <c r="J1028" s="153"/>
      <c r="K1028" s="153"/>
      <c r="L1028" s="153"/>
      <c r="M1028" s="153"/>
      <c r="N1028" s="153"/>
      <c r="O1028" s="153"/>
      <c r="P1028" s="153"/>
      <c r="Q1028" s="153"/>
      <c r="R1028" s="153"/>
      <c r="S1028" s="153"/>
      <c r="T1028" s="153"/>
      <c r="U1028" s="153"/>
      <c r="V1028" s="153"/>
      <c r="W1028" s="153"/>
      <c r="X1028" s="153"/>
      <c r="Y1028" s="153"/>
      <c r="Z1028" s="153"/>
      <c r="AA1028" s="153"/>
      <c r="AB1028" s="153"/>
      <c r="AC1028" s="153"/>
      <c r="AD1028" s="153"/>
      <c r="AE1028" s="153"/>
      <c r="AF1028" s="153"/>
      <c r="AG1028" s="153"/>
      <c r="AH1028" s="153"/>
    </row>
    <row r="1029">
      <c r="A1029" s="153"/>
      <c r="B1029" s="156"/>
      <c r="C1029" s="171"/>
      <c r="D1029" s="153"/>
      <c r="E1029" s="153"/>
      <c r="F1029" s="153"/>
      <c r="G1029" s="153"/>
      <c r="H1029" s="153"/>
      <c r="I1029" s="153"/>
      <c r="J1029" s="153"/>
      <c r="K1029" s="153"/>
      <c r="L1029" s="153"/>
      <c r="M1029" s="153"/>
      <c r="N1029" s="153"/>
      <c r="O1029" s="153"/>
      <c r="P1029" s="153"/>
      <c r="Q1029" s="153"/>
      <c r="R1029" s="153"/>
      <c r="S1029" s="153"/>
      <c r="T1029" s="153"/>
      <c r="U1029" s="153"/>
      <c r="V1029" s="153"/>
      <c r="W1029" s="153"/>
      <c r="X1029" s="153"/>
      <c r="Y1029" s="153"/>
      <c r="Z1029" s="153"/>
      <c r="AA1029" s="153"/>
      <c r="AB1029" s="153"/>
      <c r="AC1029" s="153"/>
      <c r="AD1029" s="153"/>
      <c r="AE1029" s="153"/>
      <c r="AF1029" s="153"/>
      <c r="AG1029" s="153"/>
      <c r="AH1029" s="153"/>
    </row>
    <row r="1030">
      <c r="A1030" s="153"/>
      <c r="B1030" s="156"/>
      <c r="C1030" s="171"/>
      <c r="D1030" s="153"/>
      <c r="E1030" s="153"/>
      <c r="F1030" s="153"/>
      <c r="G1030" s="153"/>
      <c r="H1030" s="153"/>
      <c r="I1030" s="153"/>
      <c r="J1030" s="153"/>
      <c r="K1030" s="153"/>
      <c r="L1030" s="153"/>
      <c r="M1030" s="153"/>
      <c r="N1030" s="153"/>
      <c r="O1030" s="153"/>
      <c r="P1030" s="153"/>
      <c r="Q1030" s="153"/>
      <c r="R1030" s="153"/>
      <c r="S1030" s="153"/>
      <c r="T1030" s="153"/>
      <c r="U1030" s="153"/>
      <c r="V1030" s="153"/>
      <c r="W1030" s="153"/>
      <c r="X1030" s="153"/>
      <c r="Y1030" s="153"/>
      <c r="Z1030" s="153"/>
      <c r="AA1030" s="153"/>
      <c r="AB1030" s="153"/>
      <c r="AC1030" s="153"/>
      <c r="AD1030" s="153"/>
      <c r="AE1030" s="153"/>
      <c r="AF1030" s="153"/>
      <c r="AG1030" s="153"/>
      <c r="AH1030" s="153"/>
    </row>
    <row r="1031">
      <c r="A1031" s="153"/>
      <c r="B1031" s="156"/>
      <c r="C1031" s="171"/>
      <c r="D1031" s="153"/>
      <c r="E1031" s="153"/>
      <c r="F1031" s="153"/>
      <c r="G1031" s="153"/>
      <c r="H1031" s="153"/>
      <c r="I1031" s="153"/>
      <c r="J1031" s="153"/>
      <c r="K1031" s="153"/>
      <c r="L1031" s="153"/>
      <c r="M1031" s="153"/>
      <c r="N1031" s="153"/>
      <c r="O1031" s="153"/>
      <c r="P1031" s="153"/>
      <c r="Q1031" s="153"/>
      <c r="R1031" s="153"/>
      <c r="S1031" s="153"/>
      <c r="T1031" s="153"/>
      <c r="U1031" s="153"/>
      <c r="V1031" s="153"/>
      <c r="W1031" s="153"/>
      <c r="X1031" s="153"/>
      <c r="Y1031" s="153"/>
      <c r="Z1031" s="153"/>
      <c r="AA1031" s="153"/>
      <c r="AB1031" s="153"/>
      <c r="AC1031" s="153"/>
      <c r="AD1031" s="153"/>
      <c r="AE1031" s="153"/>
      <c r="AF1031" s="153"/>
      <c r="AG1031" s="153"/>
      <c r="AH1031" s="153"/>
    </row>
    <row r="1032">
      <c r="A1032" s="153"/>
      <c r="B1032" s="156"/>
      <c r="C1032" s="171"/>
      <c r="D1032" s="153"/>
      <c r="E1032" s="153"/>
      <c r="F1032" s="153"/>
      <c r="G1032" s="153"/>
      <c r="H1032" s="153"/>
      <c r="I1032" s="153"/>
      <c r="J1032" s="153"/>
      <c r="K1032" s="153"/>
      <c r="L1032" s="153"/>
      <c r="M1032" s="153"/>
      <c r="N1032" s="153"/>
      <c r="O1032" s="153"/>
      <c r="P1032" s="153"/>
      <c r="Q1032" s="153"/>
      <c r="R1032" s="153"/>
      <c r="S1032" s="153"/>
      <c r="T1032" s="153"/>
      <c r="U1032" s="153"/>
      <c r="V1032" s="153"/>
      <c r="W1032" s="153"/>
      <c r="X1032" s="153"/>
      <c r="Y1032" s="153"/>
      <c r="Z1032" s="153"/>
      <c r="AA1032" s="153"/>
      <c r="AB1032" s="153"/>
      <c r="AC1032" s="153"/>
      <c r="AD1032" s="153"/>
      <c r="AE1032" s="153"/>
      <c r="AF1032" s="153"/>
      <c r="AG1032" s="153"/>
      <c r="AH1032" s="153"/>
    </row>
    <row r="1033">
      <c r="A1033" s="153"/>
      <c r="B1033" s="156"/>
      <c r="C1033" s="171"/>
      <c r="D1033" s="153"/>
      <c r="E1033" s="153"/>
      <c r="F1033" s="153"/>
      <c r="G1033" s="153"/>
      <c r="H1033" s="153"/>
      <c r="I1033" s="153"/>
      <c r="J1033" s="153"/>
      <c r="K1033" s="153"/>
      <c r="L1033" s="153"/>
      <c r="M1033" s="153"/>
      <c r="N1033" s="153"/>
      <c r="O1033" s="153"/>
      <c r="P1033" s="153"/>
      <c r="Q1033" s="153"/>
      <c r="R1033" s="153"/>
      <c r="S1033" s="153"/>
      <c r="T1033" s="153"/>
      <c r="U1033" s="153"/>
      <c r="V1033" s="153"/>
      <c r="W1033" s="153"/>
      <c r="X1033" s="153"/>
      <c r="Y1033" s="153"/>
      <c r="Z1033" s="153"/>
      <c r="AA1033" s="153"/>
      <c r="AB1033" s="153"/>
      <c r="AC1033" s="153"/>
      <c r="AD1033" s="153"/>
      <c r="AE1033" s="153"/>
      <c r="AF1033" s="153"/>
      <c r="AG1033" s="153"/>
      <c r="AH1033" s="153"/>
    </row>
    <row r="1034">
      <c r="A1034" s="153"/>
      <c r="B1034" s="156"/>
      <c r="C1034" s="171"/>
      <c r="D1034" s="153"/>
      <c r="E1034" s="153"/>
      <c r="F1034" s="153"/>
      <c r="G1034" s="153"/>
      <c r="H1034" s="153"/>
      <c r="I1034" s="153"/>
      <c r="J1034" s="153"/>
      <c r="K1034" s="153"/>
      <c r="L1034" s="153"/>
      <c r="M1034" s="153"/>
      <c r="N1034" s="153"/>
      <c r="O1034" s="153"/>
      <c r="P1034" s="153"/>
      <c r="Q1034" s="153"/>
      <c r="R1034" s="153"/>
      <c r="S1034" s="153"/>
      <c r="T1034" s="153"/>
      <c r="U1034" s="153"/>
      <c r="V1034" s="153"/>
      <c r="W1034" s="153"/>
      <c r="X1034" s="153"/>
      <c r="Y1034" s="153"/>
      <c r="Z1034" s="153"/>
      <c r="AA1034" s="153"/>
      <c r="AB1034" s="153"/>
      <c r="AC1034" s="153"/>
      <c r="AD1034" s="153"/>
      <c r="AE1034" s="153"/>
      <c r="AF1034" s="153"/>
      <c r="AG1034" s="153"/>
      <c r="AH1034" s="153"/>
    </row>
    <row r="1035">
      <c r="A1035" s="153"/>
      <c r="B1035" s="156"/>
      <c r="C1035" s="171"/>
      <c r="D1035" s="153"/>
      <c r="E1035" s="153"/>
      <c r="F1035" s="153"/>
      <c r="G1035" s="153"/>
      <c r="H1035" s="153"/>
      <c r="I1035" s="153"/>
      <c r="J1035" s="153"/>
      <c r="K1035" s="153"/>
      <c r="L1035" s="153"/>
      <c r="M1035" s="153"/>
      <c r="N1035" s="153"/>
      <c r="O1035" s="153"/>
      <c r="P1035" s="153"/>
      <c r="Q1035" s="153"/>
      <c r="R1035" s="153"/>
      <c r="S1035" s="153"/>
      <c r="T1035" s="153"/>
      <c r="U1035" s="153"/>
      <c r="V1035" s="153"/>
      <c r="W1035" s="153"/>
      <c r="X1035" s="153"/>
      <c r="Y1035" s="153"/>
      <c r="Z1035" s="153"/>
      <c r="AA1035" s="153"/>
      <c r="AB1035" s="153"/>
      <c r="AC1035" s="153"/>
      <c r="AD1035" s="153"/>
      <c r="AE1035" s="153"/>
      <c r="AF1035" s="153"/>
      <c r="AG1035" s="153"/>
      <c r="AH1035" s="153"/>
    </row>
    <row r="1036">
      <c r="A1036" s="153"/>
      <c r="B1036" s="156"/>
      <c r="C1036" s="171"/>
      <c r="D1036" s="153"/>
      <c r="E1036" s="153"/>
      <c r="F1036" s="153"/>
      <c r="G1036" s="153"/>
      <c r="H1036" s="153"/>
      <c r="I1036" s="153"/>
      <c r="J1036" s="153"/>
      <c r="K1036" s="153"/>
      <c r="L1036" s="153"/>
      <c r="M1036" s="153"/>
      <c r="N1036" s="153"/>
      <c r="O1036" s="153"/>
      <c r="P1036" s="153"/>
      <c r="Q1036" s="153"/>
      <c r="R1036" s="153"/>
      <c r="S1036" s="153"/>
      <c r="T1036" s="153"/>
      <c r="U1036" s="153"/>
      <c r="V1036" s="153"/>
      <c r="W1036" s="153"/>
      <c r="X1036" s="153"/>
      <c r="Y1036" s="153"/>
      <c r="Z1036" s="153"/>
      <c r="AA1036" s="153"/>
      <c r="AB1036" s="153"/>
      <c r="AC1036" s="153"/>
      <c r="AD1036" s="153"/>
      <c r="AE1036" s="153"/>
      <c r="AF1036" s="153"/>
      <c r="AG1036" s="153"/>
      <c r="AH1036" s="153"/>
    </row>
    <row r="1037">
      <c r="A1037" s="153"/>
      <c r="B1037" s="156"/>
      <c r="C1037" s="171"/>
      <c r="D1037" s="153"/>
      <c r="E1037" s="153"/>
      <c r="F1037" s="153"/>
      <c r="G1037" s="153"/>
      <c r="H1037" s="153"/>
      <c r="I1037" s="153"/>
      <c r="J1037" s="153"/>
      <c r="K1037" s="153"/>
      <c r="L1037" s="153"/>
      <c r="M1037" s="153"/>
      <c r="N1037" s="153"/>
      <c r="O1037" s="153"/>
      <c r="P1037" s="153"/>
      <c r="Q1037" s="153"/>
      <c r="R1037" s="153"/>
      <c r="S1037" s="153"/>
      <c r="T1037" s="153"/>
      <c r="U1037" s="153"/>
      <c r="V1037" s="153"/>
      <c r="W1037" s="153"/>
      <c r="X1037" s="153"/>
      <c r="Y1037" s="153"/>
      <c r="Z1037" s="153"/>
      <c r="AA1037" s="153"/>
      <c r="AB1037" s="153"/>
      <c r="AC1037" s="153"/>
      <c r="AD1037" s="153"/>
      <c r="AE1037" s="153"/>
      <c r="AF1037" s="153"/>
      <c r="AG1037" s="153"/>
      <c r="AH1037" s="153"/>
    </row>
    <row r="1038">
      <c r="A1038" s="153"/>
      <c r="B1038" s="156"/>
      <c r="C1038" s="171"/>
      <c r="D1038" s="153"/>
      <c r="E1038" s="153"/>
      <c r="F1038" s="153"/>
      <c r="G1038" s="153"/>
      <c r="H1038" s="153"/>
      <c r="I1038" s="153"/>
      <c r="J1038" s="153"/>
      <c r="K1038" s="153"/>
      <c r="L1038" s="153"/>
      <c r="M1038" s="153"/>
      <c r="N1038" s="153"/>
      <c r="O1038" s="153"/>
      <c r="P1038" s="153"/>
      <c r="Q1038" s="153"/>
      <c r="R1038" s="153"/>
      <c r="S1038" s="153"/>
      <c r="T1038" s="153"/>
      <c r="U1038" s="153"/>
      <c r="V1038" s="153"/>
      <c r="W1038" s="153"/>
      <c r="X1038" s="153"/>
      <c r="Y1038" s="153"/>
      <c r="Z1038" s="153"/>
      <c r="AA1038" s="153"/>
      <c r="AB1038" s="153"/>
      <c r="AC1038" s="153"/>
      <c r="AD1038" s="153"/>
      <c r="AE1038" s="153"/>
      <c r="AF1038" s="153"/>
      <c r="AG1038" s="153"/>
      <c r="AH1038" s="153"/>
    </row>
    <row r="1039">
      <c r="A1039" s="153"/>
      <c r="B1039" s="156"/>
      <c r="C1039" s="171"/>
      <c r="D1039" s="153"/>
      <c r="E1039" s="153"/>
      <c r="F1039" s="153"/>
      <c r="G1039" s="153"/>
      <c r="H1039" s="153"/>
      <c r="I1039" s="153"/>
      <c r="J1039" s="153"/>
      <c r="K1039" s="153"/>
      <c r="L1039" s="153"/>
      <c r="M1039" s="153"/>
      <c r="N1039" s="153"/>
      <c r="O1039" s="153"/>
      <c r="P1039" s="153"/>
      <c r="Q1039" s="153"/>
      <c r="R1039" s="153"/>
      <c r="S1039" s="153"/>
      <c r="T1039" s="153"/>
      <c r="U1039" s="153"/>
      <c r="V1039" s="153"/>
      <c r="W1039" s="153"/>
      <c r="X1039" s="153"/>
      <c r="Y1039" s="153"/>
      <c r="Z1039" s="153"/>
      <c r="AA1039" s="153"/>
      <c r="AB1039" s="153"/>
      <c r="AC1039" s="153"/>
      <c r="AD1039" s="153"/>
      <c r="AE1039" s="153"/>
      <c r="AF1039" s="153"/>
      <c r="AG1039" s="153"/>
      <c r="AH1039" s="153"/>
    </row>
    <row r="1040">
      <c r="A1040" s="153"/>
      <c r="B1040" s="156"/>
      <c r="C1040" s="171"/>
      <c r="D1040" s="153"/>
      <c r="E1040" s="153"/>
      <c r="F1040" s="153"/>
      <c r="G1040" s="153"/>
      <c r="H1040" s="153"/>
      <c r="I1040" s="153"/>
      <c r="J1040" s="153"/>
      <c r="K1040" s="153"/>
      <c r="L1040" s="153"/>
      <c r="M1040" s="153"/>
      <c r="N1040" s="153"/>
      <c r="O1040" s="153"/>
      <c r="P1040" s="153"/>
      <c r="Q1040" s="153"/>
      <c r="R1040" s="153"/>
      <c r="S1040" s="153"/>
      <c r="T1040" s="153"/>
      <c r="U1040" s="153"/>
      <c r="V1040" s="153"/>
      <c r="W1040" s="153"/>
      <c r="X1040" s="153"/>
      <c r="Y1040" s="153"/>
      <c r="Z1040" s="153"/>
      <c r="AA1040" s="153"/>
      <c r="AB1040" s="153"/>
      <c r="AC1040" s="153"/>
      <c r="AD1040" s="153"/>
      <c r="AE1040" s="153"/>
      <c r="AF1040" s="153"/>
      <c r="AG1040" s="153"/>
      <c r="AH1040" s="153"/>
    </row>
    <row r="1041">
      <c r="A1041" s="153"/>
      <c r="B1041" s="156"/>
      <c r="C1041" s="171"/>
      <c r="D1041" s="153"/>
      <c r="E1041" s="153"/>
      <c r="F1041" s="153"/>
      <c r="G1041" s="153"/>
      <c r="H1041" s="153"/>
      <c r="I1041" s="153"/>
      <c r="J1041" s="153"/>
      <c r="K1041" s="153"/>
      <c r="L1041" s="153"/>
      <c r="M1041" s="153"/>
      <c r="N1041" s="153"/>
      <c r="O1041" s="153"/>
      <c r="P1041" s="153"/>
      <c r="Q1041" s="153"/>
      <c r="R1041" s="153"/>
      <c r="S1041" s="153"/>
      <c r="T1041" s="153"/>
      <c r="U1041" s="153"/>
      <c r="V1041" s="153"/>
      <c r="W1041" s="153"/>
      <c r="X1041" s="153"/>
      <c r="Y1041" s="153"/>
      <c r="Z1041" s="153"/>
      <c r="AA1041" s="153"/>
      <c r="AB1041" s="153"/>
      <c r="AC1041" s="153"/>
      <c r="AD1041" s="153"/>
      <c r="AE1041" s="153"/>
      <c r="AF1041" s="153"/>
      <c r="AG1041" s="153"/>
      <c r="AH1041" s="153"/>
    </row>
    <row r="1042">
      <c r="A1042" s="153"/>
      <c r="B1042" s="156"/>
      <c r="C1042" s="171"/>
      <c r="D1042" s="153"/>
      <c r="E1042" s="153"/>
      <c r="F1042" s="153"/>
      <c r="G1042" s="153"/>
      <c r="H1042" s="153"/>
      <c r="I1042" s="153"/>
      <c r="J1042" s="153"/>
      <c r="K1042" s="153"/>
      <c r="L1042" s="153"/>
      <c r="M1042" s="153"/>
      <c r="N1042" s="153"/>
      <c r="O1042" s="153"/>
      <c r="P1042" s="153"/>
      <c r="Q1042" s="153"/>
      <c r="R1042" s="153"/>
      <c r="S1042" s="153"/>
      <c r="T1042" s="153"/>
      <c r="U1042" s="153"/>
      <c r="V1042" s="153"/>
      <c r="W1042" s="153"/>
      <c r="X1042" s="153"/>
      <c r="Y1042" s="153"/>
      <c r="Z1042" s="153"/>
      <c r="AA1042" s="153"/>
      <c r="AB1042" s="153"/>
      <c r="AC1042" s="153"/>
      <c r="AD1042" s="153"/>
      <c r="AE1042" s="153"/>
      <c r="AF1042" s="153"/>
      <c r="AG1042" s="153"/>
      <c r="AH1042" s="153"/>
    </row>
    <row r="1043">
      <c r="A1043" s="153"/>
      <c r="B1043" s="156"/>
      <c r="C1043" s="171"/>
      <c r="D1043" s="153"/>
      <c r="E1043" s="153"/>
      <c r="F1043" s="153"/>
      <c r="G1043" s="153"/>
      <c r="H1043" s="153"/>
      <c r="I1043" s="153"/>
      <c r="J1043" s="153"/>
      <c r="K1043" s="153"/>
      <c r="L1043" s="153"/>
      <c r="M1043" s="153"/>
      <c r="N1043" s="153"/>
      <c r="O1043" s="153"/>
      <c r="P1043" s="153"/>
      <c r="Q1043" s="153"/>
      <c r="R1043" s="153"/>
      <c r="S1043" s="153"/>
      <c r="T1043" s="153"/>
      <c r="U1043" s="153"/>
      <c r="V1043" s="153"/>
      <c r="W1043" s="153"/>
      <c r="X1043" s="153"/>
      <c r="Y1043" s="153"/>
      <c r="Z1043" s="153"/>
      <c r="AA1043" s="153"/>
      <c r="AB1043" s="153"/>
      <c r="AC1043" s="153"/>
      <c r="AD1043" s="153"/>
      <c r="AE1043" s="153"/>
      <c r="AF1043" s="153"/>
      <c r="AG1043" s="153"/>
      <c r="AH1043" s="153"/>
    </row>
    <row r="1044">
      <c r="A1044" s="153"/>
      <c r="B1044" s="156"/>
      <c r="C1044" s="171"/>
      <c r="D1044" s="153"/>
      <c r="E1044" s="153"/>
      <c r="F1044" s="153"/>
      <c r="G1044" s="153"/>
      <c r="H1044" s="153"/>
      <c r="I1044" s="153"/>
      <c r="J1044" s="153"/>
      <c r="K1044" s="153"/>
      <c r="L1044" s="153"/>
      <c r="M1044" s="153"/>
      <c r="N1044" s="153"/>
      <c r="O1044" s="153"/>
      <c r="P1044" s="153"/>
      <c r="Q1044" s="153"/>
      <c r="R1044" s="153"/>
      <c r="S1044" s="153"/>
      <c r="T1044" s="153"/>
      <c r="U1044" s="153"/>
      <c r="V1044" s="153"/>
      <c r="W1044" s="153"/>
      <c r="X1044" s="153"/>
      <c r="Y1044" s="153"/>
      <c r="Z1044" s="153"/>
      <c r="AA1044" s="153"/>
      <c r="AB1044" s="153"/>
      <c r="AC1044" s="153"/>
      <c r="AD1044" s="153"/>
      <c r="AE1044" s="153"/>
      <c r="AF1044" s="153"/>
      <c r="AG1044" s="153"/>
      <c r="AH1044" s="153"/>
    </row>
    <row r="1045">
      <c r="A1045" s="153"/>
      <c r="B1045" s="156"/>
      <c r="C1045" s="171"/>
      <c r="D1045" s="153"/>
      <c r="E1045" s="153"/>
      <c r="F1045" s="153"/>
      <c r="G1045" s="153"/>
      <c r="H1045" s="153"/>
      <c r="I1045" s="153"/>
      <c r="J1045" s="153"/>
      <c r="K1045" s="153"/>
      <c r="L1045" s="153"/>
      <c r="M1045" s="153"/>
      <c r="N1045" s="153"/>
      <c r="O1045" s="153"/>
      <c r="P1045" s="153"/>
      <c r="Q1045" s="153"/>
      <c r="R1045" s="153"/>
      <c r="S1045" s="153"/>
      <c r="T1045" s="153"/>
      <c r="U1045" s="153"/>
      <c r="V1045" s="153"/>
      <c r="W1045" s="153"/>
      <c r="X1045" s="153"/>
      <c r="Y1045" s="153"/>
      <c r="Z1045" s="153"/>
      <c r="AA1045" s="153"/>
      <c r="AB1045" s="153"/>
      <c r="AC1045" s="153"/>
      <c r="AD1045" s="153"/>
      <c r="AE1045" s="153"/>
      <c r="AF1045" s="153"/>
      <c r="AG1045" s="153"/>
      <c r="AH1045" s="153"/>
    </row>
    <row r="1046">
      <c r="A1046" s="153"/>
      <c r="B1046" s="156"/>
      <c r="C1046" s="171"/>
      <c r="D1046" s="153"/>
      <c r="E1046" s="153"/>
      <c r="F1046" s="153"/>
      <c r="G1046" s="153"/>
      <c r="H1046" s="153"/>
      <c r="I1046" s="153"/>
      <c r="J1046" s="153"/>
      <c r="K1046" s="153"/>
      <c r="L1046" s="153"/>
      <c r="M1046" s="153"/>
      <c r="N1046" s="153"/>
      <c r="O1046" s="153"/>
      <c r="P1046" s="153"/>
      <c r="Q1046" s="153"/>
      <c r="R1046" s="153"/>
      <c r="S1046" s="153"/>
      <c r="T1046" s="153"/>
      <c r="U1046" s="153"/>
      <c r="V1046" s="153"/>
      <c r="W1046" s="153"/>
      <c r="X1046" s="153"/>
      <c r="Y1046" s="153"/>
      <c r="Z1046" s="153"/>
      <c r="AA1046" s="153"/>
      <c r="AB1046" s="153"/>
      <c r="AC1046" s="153"/>
      <c r="AD1046" s="153"/>
      <c r="AE1046" s="153"/>
      <c r="AF1046" s="153"/>
      <c r="AG1046" s="153"/>
      <c r="AH1046" s="153"/>
    </row>
    <row r="1047">
      <c r="A1047" s="153"/>
      <c r="B1047" s="156"/>
      <c r="C1047" s="171"/>
      <c r="D1047" s="153"/>
      <c r="E1047" s="153"/>
      <c r="F1047" s="153"/>
      <c r="G1047" s="153"/>
      <c r="H1047" s="153"/>
      <c r="I1047" s="153"/>
      <c r="J1047" s="153"/>
      <c r="K1047" s="153"/>
      <c r="L1047" s="153"/>
      <c r="M1047" s="153"/>
      <c r="N1047" s="153"/>
      <c r="O1047" s="153"/>
      <c r="P1047" s="153"/>
      <c r="Q1047" s="153"/>
      <c r="R1047" s="153"/>
      <c r="S1047" s="153"/>
      <c r="T1047" s="153"/>
      <c r="U1047" s="153"/>
      <c r="V1047" s="153"/>
      <c r="W1047" s="153"/>
      <c r="X1047" s="153"/>
      <c r="Y1047" s="153"/>
      <c r="Z1047" s="153"/>
      <c r="AA1047" s="153"/>
      <c r="AB1047" s="153"/>
      <c r="AC1047" s="153"/>
      <c r="AD1047" s="153"/>
      <c r="AE1047" s="153"/>
      <c r="AF1047" s="153"/>
      <c r="AG1047" s="153"/>
      <c r="AH1047" s="153"/>
    </row>
    <row r="1048">
      <c r="A1048" s="153"/>
      <c r="B1048" s="156"/>
      <c r="C1048" s="171"/>
      <c r="D1048" s="153"/>
      <c r="E1048" s="153"/>
      <c r="F1048" s="153"/>
      <c r="G1048" s="153"/>
      <c r="H1048" s="153"/>
      <c r="I1048" s="153"/>
      <c r="J1048" s="153"/>
      <c r="K1048" s="153"/>
      <c r="L1048" s="153"/>
      <c r="M1048" s="153"/>
      <c r="N1048" s="153"/>
      <c r="O1048" s="153"/>
      <c r="P1048" s="153"/>
      <c r="Q1048" s="153"/>
      <c r="R1048" s="153"/>
      <c r="S1048" s="153"/>
      <c r="T1048" s="153"/>
      <c r="U1048" s="153"/>
      <c r="V1048" s="153"/>
      <c r="W1048" s="153"/>
      <c r="X1048" s="153"/>
      <c r="Y1048" s="153"/>
      <c r="Z1048" s="153"/>
      <c r="AA1048" s="153"/>
      <c r="AB1048" s="153"/>
      <c r="AC1048" s="153"/>
      <c r="AD1048" s="153"/>
      <c r="AE1048" s="153"/>
      <c r="AF1048" s="153"/>
      <c r="AG1048" s="153"/>
      <c r="AH1048" s="153"/>
    </row>
    <row r="1049">
      <c r="A1049" s="153"/>
      <c r="B1049" s="156"/>
      <c r="C1049" s="171"/>
      <c r="D1049" s="153"/>
      <c r="E1049" s="153"/>
      <c r="F1049" s="153"/>
      <c r="G1049" s="153"/>
      <c r="H1049" s="153"/>
      <c r="I1049" s="153"/>
      <c r="J1049" s="153"/>
      <c r="K1049" s="153"/>
      <c r="L1049" s="153"/>
      <c r="M1049" s="153"/>
      <c r="N1049" s="153"/>
      <c r="O1049" s="153"/>
      <c r="P1049" s="153"/>
      <c r="Q1049" s="153"/>
      <c r="R1049" s="153"/>
      <c r="S1049" s="153"/>
      <c r="T1049" s="153"/>
      <c r="U1049" s="153"/>
      <c r="V1049" s="153"/>
      <c r="W1049" s="153"/>
      <c r="X1049" s="153"/>
      <c r="Y1049" s="153"/>
      <c r="Z1049" s="153"/>
      <c r="AA1049" s="153"/>
      <c r="AB1049" s="153"/>
      <c r="AC1049" s="153"/>
      <c r="AD1049" s="153"/>
      <c r="AE1049" s="153"/>
      <c r="AF1049" s="153"/>
      <c r="AG1049" s="153"/>
      <c r="AH1049" s="153"/>
    </row>
    <row r="1050">
      <c r="A1050" s="153"/>
      <c r="B1050" s="156"/>
      <c r="C1050" s="171"/>
      <c r="D1050" s="153"/>
      <c r="E1050" s="153"/>
      <c r="F1050" s="153"/>
      <c r="G1050" s="153"/>
      <c r="H1050" s="153"/>
      <c r="I1050" s="153"/>
      <c r="J1050" s="153"/>
      <c r="K1050" s="153"/>
      <c r="L1050" s="153"/>
      <c r="M1050" s="153"/>
      <c r="N1050" s="153"/>
      <c r="O1050" s="153"/>
      <c r="P1050" s="153"/>
      <c r="Q1050" s="153"/>
      <c r="R1050" s="153"/>
      <c r="S1050" s="153"/>
      <c r="T1050" s="153"/>
      <c r="U1050" s="153"/>
      <c r="V1050" s="153"/>
      <c r="W1050" s="153"/>
      <c r="X1050" s="153"/>
      <c r="Y1050" s="153"/>
      <c r="Z1050" s="153"/>
      <c r="AA1050" s="153"/>
      <c r="AB1050" s="153"/>
      <c r="AC1050" s="153"/>
      <c r="AD1050" s="153"/>
      <c r="AE1050" s="153"/>
      <c r="AF1050" s="153"/>
      <c r="AG1050" s="153"/>
      <c r="AH1050" s="153"/>
    </row>
    <row r="1051">
      <c r="A1051" s="153"/>
      <c r="B1051" s="156"/>
      <c r="C1051" s="171"/>
      <c r="D1051" s="153"/>
      <c r="E1051" s="153"/>
      <c r="F1051" s="153"/>
      <c r="G1051" s="153"/>
      <c r="H1051" s="153"/>
      <c r="I1051" s="153"/>
      <c r="J1051" s="153"/>
      <c r="K1051" s="153"/>
      <c r="L1051" s="153"/>
      <c r="M1051" s="153"/>
      <c r="N1051" s="153"/>
      <c r="O1051" s="153"/>
      <c r="P1051" s="153"/>
      <c r="Q1051" s="153"/>
      <c r="R1051" s="153"/>
      <c r="S1051" s="153"/>
      <c r="T1051" s="153"/>
      <c r="U1051" s="153"/>
      <c r="V1051" s="153"/>
      <c r="W1051" s="153"/>
      <c r="X1051" s="153"/>
      <c r="Y1051" s="153"/>
      <c r="Z1051" s="153"/>
      <c r="AA1051" s="153"/>
      <c r="AB1051" s="153"/>
      <c r="AC1051" s="153"/>
      <c r="AD1051" s="153"/>
      <c r="AE1051" s="153"/>
      <c r="AF1051" s="153"/>
      <c r="AG1051" s="153"/>
      <c r="AH1051" s="153"/>
    </row>
    <row r="1052">
      <c r="A1052" s="153"/>
      <c r="B1052" s="156"/>
      <c r="C1052" s="171"/>
      <c r="D1052" s="153"/>
      <c r="E1052" s="153"/>
      <c r="F1052" s="153"/>
      <c r="G1052" s="153"/>
      <c r="H1052" s="153"/>
      <c r="I1052" s="153"/>
      <c r="J1052" s="153"/>
      <c r="K1052" s="153"/>
      <c r="L1052" s="153"/>
      <c r="M1052" s="153"/>
      <c r="N1052" s="153"/>
      <c r="O1052" s="153"/>
      <c r="P1052" s="153"/>
      <c r="Q1052" s="153"/>
      <c r="R1052" s="153"/>
      <c r="S1052" s="153"/>
      <c r="T1052" s="153"/>
      <c r="U1052" s="153"/>
      <c r="V1052" s="153"/>
      <c r="W1052" s="153"/>
      <c r="X1052" s="153"/>
      <c r="Y1052" s="153"/>
      <c r="Z1052" s="153"/>
      <c r="AA1052" s="153"/>
      <c r="AB1052" s="153"/>
      <c r="AC1052" s="153"/>
      <c r="AD1052" s="153"/>
      <c r="AE1052" s="153"/>
      <c r="AF1052" s="153"/>
      <c r="AG1052" s="153"/>
      <c r="AH1052" s="153"/>
    </row>
    <row r="1053">
      <c r="A1053" s="153"/>
      <c r="B1053" s="156"/>
      <c r="C1053" s="171"/>
      <c r="D1053" s="153"/>
      <c r="E1053" s="153"/>
      <c r="F1053" s="153"/>
      <c r="G1053" s="153"/>
      <c r="H1053" s="153"/>
      <c r="I1053" s="153"/>
      <c r="J1053" s="153"/>
      <c r="K1053" s="153"/>
      <c r="L1053" s="153"/>
      <c r="M1053" s="153"/>
      <c r="N1053" s="153"/>
      <c r="O1053" s="153"/>
      <c r="P1053" s="153"/>
      <c r="Q1053" s="153"/>
      <c r="R1053" s="153"/>
      <c r="S1053" s="153"/>
      <c r="T1053" s="153"/>
      <c r="U1053" s="153"/>
      <c r="V1053" s="153"/>
      <c r="W1053" s="153"/>
      <c r="X1053" s="153"/>
      <c r="Y1053" s="153"/>
      <c r="Z1053" s="153"/>
      <c r="AA1053" s="153"/>
      <c r="AB1053" s="153"/>
      <c r="AC1053" s="153"/>
      <c r="AD1053" s="153"/>
      <c r="AE1053" s="153"/>
      <c r="AF1053" s="153"/>
      <c r="AG1053" s="153"/>
      <c r="AH1053" s="153"/>
    </row>
    <row r="1054">
      <c r="A1054" s="153"/>
      <c r="B1054" s="156"/>
      <c r="C1054" s="171"/>
      <c r="D1054" s="153"/>
      <c r="E1054" s="153"/>
      <c r="F1054" s="153"/>
      <c r="G1054" s="153"/>
      <c r="H1054" s="153"/>
      <c r="I1054" s="153"/>
      <c r="J1054" s="153"/>
      <c r="K1054" s="153"/>
      <c r="L1054" s="153"/>
      <c r="M1054" s="153"/>
      <c r="N1054" s="153"/>
      <c r="O1054" s="153"/>
      <c r="P1054" s="153"/>
      <c r="Q1054" s="153"/>
      <c r="R1054" s="153"/>
      <c r="S1054" s="153"/>
      <c r="T1054" s="153"/>
      <c r="U1054" s="153"/>
      <c r="V1054" s="153"/>
      <c r="W1054" s="153"/>
      <c r="X1054" s="153"/>
      <c r="Y1054" s="153"/>
      <c r="Z1054" s="153"/>
      <c r="AA1054" s="153"/>
      <c r="AB1054" s="153"/>
      <c r="AC1054" s="153"/>
      <c r="AD1054" s="153"/>
      <c r="AE1054" s="153"/>
      <c r="AF1054" s="153"/>
      <c r="AG1054" s="153"/>
      <c r="AH1054" s="153"/>
    </row>
    <row r="1055">
      <c r="A1055" s="153"/>
      <c r="B1055" s="156"/>
      <c r="C1055" s="171"/>
      <c r="D1055" s="153"/>
      <c r="E1055" s="153"/>
      <c r="F1055" s="153"/>
      <c r="G1055" s="153"/>
      <c r="H1055" s="153"/>
      <c r="I1055" s="153"/>
      <c r="J1055" s="153"/>
      <c r="K1055" s="153"/>
      <c r="L1055" s="153"/>
      <c r="M1055" s="153"/>
      <c r="N1055" s="153"/>
      <c r="O1055" s="153"/>
      <c r="P1055" s="153"/>
      <c r="Q1055" s="153"/>
      <c r="R1055" s="153"/>
      <c r="S1055" s="153"/>
      <c r="T1055" s="153"/>
      <c r="U1055" s="153"/>
      <c r="V1055" s="153"/>
      <c r="W1055" s="153"/>
      <c r="X1055" s="153"/>
      <c r="Y1055" s="153"/>
      <c r="Z1055" s="153"/>
      <c r="AA1055" s="153"/>
      <c r="AB1055" s="153"/>
      <c r="AC1055" s="153"/>
      <c r="AD1055" s="153"/>
      <c r="AE1055" s="153"/>
      <c r="AF1055" s="153"/>
      <c r="AG1055" s="153"/>
      <c r="AH1055" s="153"/>
    </row>
    <row r="1056">
      <c r="A1056" s="153"/>
      <c r="B1056" s="156"/>
      <c r="C1056" s="171"/>
      <c r="D1056" s="153"/>
      <c r="E1056" s="153"/>
      <c r="F1056" s="153"/>
      <c r="G1056" s="153"/>
      <c r="H1056" s="153"/>
      <c r="I1056" s="153"/>
      <c r="J1056" s="153"/>
      <c r="K1056" s="153"/>
      <c r="L1056" s="153"/>
      <c r="M1056" s="153"/>
      <c r="N1056" s="153"/>
      <c r="O1056" s="153"/>
      <c r="P1056" s="153"/>
      <c r="Q1056" s="153"/>
      <c r="R1056" s="153"/>
      <c r="S1056" s="153"/>
      <c r="T1056" s="153"/>
      <c r="U1056" s="153"/>
      <c r="V1056" s="153"/>
      <c r="W1056" s="153"/>
      <c r="X1056" s="153"/>
      <c r="Y1056" s="153"/>
      <c r="Z1056" s="153"/>
      <c r="AA1056" s="153"/>
      <c r="AB1056" s="153"/>
      <c r="AC1056" s="153"/>
      <c r="AD1056" s="153"/>
      <c r="AE1056" s="153"/>
      <c r="AF1056" s="153"/>
      <c r="AG1056" s="153"/>
      <c r="AH1056" s="153"/>
    </row>
    <row r="1057">
      <c r="A1057" s="153"/>
      <c r="B1057" s="156"/>
      <c r="C1057" s="171"/>
      <c r="D1057" s="153"/>
      <c r="E1057" s="153"/>
      <c r="F1057" s="153"/>
      <c r="G1057" s="153"/>
      <c r="H1057" s="153"/>
      <c r="I1057" s="153"/>
      <c r="J1057" s="153"/>
      <c r="K1057" s="153"/>
      <c r="L1057" s="153"/>
      <c r="M1057" s="153"/>
      <c r="N1057" s="153"/>
      <c r="O1057" s="153"/>
      <c r="P1057" s="153"/>
      <c r="Q1057" s="153"/>
      <c r="R1057" s="153"/>
      <c r="S1057" s="153"/>
      <c r="T1057" s="153"/>
      <c r="U1057" s="153"/>
      <c r="V1057" s="153"/>
      <c r="W1057" s="153"/>
      <c r="X1057" s="153"/>
      <c r="Y1057" s="153"/>
      <c r="Z1057" s="153"/>
      <c r="AA1057" s="153"/>
      <c r="AB1057" s="153"/>
      <c r="AC1057" s="153"/>
      <c r="AD1057" s="153"/>
      <c r="AE1057" s="153"/>
      <c r="AF1057" s="153"/>
      <c r="AG1057" s="153"/>
      <c r="AH1057" s="153"/>
    </row>
    <row r="1058">
      <c r="A1058" s="153"/>
      <c r="B1058" s="156"/>
      <c r="C1058" s="171"/>
      <c r="D1058" s="153"/>
      <c r="E1058" s="153"/>
      <c r="F1058" s="153"/>
      <c r="G1058" s="153"/>
      <c r="H1058" s="153"/>
      <c r="I1058" s="153"/>
      <c r="J1058" s="153"/>
      <c r="K1058" s="153"/>
      <c r="L1058" s="153"/>
      <c r="M1058" s="153"/>
      <c r="N1058" s="153"/>
      <c r="O1058" s="153"/>
      <c r="P1058" s="153"/>
      <c r="Q1058" s="153"/>
      <c r="R1058" s="153"/>
      <c r="S1058" s="153"/>
      <c r="T1058" s="153"/>
      <c r="U1058" s="153"/>
      <c r="V1058" s="153"/>
      <c r="W1058" s="153"/>
      <c r="X1058" s="153"/>
      <c r="Y1058" s="153"/>
      <c r="Z1058" s="153"/>
      <c r="AA1058" s="153"/>
      <c r="AB1058" s="153"/>
      <c r="AC1058" s="153"/>
      <c r="AD1058" s="153"/>
      <c r="AE1058" s="153"/>
      <c r="AF1058" s="153"/>
      <c r="AG1058" s="153"/>
      <c r="AH1058" s="153"/>
    </row>
    <row r="1059">
      <c r="A1059" s="153"/>
      <c r="B1059" s="156"/>
      <c r="C1059" s="171"/>
      <c r="D1059" s="153"/>
      <c r="E1059" s="153"/>
      <c r="F1059" s="153"/>
      <c r="G1059" s="153"/>
      <c r="H1059" s="153"/>
      <c r="I1059" s="153"/>
      <c r="J1059" s="153"/>
      <c r="K1059" s="153"/>
      <c r="L1059" s="153"/>
      <c r="M1059" s="153"/>
      <c r="N1059" s="153"/>
      <c r="O1059" s="153"/>
      <c r="P1059" s="153"/>
      <c r="Q1059" s="153"/>
      <c r="R1059" s="153"/>
      <c r="S1059" s="153"/>
      <c r="T1059" s="153"/>
      <c r="U1059" s="153"/>
      <c r="V1059" s="153"/>
      <c r="W1059" s="153"/>
      <c r="X1059" s="153"/>
      <c r="Y1059" s="153"/>
      <c r="Z1059" s="153"/>
      <c r="AA1059" s="153"/>
      <c r="AB1059" s="153"/>
      <c r="AC1059" s="153"/>
      <c r="AD1059" s="153"/>
      <c r="AE1059" s="153"/>
      <c r="AF1059" s="153"/>
      <c r="AG1059" s="153"/>
      <c r="AH1059" s="153"/>
    </row>
    <row r="1060">
      <c r="A1060" s="153"/>
      <c r="B1060" s="156"/>
      <c r="C1060" s="171"/>
      <c r="D1060" s="153"/>
      <c r="E1060" s="153"/>
      <c r="F1060" s="153"/>
      <c r="G1060" s="153"/>
      <c r="H1060" s="153"/>
      <c r="I1060" s="153"/>
      <c r="J1060" s="153"/>
      <c r="K1060" s="153"/>
      <c r="L1060" s="153"/>
      <c r="M1060" s="153"/>
      <c r="N1060" s="153"/>
      <c r="O1060" s="153"/>
      <c r="P1060" s="153"/>
      <c r="Q1060" s="153"/>
      <c r="R1060" s="153"/>
      <c r="S1060" s="153"/>
      <c r="T1060" s="153"/>
      <c r="U1060" s="153"/>
      <c r="V1060" s="153"/>
      <c r="W1060" s="153"/>
      <c r="X1060" s="153"/>
      <c r="Y1060" s="153"/>
      <c r="Z1060" s="153"/>
      <c r="AA1060" s="153"/>
      <c r="AB1060" s="153"/>
      <c r="AC1060" s="153"/>
      <c r="AD1060" s="153"/>
      <c r="AE1060" s="153"/>
      <c r="AF1060" s="153"/>
      <c r="AG1060" s="153"/>
      <c r="AH1060" s="153"/>
    </row>
    <row r="1061">
      <c r="A1061" s="153"/>
      <c r="B1061" s="156"/>
      <c r="C1061" s="171"/>
      <c r="D1061" s="153"/>
      <c r="E1061" s="153"/>
      <c r="F1061" s="153"/>
      <c r="G1061" s="153"/>
      <c r="H1061" s="153"/>
      <c r="I1061" s="153"/>
      <c r="J1061" s="153"/>
      <c r="K1061" s="153"/>
      <c r="L1061" s="153"/>
      <c r="M1061" s="153"/>
      <c r="N1061" s="153"/>
      <c r="O1061" s="153"/>
      <c r="P1061" s="153"/>
      <c r="Q1061" s="153"/>
      <c r="R1061" s="153"/>
      <c r="S1061" s="153"/>
      <c r="T1061" s="153"/>
      <c r="U1061" s="153"/>
      <c r="V1061" s="153"/>
      <c r="W1061" s="153"/>
      <c r="X1061" s="153"/>
      <c r="Y1061" s="153"/>
      <c r="Z1061" s="153"/>
      <c r="AA1061" s="153"/>
      <c r="AB1061" s="153"/>
      <c r="AC1061" s="153"/>
      <c r="AD1061" s="153"/>
      <c r="AE1061" s="153"/>
      <c r="AF1061" s="153"/>
      <c r="AG1061" s="153"/>
      <c r="AH1061" s="153"/>
    </row>
    <row r="1062">
      <c r="A1062" s="153"/>
      <c r="B1062" s="156"/>
      <c r="C1062" s="171"/>
      <c r="D1062" s="153"/>
      <c r="E1062" s="153"/>
      <c r="F1062" s="153"/>
      <c r="G1062" s="153"/>
      <c r="H1062" s="153"/>
      <c r="I1062" s="153"/>
      <c r="J1062" s="153"/>
      <c r="K1062" s="153"/>
      <c r="L1062" s="153"/>
      <c r="M1062" s="153"/>
      <c r="N1062" s="153"/>
      <c r="O1062" s="153"/>
      <c r="P1062" s="153"/>
      <c r="Q1062" s="153"/>
      <c r="R1062" s="153"/>
      <c r="S1062" s="153"/>
      <c r="T1062" s="153"/>
      <c r="U1062" s="153"/>
      <c r="V1062" s="153"/>
      <c r="W1062" s="153"/>
      <c r="X1062" s="153"/>
      <c r="Y1062" s="153"/>
      <c r="Z1062" s="153"/>
      <c r="AA1062" s="153"/>
      <c r="AB1062" s="153"/>
      <c r="AC1062" s="153"/>
      <c r="AD1062" s="153"/>
      <c r="AE1062" s="153"/>
      <c r="AF1062" s="153"/>
      <c r="AG1062" s="153"/>
      <c r="AH1062" s="153"/>
    </row>
    <row r="1063">
      <c r="A1063" s="153"/>
      <c r="B1063" s="156"/>
      <c r="C1063" s="171"/>
      <c r="D1063" s="153"/>
      <c r="E1063" s="153"/>
      <c r="F1063" s="153"/>
      <c r="G1063" s="153"/>
      <c r="H1063" s="153"/>
      <c r="I1063" s="153"/>
      <c r="J1063" s="153"/>
      <c r="K1063" s="153"/>
      <c r="L1063" s="153"/>
      <c r="M1063" s="153"/>
      <c r="N1063" s="153"/>
      <c r="O1063" s="153"/>
      <c r="P1063" s="153"/>
      <c r="Q1063" s="153"/>
      <c r="R1063" s="153"/>
      <c r="S1063" s="153"/>
      <c r="T1063" s="153"/>
      <c r="U1063" s="153"/>
      <c r="V1063" s="153"/>
      <c r="W1063" s="153"/>
      <c r="X1063" s="153"/>
      <c r="Y1063" s="153"/>
      <c r="Z1063" s="153"/>
      <c r="AA1063" s="153"/>
      <c r="AB1063" s="153"/>
      <c r="AC1063" s="153"/>
      <c r="AD1063" s="153"/>
      <c r="AE1063" s="153"/>
      <c r="AF1063" s="153"/>
      <c r="AG1063" s="153"/>
      <c r="AH1063" s="153"/>
    </row>
    <row r="1064">
      <c r="A1064" s="153"/>
      <c r="B1064" s="156"/>
      <c r="C1064" s="171"/>
      <c r="D1064" s="153"/>
      <c r="E1064" s="153"/>
      <c r="F1064" s="153"/>
      <c r="G1064" s="153"/>
      <c r="H1064" s="153"/>
      <c r="I1064" s="153"/>
      <c r="J1064" s="153"/>
      <c r="K1064" s="153"/>
      <c r="L1064" s="153"/>
      <c r="M1064" s="153"/>
      <c r="N1064" s="153"/>
      <c r="O1064" s="153"/>
      <c r="P1064" s="153"/>
      <c r="Q1064" s="153"/>
      <c r="R1064" s="153"/>
      <c r="S1064" s="153"/>
      <c r="T1064" s="153"/>
      <c r="U1064" s="153"/>
      <c r="V1064" s="153"/>
      <c r="W1064" s="153"/>
      <c r="X1064" s="153"/>
      <c r="Y1064" s="153"/>
      <c r="Z1064" s="153"/>
      <c r="AA1064" s="153"/>
      <c r="AB1064" s="153"/>
      <c r="AC1064" s="153"/>
      <c r="AD1064" s="153"/>
      <c r="AE1064" s="153"/>
      <c r="AF1064" s="153"/>
      <c r="AG1064" s="153"/>
      <c r="AH1064" s="153"/>
    </row>
    <row r="1065">
      <c r="A1065" s="153"/>
      <c r="B1065" s="156"/>
      <c r="C1065" s="171"/>
      <c r="D1065" s="153"/>
      <c r="E1065" s="153"/>
      <c r="F1065" s="153"/>
      <c r="G1065" s="153"/>
      <c r="H1065" s="153"/>
      <c r="I1065" s="153"/>
      <c r="J1065" s="153"/>
      <c r="K1065" s="153"/>
      <c r="L1065" s="153"/>
      <c r="M1065" s="153"/>
      <c r="N1065" s="153"/>
      <c r="O1065" s="153"/>
      <c r="P1065" s="153"/>
      <c r="Q1065" s="153"/>
      <c r="R1065" s="153"/>
      <c r="S1065" s="153"/>
      <c r="T1065" s="153"/>
      <c r="U1065" s="153"/>
      <c r="V1065" s="153"/>
      <c r="W1065" s="153"/>
      <c r="X1065" s="153"/>
      <c r="Y1065" s="153"/>
      <c r="Z1065" s="153"/>
      <c r="AA1065" s="153"/>
      <c r="AB1065" s="153"/>
      <c r="AC1065" s="153"/>
      <c r="AD1065" s="153"/>
      <c r="AE1065" s="153"/>
      <c r="AF1065" s="153"/>
      <c r="AG1065" s="153"/>
      <c r="AH1065" s="153"/>
    </row>
    <row r="1066">
      <c r="A1066" s="153"/>
      <c r="B1066" s="156"/>
      <c r="C1066" s="171"/>
      <c r="D1066" s="153"/>
      <c r="E1066" s="153"/>
      <c r="F1066" s="153"/>
      <c r="G1066" s="153"/>
      <c r="H1066" s="153"/>
      <c r="I1066" s="153"/>
      <c r="J1066" s="153"/>
      <c r="K1066" s="153"/>
      <c r="L1066" s="153"/>
      <c r="M1066" s="153"/>
      <c r="N1066" s="153"/>
      <c r="O1066" s="153"/>
      <c r="P1066" s="153"/>
      <c r="Q1066" s="153"/>
      <c r="R1066" s="153"/>
      <c r="S1066" s="153"/>
      <c r="T1066" s="153"/>
      <c r="U1066" s="153"/>
      <c r="V1066" s="153"/>
      <c r="W1066" s="153"/>
      <c r="X1066" s="153"/>
      <c r="Y1066" s="153"/>
      <c r="Z1066" s="153"/>
      <c r="AA1066" s="153"/>
      <c r="AB1066" s="153"/>
      <c r="AC1066" s="153"/>
      <c r="AD1066" s="153"/>
      <c r="AE1066" s="153"/>
      <c r="AF1066" s="153"/>
      <c r="AG1066" s="153"/>
      <c r="AH1066" s="153"/>
    </row>
    <row r="1067">
      <c r="A1067" s="153"/>
      <c r="B1067" s="156"/>
      <c r="C1067" s="171"/>
      <c r="D1067" s="153"/>
      <c r="E1067" s="153"/>
      <c r="F1067" s="153"/>
      <c r="G1067" s="153"/>
      <c r="H1067" s="153"/>
      <c r="I1067" s="153"/>
      <c r="J1067" s="153"/>
      <c r="K1067" s="153"/>
      <c r="L1067" s="153"/>
      <c r="M1067" s="153"/>
      <c r="N1067" s="153"/>
      <c r="O1067" s="153"/>
      <c r="P1067" s="153"/>
      <c r="Q1067" s="153"/>
      <c r="R1067" s="153"/>
      <c r="S1067" s="153"/>
      <c r="T1067" s="153"/>
      <c r="U1067" s="153"/>
      <c r="V1067" s="153"/>
      <c r="W1067" s="153"/>
      <c r="X1067" s="153"/>
      <c r="Y1067" s="153"/>
      <c r="Z1067" s="153"/>
      <c r="AA1067" s="153"/>
      <c r="AB1067" s="153"/>
      <c r="AC1067" s="153"/>
      <c r="AD1067" s="153"/>
      <c r="AE1067" s="153"/>
      <c r="AF1067" s="153"/>
      <c r="AG1067" s="153"/>
      <c r="AH1067" s="153"/>
    </row>
    <row r="1068">
      <c r="A1068" s="153"/>
      <c r="B1068" s="156"/>
      <c r="C1068" s="171"/>
      <c r="D1068" s="153"/>
      <c r="E1068" s="153"/>
      <c r="F1068" s="153"/>
      <c r="G1068" s="153"/>
      <c r="H1068" s="153"/>
      <c r="I1068" s="153"/>
      <c r="J1068" s="153"/>
      <c r="K1068" s="153"/>
      <c r="L1068" s="153"/>
      <c r="M1068" s="153"/>
      <c r="N1068" s="153"/>
      <c r="O1068" s="153"/>
      <c r="P1068" s="153"/>
      <c r="Q1068" s="153"/>
      <c r="R1068" s="153"/>
      <c r="S1068" s="153"/>
      <c r="T1068" s="153"/>
      <c r="U1068" s="153"/>
      <c r="V1068" s="153"/>
      <c r="W1068" s="153"/>
      <c r="X1068" s="153"/>
      <c r="Y1068" s="153"/>
      <c r="Z1068" s="153"/>
      <c r="AA1068" s="153"/>
      <c r="AB1068" s="153"/>
      <c r="AC1068" s="153"/>
      <c r="AD1068" s="153"/>
      <c r="AE1068" s="153"/>
      <c r="AF1068" s="153"/>
      <c r="AG1068" s="153"/>
      <c r="AH1068" s="153"/>
    </row>
    <row r="1069">
      <c r="A1069" s="153"/>
      <c r="B1069" s="156"/>
      <c r="C1069" s="171"/>
      <c r="D1069" s="153"/>
      <c r="E1069" s="153"/>
      <c r="F1069" s="153"/>
      <c r="G1069" s="153"/>
      <c r="H1069" s="153"/>
      <c r="I1069" s="153"/>
      <c r="J1069" s="153"/>
      <c r="K1069" s="153"/>
      <c r="L1069" s="153"/>
      <c r="M1069" s="153"/>
      <c r="N1069" s="153"/>
      <c r="O1069" s="153"/>
      <c r="P1069" s="153"/>
      <c r="Q1069" s="153"/>
      <c r="R1069" s="153"/>
      <c r="S1069" s="153"/>
      <c r="T1069" s="153"/>
      <c r="U1069" s="153"/>
      <c r="V1069" s="153"/>
      <c r="W1069" s="153"/>
      <c r="X1069" s="153"/>
      <c r="Y1069" s="153"/>
      <c r="Z1069" s="153"/>
      <c r="AA1069" s="153"/>
      <c r="AB1069" s="153"/>
      <c r="AC1069" s="153"/>
      <c r="AD1069" s="153"/>
      <c r="AE1069" s="153"/>
      <c r="AF1069" s="153"/>
      <c r="AG1069" s="153"/>
      <c r="AH1069" s="153"/>
    </row>
    <row r="1070">
      <c r="A1070" s="153"/>
      <c r="B1070" s="156"/>
      <c r="C1070" s="171"/>
      <c r="D1070" s="153"/>
      <c r="E1070" s="153"/>
      <c r="F1070" s="153"/>
      <c r="G1070" s="153"/>
      <c r="H1070" s="153"/>
      <c r="I1070" s="153"/>
      <c r="J1070" s="153"/>
      <c r="K1070" s="153"/>
      <c r="L1070" s="153"/>
      <c r="M1070" s="153"/>
      <c r="N1070" s="153"/>
      <c r="O1070" s="153"/>
      <c r="P1070" s="153"/>
      <c r="Q1070" s="153"/>
      <c r="R1070" s="153"/>
      <c r="S1070" s="153"/>
      <c r="T1070" s="153"/>
      <c r="U1070" s="153"/>
      <c r="V1070" s="153"/>
      <c r="W1070" s="153"/>
      <c r="X1070" s="153"/>
      <c r="Y1070" s="153"/>
      <c r="Z1070" s="153"/>
      <c r="AA1070" s="153"/>
      <c r="AB1070" s="153"/>
      <c r="AC1070" s="153"/>
      <c r="AD1070" s="153"/>
      <c r="AE1070" s="153"/>
      <c r="AF1070" s="153"/>
      <c r="AG1070" s="153"/>
      <c r="AH1070" s="153"/>
    </row>
    <row r="1071">
      <c r="A1071" s="153"/>
      <c r="B1071" s="156"/>
      <c r="C1071" s="171"/>
      <c r="D1071" s="153"/>
      <c r="E1071" s="153"/>
      <c r="F1071" s="153"/>
      <c r="G1071" s="153"/>
      <c r="H1071" s="153"/>
      <c r="I1071" s="153"/>
      <c r="J1071" s="153"/>
      <c r="K1071" s="153"/>
      <c r="L1071" s="153"/>
      <c r="M1071" s="153"/>
      <c r="N1071" s="153"/>
      <c r="O1071" s="153"/>
      <c r="P1071" s="153"/>
      <c r="Q1071" s="153"/>
      <c r="R1071" s="153"/>
      <c r="S1071" s="153"/>
      <c r="T1071" s="153"/>
      <c r="U1071" s="153"/>
      <c r="V1071" s="153"/>
      <c r="W1071" s="153"/>
      <c r="X1071" s="153"/>
      <c r="Y1071" s="153"/>
      <c r="Z1071" s="153"/>
      <c r="AA1071" s="153"/>
      <c r="AB1071" s="153"/>
      <c r="AC1071" s="153"/>
      <c r="AD1071" s="153"/>
      <c r="AE1071" s="153"/>
      <c r="AF1071" s="153"/>
      <c r="AG1071" s="153"/>
      <c r="AH1071" s="153"/>
    </row>
    <row r="1072">
      <c r="A1072" s="153"/>
      <c r="B1072" s="156"/>
      <c r="C1072" s="171"/>
      <c r="D1072" s="153"/>
      <c r="E1072" s="153"/>
      <c r="F1072" s="153"/>
      <c r="G1072" s="153"/>
      <c r="H1072" s="153"/>
      <c r="I1072" s="153"/>
      <c r="J1072" s="153"/>
      <c r="K1072" s="153"/>
      <c r="L1072" s="153"/>
      <c r="M1072" s="153"/>
      <c r="N1072" s="153"/>
      <c r="O1072" s="153"/>
      <c r="P1072" s="153"/>
      <c r="Q1072" s="153"/>
      <c r="R1072" s="153"/>
      <c r="S1072" s="153"/>
      <c r="T1072" s="153"/>
      <c r="U1072" s="153"/>
      <c r="V1072" s="153"/>
      <c r="W1072" s="153"/>
      <c r="X1072" s="153"/>
      <c r="Y1072" s="153"/>
      <c r="Z1072" s="153"/>
      <c r="AA1072" s="153"/>
      <c r="AB1072" s="153"/>
      <c r="AC1072" s="153"/>
      <c r="AD1072" s="153"/>
      <c r="AE1072" s="153"/>
      <c r="AF1072" s="153"/>
      <c r="AG1072" s="153"/>
      <c r="AH1072" s="153"/>
    </row>
    <row r="1073">
      <c r="A1073" s="153"/>
      <c r="B1073" s="156"/>
      <c r="C1073" s="171"/>
      <c r="D1073" s="153"/>
      <c r="E1073" s="153"/>
      <c r="F1073" s="153"/>
      <c r="G1073" s="153"/>
      <c r="H1073" s="153"/>
      <c r="I1073" s="153"/>
      <c r="J1073" s="153"/>
      <c r="K1073" s="153"/>
      <c r="L1073" s="153"/>
      <c r="M1073" s="153"/>
      <c r="N1073" s="153"/>
      <c r="O1073" s="153"/>
      <c r="P1073" s="153"/>
      <c r="Q1073" s="153"/>
      <c r="R1073" s="153"/>
      <c r="S1073" s="153"/>
      <c r="T1073" s="153"/>
      <c r="U1073" s="153"/>
      <c r="V1073" s="153"/>
      <c r="W1073" s="153"/>
      <c r="X1073" s="153"/>
      <c r="Y1073" s="153"/>
      <c r="Z1073" s="153"/>
      <c r="AA1073" s="153"/>
      <c r="AB1073" s="153"/>
      <c r="AC1073" s="153"/>
      <c r="AD1073" s="153"/>
      <c r="AE1073" s="153"/>
      <c r="AF1073" s="153"/>
      <c r="AG1073" s="153"/>
      <c r="AH1073" s="153"/>
    </row>
    <row r="1074">
      <c r="A1074" s="153"/>
      <c r="B1074" s="156"/>
      <c r="C1074" s="171"/>
      <c r="D1074" s="153"/>
      <c r="E1074" s="153"/>
      <c r="F1074" s="153"/>
      <c r="G1074" s="153"/>
      <c r="H1074" s="153"/>
      <c r="I1074" s="153"/>
      <c r="J1074" s="153"/>
      <c r="K1074" s="153"/>
      <c r="L1074" s="153"/>
      <c r="M1074" s="153"/>
      <c r="N1074" s="153"/>
      <c r="O1074" s="153"/>
      <c r="P1074" s="153"/>
      <c r="Q1074" s="153"/>
      <c r="R1074" s="153"/>
      <c r="S1074" s="153"/>
      <c r="T1074" s="153"/>
      <c r="U1074" s="153"/>
      <c r="V1074" s="153"/>
      <c r="W1074" s="153"/>
      <c r="X1074" s="153"/>
      <c r="Y1074" s="153"/>
      <c r="Z1074" s="153"/>
      <c r="AA1074" s="153"/>
      <c r="AB1074" s="153"/>
      <c r="AC1074" s="153"/>
      <c r="AD1074" s="153"/>
      <c r="AE1074" s="153"/>
      <c r="AF1074" s="153"/>
      <c r="AG1074" s="153"/>
      <c r="AH1074" s="153"/>
    </row>
    <row r="1075">
      <c r="A1075" s="153"/>
      <c r="B1075" s="156"/>
      <c r="C1075" s="171"/>
      <c r="D1075" s="153"/>
      <c r="E1075" s="153"/>
      <c r="F1075" s="153"/>
      <c r="G1075" s="153"/>
      <c r="H1075" s="153"/>
      <c r="I1075" s="153"/>
      <c r="J1075" s="153"/>
      <c r="K1075" s="153"/>
      <c r="L1075" s="153"/>
      <c r="M1075" s="153"/>
      <c r="N1075" s="153"/>
      <c r="O1075" s="153"/>
      <c r="P1075" s="153"/>
      <c r="Q1075" s="153"/>
      <c r="R1075" s="153"/>
      <c r="S1075" s="153"/>
      <c r="T1075" s="153"/>
      <c r="U1075" s="153"/>
      <c r="V1075" s="153"/>
      <c r="W1075" s="153"/>
      <c r="X1075" s="153"/>
      <c r="Y1075" s="153"/>
      <c r="Z1075" s="153"/>
      <c r="AA1075" s="153"/>
      <c r="AB1075" s="153"/>
      <c r="AC1075" s="153"/>
      <c r="AD1075" s="153"/>
      <c r="AE1075" s="153"/>
      <c r="AF1075" s="153"/>
      <c r="AG1075" s="153"/>
      <c r="AH1075" s="153"/>
    </row>
    <row r="1076">
      <c r="A1076" s="153"/>
      <c r="B1076" s="156"/>
      <c r="C1076" s="171"/>
      <c r="D1076" s="153"/>
      <c r="E1076" s="153"/>
      <c r="F1076" s="153"/>
      <c r="G1076" s="153"/>
      <c r="H1076" s="153"/>
      <c r="I1076" s="153"/>
      <c r="J1076" s="153"/>
      <c r="K1076" s="153"/>
      <c r="L1076" s="153"/>
      <c r="M1076" s="153"/>
      <c r="N1076" s="153"/>
      <c r="O1076" s="153"/>
      <c r="P1076" s="153"/>
      <c r="Q1076" s="153"/>
      <c r="R1076" s="153"/>
      <c r="S1076" s="153"/>
      <c r="T1076" s="153"/>
      <c r="U1076" s="153"/>
      <c r="V1076" s="153"/>
      <c r="W1076" s="153"/>
      <c r="X1076" s="153"/>
      <c r="Y1076" s="153"/>
      <c r="Z1076" s="153"/>
      <c r="AA1076" s="153"/>
      <c r="AB1076" s="153"/>
      <c r="AC1076" s="153"/>
      <c r="AD1076" s="153"/>
      <c r="AE1076" s="153"/>
      <c r="AF1076" s="153"/>
      <c r="AG1076" s="153"/>
      <c r="AH1076" s="153"/>
    </row>
    <row r="1077">
      <c r="A1077" s="153"/>
      <c r="B1077" s="156"/>
      <c r="C1077" s="171"/>
      <c r="D1077" s="153"/>
      <c r="E1077" s="153"/>
      <c r="F1077" s="153"/>
      <c r="G1077" s="153"/>
      <c r="H1077" s="153"/>
      <c r="I1077" s="153"/>
      <c r="J1077" s="153"/>
      <c r="K1077" s="153"/>
      <c r="L1077" s="153"/>
      <c r="M1077" s="153"/>
      <c r="N1077" s="153"/>
      <c r="O1077" s="153"/>
      <c r="P1077" s="153"/>
      <c r="Q1077" s="153"/>
      <c r="R1077" s="153"/>
      <c r="S1077" s="153"/>
      <c r="T1077" s="153"/>
      <c r="U1077" s="153"/>
      <c r="V1077" s="153"/>
      <c r="W1077" s="153"/>
      <c r="X1077" s="153"/>
      <c r="Y1077" s="153"/>
      <c r="Z1077" s="153"/>
      <c r="AA1077" s="153"/>
      <c r="AB1077" s="153"/>
      <c r="AC1077" s="153"/>
      <c r="AD1077" s="153"/>
      <c r="AE1077" s="153"/>
      <c r="AF1077" s="153"/>
      <c r="AG1077" s="153"/>
      <c r="AH1077" s="153"/>
    </row>
    <row r="1078">
      <c r="A1078" s="153"/>
      <c r="B1078" s="156"/>
      <c r="C1078" s="171"/>
      <c r="D1078" s="153"/>
      <c r="E1078" s="153"/>
      <c r="F1078" s="153"/>
      <c r="G1078" s="153"/>
      <c r="H1078" s="153"/>
      <c r="I1078" s="153"/>
      <c r="J1078" s="153"/>
      <c r="K1078" s="153"/>
      <c r="L1078" s="153"/>
      <c r="M1078" s="153"/>
      <c r="N1078" s="153"/>
      <c r="O1078" s="153"/>
      <c r="P1078" s="153"/>
      <c r="Q1078" s="153"/>
      <c r="R1078" s="153"/>
      <c r="S1078" s="153"/>
      <c r="T1078" s="153"/>
      <c r="U1078" s="153"/>
      <c r="V1078" s="153"/>
      <c r="W1078" s="153"/>
      <c r="X1078" s="153"/>
      <c r="Y1078" s="153"/>
      <c r="Z1078" s="153"/>
      <c r="AA1078" s="153"/>
      <c r="AB1078" s="153"/>
      <c r="AC1078" s="153"/>
      <c r="AD1078" s="153"/>
      <c r="AE1078" s="153"/>
      <c r="AF1078" s="153"/>
      <c r="AG1078" s="153"/>
      <c r="AH1078" s="153"/>
    </row>
    <row r="1079">
      <c r="A1079" s="153"/>
      <c r="B1079" s="156"/>
      <c r="C1079" s="171"/>
      <c r="D1079" s="153"/>
      <c r="E1079" s="153"/>
      <c r="F1079" s="153"/>
      <c r="G1079" s="153"/>
      <c r="H1079" s="153"/>
      <c r="I1079" s="153"/>
      <c r="J1079" s="153"/>
      <c r="K1079" s="153"/>
      <c r="L1079" s="153"/>
      <c r="M1079" s="153"/>
      <c r="N1079" s="153"/>
      <c r="O1079" s="153"/>
      <c r="P1079" s="153"/>
      <c r="Q1079" s="153"/>
      <c r="R1079" s="153"/>
      <c r="S1079" s="153"/>
      <c r="T1079" s="153"/>
      <c r="U1079" s="153"/>
      <c r="V1079" s="153"/>
      <c r="W1079" s="153"/>
      <c r="X1079" s="153"/>
      <c r="Y1079" s="153"/>
      <c r="Z1079" s="153"/>
      <c r="AA1079" s="153"/>
      <c r="AB1079" s="153"/>
      <c r="AC1079" s="153"/>
      <c r="AD1079" s="153"/>
      <c r="AE1079" s="153"/>
      <c r="AF1079" s="153"/>
      <c r="AG1079" s="153"/>
      <c r="AH1079" s="153"/>
    </row>
    <row r="1080">
      <c r="A1080" s="153"/>
      <c r="B1080" s="156"/>
      <c r="C1080" s="171"/>
      <c r="D1080" s="153"/>
      <c r="E1080" s="153"/>
      <c r="F1080" s="153"/>
      <c r="G1080" s="153"/>
      <c r="H1080" s="153"/>
      <c r="I1080" s="153"/>
      <c r="J1080" s="153"/>
      <c r="K1080" s="153"/>
      <c r="L1080" s="153"/>
      <c r="M1080" s="153"/>
      <c r="N1080" s="153"/>
      <c r="O1080" s="153"/>
      <c r="P1080" s="153"/>
      <c r="Q1080" s="153"/>
      <c r="R1080" s="153"/>
      <c r="S1080" s="153"/>
      <c r="T1080" s="153"/>
      <c r="U1080" s="153"/>
      <c r="V1080" s="153"/>
      <c r="W1080" s="153"/>
      <c r="X1080" s="153"/>
      <c r="Y1080" s="153"/>
      <c r="Z1080" s="153"/>
      <c r="AA1080" s="153"/>
      <c r="AB1080" s="153"/>
      <c r="AC1080" s="153"/>
      <c r="AD1080" s="153"/>
      <c r="AE1080" s="153"/>
      <c r="AF1080" s="153"/>
      <c r="AG1080" s="153"/>
      <c r="AH1080" s="153"/>
    </row>
    <row r="1081">
      <c r="A1081" s="153"/>
      <c r="B1081" s="156"/>
      <c r="C1081" s="171"/>
      <c r="D1081" s="153"/>
      <c r="E1081" s="153"/>
      <c r="F1081" s="153"/>
      <c r="G1081" s="153"/>
      <c r="H1081" s="153"/>
      <c r="I1081" s="153"/>
      <c r="J1081" s="153"/>
      <c r="K1081" s="153"/>
      <c r="L1081" s="153"/>
      <c r="M1081" s="153"/>
      <c r="N1081" s="153"/>
      <c r="O1081" s="153"/>
      <c r="P1081" s="153"/>
      <c r="Q1081" s="153"/>
      <c r="R1081" s="153"/>
      <c r="S1081" s="153"/>
      <c r="T1081" s="153"/>
      <c r="U1081" s="153"/>
      <c r="V1081" s="153"/>
      <c r="W1081" s="153"/>
      <c r="X1081" s="153"/>
      <c r="Y1081" s="153"/>
      <c r="Z1081" s="153"/>
      <c r="AA1081" s="153"/>
      <c r="AB1081" s="153"/>
      <c r="AC1081" s="153"/>
      <c r="AD1081" s="153"/>
      <c r="AE1081" s="153"/>
      <c r="AF1081" s="153"/>
      <c r="AG1081" s="153"/>
      <c r="AH1081" s="153"/>
    </row>
    <row r="1082">
      <c r="A1082" s="153"/>
      <c r="B1082" s="156"/>
      <c r="C1082" s="171"/>
      <c r="D1082" s="153"/>
      <c r="E1082" s="153"/>
      <c r="F1082" s="153"/>
      <c r="G1082" s="153"/>
      <c r="H1082" s="153"/>
      <c r="I1082" s="153"/>
      <c r="J1082" s="153"/>
      <c r="K1082" s="153"/>
      <c r="L1082" s="153"/>
      <c r="M1082" s="153"/>
      <c r="N1082" s="153"/>
      <c r="O1082" s="153"/>
      <c r="P1082" s="153"/>
      <c r="Q1082" s="153"/>
      <c r="R1082" s="153"/>
      <c r="S1082" s="153"/>
      <c r="T1082" s="153"/>
      <c r="U1082" s="153"/>
      <c r="V1082" s="153"/>
      <c r="W1082" s="153"/>
      <c r="X1082" s="153"/>
      <c r="Y1082" s="153"/>
      <c r="Z1082" s="153"/>
      <c r="AA1082" s="153"/>
      <c r="AB1082" s="153"/>
      <c r="AC1082" s="153"/>
      <c r="AD1082" s="153"/>
      <c r="AE1082" s="153"/>
      <c r="AF1082" s="153"/>
      <c r="AG1082" s="153"/>
      <c r="AH1082" s="153"/>
    </row>
    <row r="1083">
      <c r="A1083" s="153"/>
      <c r="B1083" s="156"/>
      <c r="C1083" s="171"/>
      <c r="D1083" s="153"/>
      <c r="E1083" s="153"/>
      <c r="F1083" s="153"/>
      <c r="G1083" s="153"/>
      <c r="H1083" s="153"/>
      <c r="I1083" s="153"/>
      <c r="J1083" s="153"/>
      <c r="K1083" s="153"/>
      <c r="L1083" s="153"/>
      <c r="M1083" s="153"/>
      <c r="N1083" s="153"/>
      <c r="O1083" s="153"/>
      <c r="P1083" s="153"/>
      <c r="Q1083" s="153"/>
      <c r="R1083" s="153"/>
      <c r="S1083" s="153"/>
      <c r="T1083" s="153"/>
      <c r="U1083" s="153"/>
      <c r="V1083" s="153"/>
      <c r="W1083" s="153"/>
      <c r="X1083" s="153"/>
      <c r="Y1083" s="153"/>
      <c r="Z1083" s="153"/>
      <c r="AA1083" s="153"/>
      <c r="AB1083" s="153"/>
      <c r="AC1083" s="153"/>
      <c r="AD1083" s="153"/>
      <c r="AE1083" s="153"/>
      <c r="AF1083" s="153"/>
      <c r="AG1083" s="153"/>
      <c r="AH1083" s="153"/>
    </row>
    <row r="1084">
      <c r="A1084" s="153"/>
      <c r="B1084" s="156"/>
      <c r="C1084" s="171"/>
      <c r="D1084" s="153"/>
      <c r="E1084" s="153"/>
      <c r="F1084" s="153"/>
      <c r="G1084" s="153"/>
      <c r="H1084" s="153"/>
      <c r="I1084" s="153"/>
      <c r="J1084" s="153"/>
      <c r="K1084" s="153"/>
      <c r="L1084" s="153"/>
      <c r="M1084" s="153"/>
      <c r="N1084" s="153"/>
      <c r="O1084" s="153"/>
      <c r="P1084" s="153"/>
      <c r="Q1084" s="153"/>
      <c r="R1084" s="153"/>
      <c r="S1084" s="153"/>
      <c r="T1084" s="153"/>
      <c r="U1084" s="153"/>
      <c r="V1084" s="153"/>
      <c r="W1084" s="153"/>
      <c r="X1084" s="153"/>
      <c r="Y1084" s="153"/>
      <c r="Z1084" s="153"/>
      <c r="AA1084" s="153"/>
      <c r="AB1084" s="153"/>
      <c r="AC1084" s="153"/>
      <c r="AD1084" s="153"/>
      <c r="AE1084" s="153"/>
      <c r="AF1084" s="153"/>
      <c r="AG1084" s="153"/>
      <c r="AH1084" s="153"/>
    </row>
    <row r="1085">
      <c r="A1085" s="153"/>
      <c r="B1085" s="156"/>
      <c r="C1085" s="171"/>
      <c r="D1085" s="153"/>
      <c r="E1085" s="153"/>
      <c r="F1085" s="153"/>
      <c r="G1085" s="153"/>
      <c r="H1085" s="153"/>
      <c r="I1085" s="153"/>
      <c r="J1085" s="153"/>
      <c r="K1085" s="153"/>
      <c r="L1085" s="153"/>
      <c r="M1085" s="153"/>
      <c r="N1085" s="153"/>
      <c r="O1085" s="153"/>
      <c r="P1085" s="153"/>
      <c r="Q1085" s="153"/>
      <c r="R1085" s="153"/>
      <c r="S1085" s="153"/>
      <c r="T1085" s="153"/>
      <c r="U1085" s="153"/>
      <c r="V1085" s="153"/>
      <c r="W1085" s="153"/>
      <c r="X1085" s="153"/>
      <c r="Y1085" s="153"/>
      <c r="Z1085" s="153"/>
      <c r="AA1085" s="153"/>
      <c r="AB1085" s="153"/>
      <c r="AC1085" s="153"/>
      <c r="AD1085" s="153"/>
      <c r="AE1085" s="153"/>
      <c r="AF1085" s="153"/>
      <c r="AG1085" s="153"/>
      <c r="AH1085" s="153"/>
    </row>
    <row r="1086">
      <c r="A1086" s="153"/>
      <c r="B1086" s="156"/>
      <c r="C1086" s="171"/>
      <c r="D1086" s="153"/>
      <c r="E1086" s="153"/>
      <c r="F1086" s="153"/>
      <c r="G1086" s="153"/>
      <c r="H1086" s="153"/>
      <c r="I1086" s="153"/>
      <c r="J1086" s="153"/>
      <c r="K1086" s="153"/>
      <c r="L1086" s="153"/>
      <c r="M1086" s="153"/>
      <c r="N1086" s="153"/>
      <c r="O1086" s="153"/>
      <c r="P1086" s="153"/>
      <c r="Q1086" s="153"/>
      <c r="R1086" s="153"/>
      <c r="S1086" s="153"/>
      <c r="T1086" s="153"/>
      <c r="U1086" s="153"/>
      <c r="V1086" s="153"/>
      <c r="W1086" s="153"/>
      <c r="X1086" s="153"/>
      <c r="Y1086" s="153"/>
      <c r="Z1086" s="153"/>
      <c r="AA1086" s="153"/>
      <c r="AB1086" s="153"/>
      <c r="AC1086" s="153"/>
      <c r="AD1086" s="153"/>
      <c r="AE1086" s="153"/>
      <c r="AF1086" s="153"/>
      <c r="AG1086" s="153"/>
      <c r="AH1086" s="153"/>
    </row>
    <row r="1087">
      <c r="A1087" s="153"/>
      <c r="B1087" s="156"/>
      <c r="C1087" s="171"/>
      <c r="D1087" s="153"/>
      <c r="E1087" s="153"/>
      <c r="F1087" s="153"/>
      <c r="G1087" s="153"/>
      <c r="H1087" s="153"/>
      <c r="I1087" s="153"/>
      <c r="J1087" s="153"/>
      <c r="K1087" s="153"/>
      <c r="L1087" s="153"/>
      <c r="M1087" s="153"/>
      <c r="N1087" s="153"/>
      <c r="O1087" s="153"/>
      <c r="P1087" s="153"/>
      <c r="Q1087" s="153"/>
      <c r="R1087" s="153"/>
      <c r="S1087" s="153"/>
      <c r="T1087" s="153"/>
      <c r="U1087" s="153"/>
      <c r="V1087" s="153"/>
      <c r="W1087" s="153"/>
      <c r="X1087" s="153"/>
      <c r="Y1087" s="153"/>
      <c r="Z1087" s="153"/>
      <c r="AA1087" s="153"/>
      <c r="AB1087" s="153"/>
      <c r="AC1087" s="153"/>
      <c r="AD1087" s="153"/>
      <c r="AE1087" s="153"/>
      <c r="AF1087" s="153"/>
      <c r="AG1087" s="153"/>
      <c r="AH1087" s="153"/>
    </row>
    <row r="1088">
      <c r="A1088" s="153"/>
      <c r="B1088" s="156"/>
      <c r="C1088" s="171"/>
      <c r="D1088" s="153"/>
      <c r="E1088" s="153"/>
      <c r="F1088" s="153"/>
      <c r="G1088" s="153"/>
      <c r="H1088" s="153"/>
      <c r="I1088" s="153"/>
      <c r="J1088" s="153"/>
      <c r="K1088" s="153"/>
      <c r="L1088" s="153"/>
      <c r="M1088" s="153"/>
      <c r="N1088" s="153"/>
      <c r="O1088" s="153"/>
      <c r="P1088" s="153"/>
      <c r="Q1088" s="153"/>
      <c r="R1088" s="153"/>
      <c r="S1088" s="153"/>
      <c r="T1088" s="153"/>
      <c r="U1088" s="153"/>
      <c r="V1088" s="153"/>
      <c r="W1088" s="153"/>
      <c r="X1088" s="153"/>
      <c r="Y1088" s="153"/>
      <c r="Z1088" s="153"/>
      <c r="AA1088" s="153"/>
      <c r="AB1088" s="153"/>
      <c r="AC1088" s="153"/>
      <c r="AD1088" s="153"/>
      <c r="AE1088" s="153"/>
      <c r="AF1088" s="153"/>
      <c r="AG1088" s="153"/>
      <c r="AH1088" s="153"/>
    </row>
    <row r="1089">
      <c r="A1089" s="153"/>
      <c r="B1089" s="156"/>
      <c r="C1089" s="171"/>
      <c r="D1089" s="153"/>
      <c r="E1089" s="153"/>
      <c r="F1089" s="153"/>
      <c r="G1089" s="153"/>
      <c r="H1089" s="153"/>
      <c r="I1089" s="153"/>
      <c r="J1089" s="153"/>
      <c r="K1089" s="153"/>
      <c r="L1089" s="153"/>
      <c r="M1089" s="153"/>
      <c r="N1089" s="153"/>
      <c r="O1089" s="153"/>
      <c r="P1089" s="153"/>
      <c r="Q1089" s="153"/>
      <c r="R1089" s="153"/>
      <c r="S1089" s="153"/>
      <c r="T1089" s="153"/>
      <c r="U1089" s="153"/>
      <c r="V1089" s="153"/>
      <c r="W1089" s="153"/>
      <c r="X1089" s="153"/>
      <c r="Y1089" s="153"/>
      <c r="Z1089" s="153"/>
      <c r="AA1089" s="153"/>
      <c r="AB1089" s="153"/>
      <c r="AC1089" s="153"/>
      <c r="AD1089" s="153"/>
      <c r="AE1089" s="153"/>
      <c r="AF1089" s="153"/>
      <c r="AG1089" s="153"/>
      <c r="AH1089" s="153"/>
    </row>
    <row r="1090">
      <c r="A1090" s="153"/>
      <c r="B1090" s="156"/>
      <c r="C1090" s="171"/>
      <c r="D1090" s="153"/>
      <c r="E1090" s="153"/>
      <c r="F1090" s="153"/>
      <c r="G1090" s="153"/>
      <c r="H1090" s="153"/>
      <c r="I1090" s="153"/>
      <c r="J1090" s="153"/>
      <c r="K1090" s="153"/>
      <c r="L1090" s="153"/>
      <c r="M1090" s="153"/>
      <c r="N1090" s="153"/>
      <c r="O1090" s="153"/>
      <c r="P1090" s="153"/>
      <c r="Q1090" s="153"/>
      <c r="R1090" s="153"/>
      <c r="S1090" s="153"/>
      <c r="T1090" s="153"/>
      <c r="U1090" s="153"/>
      <c r="V1090" s="153"/>
      <c r="W1090" s="153"/>
      <c r="X1090" s="153"/>
      <c r="Y1090" s="153"/>
      <c r="Z1090" s="153"/>
      <c r="AA1090" s="153"/>
      <c r="AB1090" s="153"/>
      <c r="AC1090" s="153"/>
      <c r="AD1090" s="153"/>
      <c r="AE1090" s="153"/>
      <c r="AF1090" s="153"/>
      <c r="AG1090" s="153"/>
      <c r="AH1090" s="153"/>
    </row>
    <row r="1091">
      <c r="A1091" s="153"/>
      <c r="B1091" s="156"/>
      <c r="C1091" s="171"/>
      <c r="D1091" s="153"/>
      <c r="E1091" s="153"/>
      <c r="F1091" s="153"/>
      <c r="G1091" s="153"/>
      <c r="H1091" s="153"/>
      <c r="I1091" s="153"/>
      <c r="J1091" s="153"/>
      <c r="K1091" s="153"/>
      <c r="L1091" s="153"/>
      <c r="M1091" s="153"/>
      <c r="N1091" s="153"/>
      <c r="O1091" s="153"/>
      <c r="P1091" s="153"/>
      <c r="Q1091" s="153"/>
      <c r="R1091" s="153"/>
      <c r="S1091" s="153"/>
      <c r="T1091" s="153"/>
      <c r="U1091" s="153"/>
      <c r="V1091" s="153"/>
      <c r="W1091" s="153"/>
      <c r="X1091" s="153"/>
      <c r="Y1091" s="153"/>
      <c r="Z1091" s="153"/>
      <c r="AA1091" s="153"/>
      <c r="AB1091" s="153"/>
      <c r="AC1091" s="153"/>
      <c r="AD1091" s="153"/>
      <c r="AE1091" s="153"/>
      <c r="AF1091" s="153"/>
      <c r="AG1091" s="153"/>
      <c r="AH1091" s="153"/>
    </row>
    <row r="1092">
      <c r="A1092" s="153"/>
      <c r="B1092" s="156"/>
      <c r="C1092" s="171"/>
      <c r="D1092" s="153"/>
      <c r="E1092" s="153"/>
      <c r="F1092" s="153"/>
      <c r="G1092" s="153"/>
      <c r="H1092" s="153"/>
      <c r="I1092" s="153"/>
      <c r="J1092" s="153"/>
      <c r="K1092" s="153"/>
      <c r="L1092" s="153"/>
      <c r="M1092" s="153"/>
      <c r="N1092" s="153"/>
      <c r="O1092" s="153"/>
      <c r="P1092" s="153"/>
      <c r="Q1092" s="153"/>
      <c r="R1092" s="153"/>
      <c r="S1092" s="153"/>
      <c r="T1092" s="153"/>
      <c r="U1092" s="153"/>
      <c r="V1092" s="153"/>
      <c r="W1092" s="153"/>
      <c r="X1092" s="153"/>
      <c r="Y1092" s="153"/>
      <c r="Z1092" s="153"/>
      <c r="AA1092" s="153"/>
      <c r="AB1092" s="153"/>
      <c r="AC1092" s="153"/>
      <c r="AD1092" s="153"/>
      <c r="AE1092" s="153"/>
      <c r="AF1092" s="153"/>
      <c r="AG1092" s="153"/>
      <c r="AH1092" s="153"/>
    </row>
    <row r="1093">
      <c r="A1093" s="153"/>
      <c r="B1093" s="156"/>
      <c r="C1093" s="171"/>
      <c r="D1093" s="153"/>
      <c r="E1093" s="153"/>
      <c r="F1093" s="153"/>
      <c r="G1093" s="153"/>
      <c r="H1093" s="153"/>
      <c r="I1093" s="153"/>
      <c r="J1093" s="153"/>
      <c r="K1093" s="153"/>
      <c r="L1093" s="153"/>
      <c r="M1093" s="153"/>
      <c r="N1093" s="153"/>
      <c r="O1093" s="153"/>
      <c r="P1093" s="153"/>
      <c r="Q1093" s="153"/>
      <c r="R1093" s="153"/>
      <c r="S1093" s="153"/>
      <c r="T1093" s="153"/>
      <c r="U1093" s="153"/>
      <c r="V1093" s="153"/>
      <c r="W1093" s="153"/>
      <c r="X1093" s="153"/>
      <c r="Y1093" s="153"/>
      <c r="Z1093" s="153"/>
      <c r="AA1093" s="153"/>
      <c r="AB1093" s="153"/>
      <c r="AC1093" s="153"/>
      <c r="AD1093" s="153"/>
      <c r="AE1093" s="153"/>
      <c r="AF1093" s="153"/>
      <c r="AG1093" s="153"/>
      <c r="AH1093" s="153"/>
    </row>
    <row r="1094">
      <c r="A1094" s="153"/>
      <c r="B1094" s="156"/>
      <c r="C1094" s="171"/>
      <c r="D1094" s="153"/>
      <c r="E1094" s="153"/>
      <c r="F1094" s="153"/>
      <c r="G1094" s="153"/>
      <c r="H1094" s="153"/>
      <c r="I1094" s="153"/>
      <c r="J1094" s="153"/>
      <c r="K1094" s="153"/>
      <c r="L1094" s="153"/>
      <c r="M1094" s="153"/>
      <c r="N1094" s="153"/>
      <c r="O1094" s="153"/>
      <c r="P1094" s="153"/>
      <c r="Q1094" s="153"/>
      <c r="R1094" s="153"/>
      <c r="S1094" s="153"/>
      <c r="T1094" s="153"/>
      <c r="U1094" s="153"/>
      <c r="V1094" s="153"/>
      <c r="W1094" s="153"/>
      <c r="X1094" s="153"/>
      <c r="Y1094" s="153"/>
      <c r="Z1094" s="153"/>
      <c r="AA1094" s="153"/>
      <c r="AB1094" s="153"/>
      <c r="AC1094" s="153"/>
      <c r="AD1094" s="153"/>
      <c r="AE1094" s="153"/>
      <c r="AF1094" s="153"/>
      <c r="AG1094" s="153"/>
      <c r="AH1094" s="153"/>
    </row>
    <row r="1095">
      <c r="A1095" s="153"/>
      <c r="B1095" s="156"/>
      <c r="C1095" s="171"/>
      <c r="D1095" s="153"/>
      <c r="E1095" s="153"/>
      <c r="F1095" s="153"/>
      <c r="G1095" s="153"/>
      <c r="H1095" s="153"/>
      <c r="I1095" s="153"/>
      <c r="J1095" s="153"/>
      <c r="K1095" s="153"/>
      <c r="L1095" s="153"/>
      <c r="M1095" s="153"/>
      <c r="N1095" s="153"/>
      <c r="O1095" s="153"/>
      <c r="P1095" s="153"/>
      <c r="Q1095" s="153"/>
      <c r="R1095" s="153"/>
      <c r="S1095" s="153"/>
      <c r="T1095" s="153"/>
      <c r="U1095" s="153"/>
      <c r="V1095" s="153"/>
      <c r="W1095" s="153"/>
      <c r="X1095" s="153"/>
      <c r="Y1095" s="153"/>
      <c r="Z1095" s="153"/>
      <c r="AA1095" s="153"/>
      <c r="AB1095" s="153"/>
      <c r="AC1095" s="153"/>
      <c r="AD1095" s="153"/>
      <c r="AE1095" s="153"/>
      <c r="AF1095" s="153"/>
      <c r="AG1095" s="153"/>
      <c r="AH1095" s="153"/>
    </row>
    <row r="1096">
      <c r="A1096" s="153"/>
      <c r="B1096" s="156"/>
      <c r="C1096" s="171"/>
      <c r="D1096" s="153"/>
      <c r="E1096" s="153"/>
      <c r="F1096" s="153"/>
      <c r="G1096" s="153"/>
      <c r="H1096" s="153"/>
      <c r="I1096" s="153"/>
      <c r="J1096" s="153"/>
      <c r="K1096" s="153"/>
      <c r="L1096" s="153"/>
      <c r="M1096" s="153"/>
      <c r="N1096" s="153"/>
      <c r="O1096" s="153"/>
      <c r="P1096" s="153"/>
      <c r="Q1096" s="153"/>
      <c r="R1096" s="153"/>
      <c r="S1096" s="153"/>
      <c r="T1096" s="153"/>
      <c r="U1096" s="153"/>
      <c r="V1096" s="153"/>
      <c r="W1096" s="153"/>
      <c r="X1096" s="153"/>
      <c r="Y1096" s="153"/>
      <c r="Z1096" s="153"/>
      <c r="AA1096" s="153"/>
      <c r="AB1096" s="153"/>
      <c r="AC1096" s="153"/>
      <c r="AD1096" s="153"/>
      <c r="AE1096" s="153"/>
      <c r="AF1096" s="153"/>
      <c r="AG1096" s="153"/>
      <c r="AH1096" s="153"/>
    </row>
    <row r="1097">
      <c r="A1097" s="153"/>
      <c r="B1097" s="156"/>
      <c r="C1097" s="171"/>
      <c r="D1097" s="153"/>
      <c r="E1097" s="153"/>
      <c r="F1097" s="153"/>
      <c r="G1097" s="153"/>
      <c r="H1097" s="153"/>
      <c r="I1097" s="153"/>
      <c r="J1097" s="153"/>
      <c r="K1097" s="153"/>
      <c r="L1097" s="153"/>
      <c r="M1097" s="153"/>
      <c r="N1097" s="153"/>
      <c r="O1097" s="153"/>
      <c r="P1097" s="153"/>
      <c r="Q1097" s="153"/>
      <c r="R1097" s="153"/>
      <c r="S1097" s="153"/>
      <c r="T1097" s="153"/>
      <c r="U1097" s="153"/>
      <c r="V1097" s="153"/>
      <c r="W1097" s="153"/>
      <c r="X1097" s="153"/>
      <c r="Y1097" s="153"/>
      <c r="Z1097" s="153"/>
      <c r="AA1097" s="153"/>
      <c r="AB1097" s="153"/>
      <c r="AC1097" s="153"/>
      <c r="AD1097" s="153"/>
      <c r="AE1097" s="153"/>
      <c r="AF1097" s="153"/>
      <c r="AG1097" s="153"/>
      <c r="AH1097" s="153"/>
    </row>
    <row r="1098">
      <c r="A1098" s="153"/>
      <c r="B1098" s="156"/>
      <c r="C1098" s="171"/>
      <c r="D1098" s="153"/>
      <c r="E1098" s="153"/>
      <c r="F1098" s="153"/>
      <c r="G1098" s="153"/>
      <c r="H1098" s="153"/>
      <c r="I1098" s="153"/>
      <c r="J1098" s="153"/>
      <c r="K1098" s="153"/>
      <c r="L1098" s="153"/>
      <c r="M1098" s="153"/>
      <c r="N1098" s="153"/>
      <c r="O1098" s="153"/>
      <c r="P1098" s="153"/>
      <c r="Q1098" s="153"/>
      <c r="R1098" s="153"/>
      <c r="S1098" s="153"/>
      <c r="T1098" s="153"/>
      <c r="U1098" s="153"/>
      <c r="V1098" s="153"/>
      <c r="W1098" s="153"/>
      <c r="X1098" s="153"/>
      <c r="Y1098" s="153"/>
      <c r="Z1098" s="153"/>
      <c r="AA1098" s="153"/>
      <c r="AB1098" s="153"/>
      <c r="AC1098" s="153"/>
      <c r="AD1098" s="153"/>
      <c r="AE1098" s="153"/>
      <c r="AF1098" s="153"/>
      <c r="AG1098" s="153"/>
      <c r="AH1098" s="153"/>
    </row>
    <row r="1099">
      <c r="A1099" s="153"/>
      <c r="B1099" s="156"/>
      <c r="C1099" s="171"/>
      <c r="D1099" s="153"/>
      <c r="E1099" s="153"/>
      <c r="F1099" s="153"/>
      <c r="G1099" s="153"/>
      <c r="H1099" s="153"/>
      <c r="I1099" s="153"/>
      <c r="J1099" s="153"/>
      <c r="K1099" s="153"/>
      <c r="L1099" s="153"/>
      <c r="M1099" s="153"/>
      <c r="N1099" s="153"/>
      <c r="O1099" s="153"/>
      <c r="P1099" s="153"/>
      <c r="Q1099" s="153"/>
      <c r="R1099" s="153"/>
      <c r="S1099" s="153"/>
      <c r="T1099" s="153"/>
      <c r="U1099" s="153"/>
      <c r="V1099" s="153"/>
      <c r="W1099" s="153"/>
      <c r="X1099" s="153"/>
      <c r="Y1099" s="153"/>
      <c r="Z1099" s="153"/>
      <c r="AA1099" s="153"/>
      <c r="AB1099" s="153"/>
      <c r="AC1099" s="153"/>
      <c r="AD1099" s="153"/>
      <c r="AE1099" s="153"/>
      <c r="AF1099" s="153"/>
      <c r="AG1099" s="153"/>
      <c r="AH1099" s="153"/>
    </row>
    <row r="1100">
      <c r="A1100" s="153"/>
      <c r="B1100" s="156"/>
      <c r="C1100" s="171"/>
      <c r="D1100" s="153"/>
      <c r="E1100" s="153"/>
      <c r="F1100" s="153"/>
      <c r="G1100" s="153"/>
      <c r="H1100" s="153"/>
      <c r="I1100" s="153"/>
      <c r="J1100" s="153"/>
      <c r="K1100" s="153"/>
      <c r="L1100" s="153"/>
      <c r="M1100" s="153"/>
      <c r="N1100" s="153"/>
      <c r="O1100" s="153"/>
      <c r="P1100" s="153"/>
      <c r="Q1100" s="153"/>
      <c r="R1100" s="153"/>
      <c r="S1100" s="153"/>
      <c r="T1100" s="153"/>
      <c r="U1100" s="153"/>
      <c r="V1100" s="153"/>
      <c r="W1100" s="153"/>
      <c r="X1100" s="153"/>
      <c r="Y1100" s="153"/>
      <c r="Z1100" s="153"/>
      <c r="AA1100" s="153"/>
      <c r="AB1100" s="153"/>
      <c r="AC1100" s="153"/>
      <c r="AD1100" s="153"/>
      <c r="AE1100" s="153"/>
      <c r="AF1100" s="153"/>
      <c r="AG1100" s="153"/>
      <c r="AH1100" s="153"/>
    </row>
    <row r="1101">
      <c r="A1101" s="153"/>
      <c r="B1101" s="156"/>
      <c r="C1101" s="171"/>
      <c r="D1101" s="153"/>
      <c r="E1101" s="153"/>
      <c r="F1101" s="153"/>
      <c r="G1101" s="153"/>
      <c r="H1101" s="153"/>
      <c r="I1101" s="153"/>
      <c r="J1101" s="153"/>
      <c r="K1101" s="153"/>
      <c r="L1101" s="153"/>
      <c r="M1101" s="153"/>
      <c r="N1101" s="153"/>
      <c r="O1101" s="153"/>
      <c r="P1101" s="153"/>
      <c r="Q1101" s="153"/>
      <c r="R1101" s="153"/>
      <c r="S1101" s="153"/>
      <c r="T1101" s="153"/>
      <c r="U1101" s="153"/>
      <c r="V1101" s="153"/>
      <c r="W1101" s="153"/>
      <c r="X1101" s="153"/>
      <c r="Y1101" s="153"/>
      <c r="Z1101" s="153"/>
      <c r="AA1101" s="153"/>
      <c r="AB1101" s="153"/>
      <c r="AC1101" s="153"/>
      <c r="AD1101" s="153"/>
      <c r="AE1101" s="153"/>
      <c r="AF1101" s="153"/>
      <c r="AG1101" s="153"/>
      <c r="AH1101" s="153"/>
    </row>
    <row r="1102">
      <c r="A1102" s="153"/>
      <c r="B1102" s="156"/>
      <c r="C1102" s="171"/>
      <c r="D1102" s="153"/>
      <c r="E1102" s="153"/>
      <c r="F1102" s="153"/>
      <c r="G1102" s="153"/>
      <c r="H1102" s="153"/>
      <c r="I1102" s="153"/>
      <c r="J1102" s="153"/>
      <c r="K1102" s="153"/>
      <c r="L1102" s="153"/>
      <c r="M1102" s="153"/>
      <c r="N1102" s="153"/>
      <c r="O1102" s="153"/>
      <c r="P1102" s="153"/>
      <c r="Q1102" s="153"/>
      <c r="R1102" s="153"/>
      <c r="S1102" s="153"/>
      <c r="T1102" s="153"/>
      <c r="U1102" s="153"/>
      <c r="V1102" s="153"/>
      <c r="W1102" s="153"/>
      <c r="X1102" s="153"/>
      <c r="Y1102" s="153"/>
      <c r="Z1102" s="153"/>
      <c r="AA1102" s="153"/>
      <c r="AB1102" s="153"/>
      <c r="AC1102" s="153"/>
      <c r="AD1102" s="153"/>
      <c r="AE1102" s="153"/>
      <c r="AF1102" s="153"/>
      <c r="AG1102" s="153"/>
      <c r="AH1102" s="153"/>
    </row>
    <row r="1103">
      <c r="A1103" s="153"/>
      <c r="B1103" s="156"/>
      <c r="C1103" s="171"/>
      <c r="D1103" s="153"/>
      <c r="E1103" s="153"/>
      <c r="F1103" s="153"/>
      <c r="G1103" s="153"/>
      <c r="H1103" s="153"/>
      <c r="I1103" s="153"/>
      <c r="J1103" s="153"/>
      <c r="K1103" s="153"/>
      <c r="L1103" s="153"/>
      <c r="M1103" s="153"/>
      <c r="N1103" s="153"/>
      <c r="O1103" s="153"/>
      <c r="P1103" s="153"/>
      <c r="Q1103" s="153"/>
      <c r="R1103" s="153"/>
      <c r="S1103" s="153"/>
      <c r="T1103" s="153"/>
      <c r="U1103" s="153"/>
      <c r="V1103" s="153"/>
      <c r="W1103" s="153"/>
      <c r="X1103" s="153"/>
      <c r="Y1103" s="153"/>
      <c r="Z1103" s="153"/>
      <c r="AA1103" s="153"/>
      <c r="AB1103" s="153"/>
      <c r="AC1103" s="153"/>
      <c r="AD1103" s="153"/>
      <c r="AE1103" s="153"/>
      <c r="AF1103" s="153"/>
      <c r="AG1103" s="153"/>
      <c r="AH1103" s="153"/>
    </row>
    <row r="1104">
      <c r="A1104" s="153"/>
      <c r="B1104" s="156"/>
      <c r="C1104" s="171"/>
      <c r="D1104" s="153"/>
      <c r="E1104" s="153"/>
      <c r="F1104" s="153"/>
      <c r="G1104" s="153"/>
      <c r="H1104" s="153"/>
      <c r="I1104" s="153"/>
      <c r="J1104" s="153"/>
      <c r="K1104" s="153"/>
      <c r="L1104" s="153"/>
      <c r="M1104" s="153"/>
      <c r="N1104" s="153"/>
      <c r="O1104" s="153"/>
      <c r="P1104" s="153"/>
      <c r="Q1104" s="153"/>
      <c r="R1104" s="153"/>
      <c r="S1104" s="153"/>
      <c r="T1104" s="153"/>
      <c r="U1104" s="153"/>
      <c r="V1104" s="153"/>
      <c r="W1104" s="153"/>
      <c r="X1104" s="153"/>
      <c r="Y1104" s="153"/>
      <c r="Z1104" s="153"/>
      <c r="AA1104" s="153"/>
      <c r="AB1104" s="153"/>
      <c r="AC1104" s="153"/>
      <c r="AD1104" s="153"/>
      <c r="AE1104" s="153"/>
      <c r="AF1104" s="153"/>
      <c r="AG1104" s="153"/>
      <c r="AH1104" s="153"/>
    </row>
    <row r="1105">
      <c r="A1105" s="153"/>
      <c r="B1105" s="156"/>
      <c r="C1105" s="171"/>
      <c r="D1105" s="153"/>
      <c r="E1105" s="153"/>
      <c r="F1105" s="153"/>
      <c r="G1105" s="153"/>
      <c r="H1105" s="153"/>
      <c r="I1105" s="153"/>
      <c r="J1105" s="153"/>
      <c r="K1105" s="153"/>
      <c r="L1105" s="153"/>
      <c r="M1105" s="153"/>
      <c r="N1105" s="153"/>
      <c r="O1105" s="153"/>
      <c r="P1105" s="153"/>
      <c r="Q1105" s="153"/>
      <c r="R1105" s="153"/>
      <c r="S1105" s="153"/>
      <c r="T1105" s="153"/>
      <c r="U1105" s="153"/>
      <c r="V1105" s="153"/>
      <c r="W1105" s="153"/>
      <c r="X1105" s="153"/>
      <c r="Y1105" s="153"/>
      <c r="Z1105" s="153"/>
      <c r="AA1105" s="153"/>
      <c r="AB1105" s="153"/>
      <c r="AC1105" s="153"/>
      <c r="AD1105" s="153"/>
      <c r="AE1105" s="153"/>
      <c r="AF1105" s="153"/>
      <c r="AG1105" s="153"/>
      <c r="AH1105" s="153"/>
    </row>
    <row r="1106">
      <c r="A1106" s="153"/>
      <c r="B1106" s="156"/>
      <c r="C1106" s="171"/>
      <c r="D1106" s="153"/>
      <c r="E1106" s="153"/>
      <c r="F1106" s="153"/>
      <c r="G1106" s="153"/>
      <c r="H1106" s="153"/>
      <c r="I1106" s="153"/>
      <c r="J1106" s="153"/>
      <c r="K1106" s="153"/>
      <c r="L1106" s="153"/>
      <c r="M1106" s="153"/>
      <c r="N1106" s="153"/>
      <c r="O1106" s="153"/>
      <c r="P1106" s="153"/>
      <c r="Q1106" s="153"/>
      <c r="R1106" s="153"/>
      <c r="S1106" s="153"/>
      <c r="T1106" s="153"/>
      <c r="U1106" s="153"/>
      <c r="V1106" s="153"/>
      <c r="W1106" s="153"/>
      <c r="X1106" s="153"/>
      <c r="Y1106" s="153"/>
      <c r="Z1106" s="153"/>
      <c r="AA1106" s="153"/>
      <c r="AB1106" s="153"/>
      <c r="AC1106" s="153"/>
      <c r="AD1106" s="153"/>
      <c r="AE1106" s="153"/>
      <c r="AF1106" s="153"/>
      <c r="AG1106" s="153"/>
      <c r="AH1106" s="153"/>
    </row>
    <row r="1107">
      <c r="A1107" s="153"/>
      <c r="B1107" s="156"/>
      <c r="C1107" s="171"/>
      <c r="D1107" s="153"/>
      <c r="E1107" s="153"/>
      <c r="F1107" s="153"/>
      <c r="G1107" s="153"/>
      <c r="H1107" s="153"/>
      <c r="I1107" s="153"/>
      <c r="J1107" s="153"/>
      <c r="K1107" s="153"/>
      <c r="L1107" s="153"/>
      <c r="M1107" s="153"/>
      <c r="N1107" s="153"/>
      <c r="O1107" s="153"/>
      <c r="P1107" s="153"/>
      <c r="Q1107" s="153"/>
      <c r="R1107" s="153"/>
      <c r="S1107" s="153"/>
      <c r="T1107" s="153"/>
      <c r="U1107" s="153"/>
      <c r="V1107" s="153"/>
      <c r="W1107" s="153"/>
      <c r="X1107" s="153"/>
      <c r="Y1107" s="153"/>
      <c r="Z1107" s="153"/>
      <c r="AA1107" s="153"/>
      <c r="AB1107" s="153"/>
      <c r="AC1107" s="153"/>
      <c r="AD1107" s="153"/>
      <c r="AE1107" s="153"/>
      <c r="AF1107" s="153"/>
      <c r="AG1107" s="153"/>
      <c r="AH1107" s="153"/>
    </row>
    <row r="1108">
      <c r="A1108" s="153"/>
      <c r="B1108" s="156"/>
      <c r="C1108" s="171"/>
      <c r="D1108" s="153"/>
      <c r="E1108" s="153"/>
      <c r="F1108" s="153"/>
      <c r="G1108" s="153"/>
      <c r="H1108" s="153"/>
      <c r="I1108" s="153"/>
      <c r="J1108" s="153"/>
      <c r="K1108" s="153"/>
      <c r="L1108" s="153"/>
      <c r="M1108" s="153"/>
      <c r="N1108" s="153"/>
      <c r="O1108" s="153"/>
      <c r="P1108" s="153"/>
      <c r="Q1108" s="153"/>
      <c r="R1108" s="153"/>
      <c r="S1108" s="153"/>
      <c r="T1108" s="153"/>
      <c r="U1108" s="153"/>
      <c r="V1108" s="153"/>
      <c r="W1108" s="153"/>
      <c r="X1108" s="153"/>
      <c r="Y1108" s="153"/>
      <c r="Z1108" s="153"/>
      <c r="AA1108" s="153"/>
      <c r="AB1108" s="153"/>
      <c r="AC1108" s="153"/>
      <c r="AD1108" s="153"/>
      <c r="AE1108" s="153"/>
      <c r="AF1108" s="153"/>
      <c r="AG1108" s="153"/>
      <c r="AH1108" s="153"/>
    </row>
    <row r="1109">
      <c r="A1109" s="153"/>
      <c r="B1109" s="156"/>
      <c r="C1109" s="171"/>
      <c r="D1109" s="153"/>
      <c r="E1109" s="153"/>
      <c r="F1109" s="153"/>
      <c r="G1109" s="153"/>
      <c r="H1109" s="153"/>
      <c r="I1109" s="153"/>
      <c r="J1109" s="153"/>
      <c r="K1109" s="153"/>
      <c r="L1109" s="153"/>
      <c r="M1109" s="153"/>
      <c r="N1109" s="153"/>
      <c r="O1109" s="153"/>
      <c r="P1109" s="153"/>
      <c r="Q1109" s="153"/>
      <c r="R1109" s="153"/>
      <c r="S1109" s="153"/>
      <c r="T1109" s="153"/>
      <c r="U1109" s="153"/>
      <c r="V1109" s="153"/>
      <c r="W1109" s="153"/>
      <c r="X1109" s="153"/>
      <c r="Y1109" s="153"/>
      <c r="Z1109" s="153"/>
      <c r="AA1109" s="153"/>
      <c r="AB1109" s="153"/>
      <c r="AC1109" s="153"/>
      <c r="AD1109" s="153"/>
      <c r="AE1109" s="153"/>
      <c r="AF1109" s="153"/>
      <c r="AG1109" s="153"/>
      <c r="AH1109" s="153"/>
    </row>
    <row r="1110">
      <c r="A1110" s="153"/>
      <c r="B1110" s="156"/>
      <c r="C1110" s="171"/>
      <c r="D1110" s="153"/>
      <c r="E1110" s="153"/>
      <c r="F1110" s="153"/>
      <c r="G1110" s="153"/>
      <c r="H1110" s="153"/>
      <c r="I1110" s="153"/>
      <c r="J1110" s="153"/>
      <c r="K1110" s="153"/>
      <c r="L1110" s="153"/>
      <c r="M1110" s="153"/>
      <c r="N1110" s="153"/>
      <c r="O1110" s="153"/>
      <c r="P1110" s="153"/>
      <c r="Q1110" s="153"/>
      <c r="R1110" s="153"/>
      <c r="S1110" s="153"/>
      <c r="T1110" s="153"/>
      <c r="U1110" s="153"/>
      <c r="V1110" s="153"/>
      <c r="W1110" s="153"/>
      <c r="X1110" s="153"/>
      <c r="Y1110" s="153"/>
      <c r="Z1110" s="153"/>
      <c r="AA1110" s="153"/>
      <c r="AB1110" s="153"/>
      <c r="AC1110" s="153"/>
      <c r="AD1110" s="153"/>
      <c r="AE1110" s="153"/>
      <c r="AF1110" s="153"/>
      <c r="AG1110" s="153"/>
      <c r="AH1110" s="153"/>
    </row>
    <row r="1111">
      <c r="A1111" s="153"/>
      <c r="B1111" s="156"/>
      <c r="C1111" s="171"/>
      <c r="D1111" s="153"/>
      <c r="E1111" s="153"/>
      <c r="F1111" s="153"/>
      <c r="G1111" s="153"/>
      <c r="H1111" s="153"/>
      <c r="I1111" s="153"/>
      <c r="J1111" s="153"/>
      <c r="K1111" s="153"/>
      <c r="L1111" s="153"/>
      <c r="M1111" s="153"/>
      <c r="N1111" s="153"/>
      <c r="O1111" s="153"/>
      <c r="P1111" s="153"/>
      <c r="Q1111" s="153"/>
      <c r="R1111" s="153"/>
      <c r="S1111" s="153"/>
      <c r="T1111" s="153"/>
      <c r="U1111" s="153"/>
      <c r="V1111" s="153"/>
      <c r="W1111" s="153"/>
      <c r="X1111" s="153"/>
      <c r="Y1111" s="153"/>
      <c r="Z1111" s="153"/>
      <c r="AA1111" s="153"/>
      <c r="AB1111" s="153"/>
      <c r="AC1111" s="153"/>
      <c r="AD1111" s="153"/>
      <c r="AE1111" s="153"/>
      <c r="AF1111" s="153"/>
      <c r="AG1111" s="153"/>
      <c r="AH1111" s="153"/>
    </row>
    <row r="1112">
      <c r="A1112" s="153"/>
      <c r="B1112" s="156"/>
      <c r="C1112" s="171"/>
      <c r="D1112" s="153"/>
      <c r="E1112" s="153"/>
      <c r="F1112" s="153"/>
      <c r="G1112" s="153"/>
      <c r="H1112" s="153"/>
      <c r="I1112" s="153"/>
      <c r="J1112" s="153"/>
      <c r="K1112" s="153"/>
      <c r="L1112" s="153"/>
      <c r="M1112" s="153"/>
      <c r="N1112" s="153"/>
      <c r="O1112" s="153"/>
      <c r="P1112" s="153"/>
      <c r="Q1112" s="153"/>
      <c r="R1112" s="153"/>
      <c r="S1112" s="153"/>
      <c r="T1112" s="153"/>
      <c r="U1112" s="153"/>
      <c r="V1112" s="153"/>
      <c r="W1112" s="153"/>
      <c r="X1112" s="153"/>
      <c r="Y1112" s="153"/>
      <c r="Z1112" s="153"/>
      <c r="AA1112" s="153"/>
      <c r="AB1112" s="153"/>
      <c r="AC1112" s="153"/>
      <c r="AD1112" s="153"/>
      <c r="AE1112" s="153"/>
      <c r="AF1112" s="153"/>
      <c r="AG1112" s="153"/>
      <c r="AH1112" s="153"/>
    </row>
    <row r="1113">
      <c r="A1113" s="153"/>
      <c r="B1113" s="156"/>
      <c r="C1113" s="171"/>
      <c r="D1113" s="153"/>
      <c r="E1113" s="153"/>
      <c r="F1113" s="153"/>
      <c r="G1113" s="153"/>
      <c r="H1113" s="153"/>
      <c r="I1113" s="153"/>
      <c r="J1113" s="153"/>
      <c r="K1113" s="153"/>
      <c r="L1113" s="153"/>
      <c r="M1113" s="153"/>
      <c r="N1113" s="153"/>
      <c r="O1113" s="153"/>
      <c r="P1113" s="153"/>
      <c r="Q1113" s="153"/>
      <c r="R1113" s="153"/>
      <c r="S1113" s="153"/>
      <c r="T1113" s="153"/>
      <c r="U1113" s="153"/>
      <c r="V1113" s="153"/>
      <c r="W1113" s="153"/>
      <c r="X1113" s="153"/>
      <c r="Y1113" s="153"/>
      <c r="Z1113" s="153"/>
      <c r="AA1113" s="153"/>
      <c r="AB1113" s="153"/>
      <c r="AC1113" s="153"/>
      <c r="AD1113" s="153"/>
      <c r="AE1113" s="153"/>
      <c r="AF1113" s="153"/>
      <c r="AG1113" s="153"/>
      <c r="AH1113" s="153"/>
    </row>
    <row r="1114">
      <c r="A1114" s="153"/>
      <c r="B1114" s="156"/>
      <c r="C1114" s="171"/>
      <c r="D1114" s="153"/>
      <c r="E1114" s="153"/>
      <c r="F1114" s="153"/>
      <c r="G1114" s="153"/>
      <c r="H1114" s="153"/>
      <c r="I1114" s="153"/>
      <c r="J1114" s="153"/>
      <c r="K1114" s="153"/>
      <c r="L1114" s="153"/>
      <c r="M1114" s="153"/>
      <c r="N1114" s="153"/>
      <c r="O1114" s="153"/>
      <c r="P1114" s="153"/>
      <c r="Q1114" s="153"/>
      <c r="R1114" s="153"/>
      <c r="S1114" s="153"/>
      <c r="T1114" s="153"/>
      <c r="U1114" s="153"/>
      <c r="V1114" s="153"/>
      <c r="W1114" s="153"/>
      <c r="X1114" s="153"/>
      <c r="Y1114" s="153"/>
      <c r="Z1114" s="153"/>
      <c r="AA1114" s="153"/>
      <c r="AB1114" s="153"/>
      <c r="AC1114" s="153"/>
      <c r="AD1114" s="153"/>
      <c r="AE1114" s="153"/>
      <c r="AF1114" s="153"/>
      <c r="AG1114" s="153"/>
      <c r="AH1114" s="153"/>
    </row>
    <row r="1115">
      <c r="A1115" s="153"/>
      <c r="B1115" s="156"/>
      <c r="C1115" s="171"/>
      <c r="D1115" s="153"/>
      <c r="E1115" s="153"/>
      <c r="F1115" s="153"/>
      <c r="G1115" s="153"/>
      <c r="H1115" s="153"/>
      <c r="I1115" s="153"/>
      <c r="J1115" s="153"/>
      <c r="K1115" s="153"/>
      <c r="L1115" s="153"/>
      <c r="M1115" s="153"/>
      <c r="N1115" s="153"/>
      <c r="O1115" s="153"/>
      <c r="P1115" s="153"/>
      <c r="Q1115" s="153"/>
      <c r="R1115" s="153"/>
      <c r="S1115" s="153"/>
      <c r="T1115" s="153"/>
      <c r="U1115" s="153"/>
      <c r="V1115" s="153"/>
      <c r="W1115" s="153"/>
      <c r="X1115" s="153"/>
      <c r="Y1115" s="153"/>
      <c r="Z1115" s="153"/>
      <c r="AA1115" s="153"/>
      <c r="AB1115" s="153"/>
      <c r="AC1115" s="153"/>
      <c r="AD1115" s="153"/>
      <c r="AE1115" s="153"/>
      <c r="AF1115" s="153"/>
      <c r="AG1115" s="153"/>
      <c r="AH1115" s="153"/>
    </row>
    <row r="1116">
      <c r="A1116" s="153"/>
      <c r="B1116" s="156"/>
      <c r="C1116" s="171"/>
      <c r="D1116" s="153"/>
      <c r="E1116" s="153"/>
      <c r="F1116" s="153"/>
      <c r="G1116" s="153"/>
      <c r="H1116" s="153"/>
      <c r="I1116" s="153"/>
      <c r="J1116" s="153"/>
      <c r="K1116" s="153"/>
      <c r="L1116" s="153"/>
      <c r="M1116" s="153"/>
      <c r="N1116" s="153"/>
      <c r="O1116" s="153"/>
      <c r="P1116" s="153"/>
      <c r="Q1116" s="153"/>
      <c r="R1116" s="153"/>
      <c r="S1116" s="153"/>
      <c r="T1116" s="153"/>
      <c r="U1116" s="153"/>
      <c r="V1116" s="153"/>
      <c r="W1116" s="153"/>
      <c r="X1116" s="153"/>
      <c r="Y1116" s="153"/>
      <c r="Z1116" s="153"/>
      <c r="AA1116" s="153"/>
      <c r="AB1116" s="153"/>
      <c r="AC1116" s="153"/>
      <c r="AD1116" s="153"/>
      <c r="AE1116" s="153"/>
      <c r="AF1116" s="153"/>
      <c r="AG1116" s="153"/>
      <c r="AH1116" s="153"/>
    </row>
    <row r="1117">
      <c r="A1117" s="153"/>
      <c r="B1117" s="156"/>
      <c r="C1117" s="171"/>
      <c r="D1117" s="153"/>
      <c r="E1117" s="153"/>
      <c r="F1117" s="153"/>
      <c r="G1117" s="153"/>
      <c r="H1117" s="153"/>
      <c r="I1117" s="153"/>
      <c r="J1117" s="153"/>
      <c r="K1117" s="153"/>
      <c r="L1117" s="153"/>
      <c r="M1117" s="153"/>
      <c r="N1117" s="153"/>
      <c r="O1117" s="153"/>
      <c r="P1117" s="153"/>
      <c r="Q1117" s="153"/>
      <c r="R1117" s="153"/>
      <c r="S1117" s="153"/>
      <c r="T1117" s="153"/>
      <c r="U1117" s="153"/>
      <c r="V1117" s="153"/>
      <c r="W1117" s="153"/>
      <c r="X1117" s="153"/>
      <c r="Y1117" s="153"/>
      <c r="Z1117" s="153"/>
      <c r="AA1117" s="153"/>
      <c r="AB1117" s="153"/>
      <c r="AC1117" s="153"/>
      <c r="AD1117" s="153"/>
      <c r="AE1117" s="153"/>
      <c r="AF1117" s="153"/>
      <c r="AG1117" s="153"/>
      <c r="AH1117" s="153"/>
    </row>
    <row r="1118">
      <c r="A1118" s="153"/>
      <c r="B1118" s="156"/>
      <c r="C1118" s="171"/>
      <c r="D1118" s="153"/>
      <c r="E1118" s="153"/>
      <c r="F1118" s="153"/>
      <c r="G1118" s="153"/>
      <c r="H1118" s="153"/>
      <c r="I1118" s="153"/>
      <c r="J1118" s="153"/>
      <c r="K1118" s="153"/>
      <c r="L1118" s="153"/>
      <c r="M1118" s="153"/>
      <c r="N1118" s="153"/>
      <c r="O1118" s="153"/>
      <c r="P1118" s="153"/>
      <c r="Q1118" s="153"/>
      <c r="R1118" s="153"/>
      <c r="S1118" s="153"/>
      <c r="T1118" s="153"/>
      <c r="U1118" s="153"/>
      <c r="V1118" s="153"/>
      <c r="W1118" s="153"/>
      <c r="X1118" s="153"/>
      <c r="Y1118" s="153"/>
      <c r="Z1118" s="153"/>
      <c r="AA1118" s="153"/>
      <c r="AB1118" s="153"/>
      <c r="AC1118" s="153"/>
      <c r="AD1118" s="153"/>
      <c r="AE1118" s="153"/>
      <c r="AF1118" s="153"/>
      <c r="AG1118" s="153"/>
      <c r="AH1118" s="153"/>
    </row>
    <row r="1119">
      <c r="A1119" s="153"/>
      <c r="B1119" s="156"/>
      <c r="C1119" s="171"/>
      <c r="D1119" s="153"/>
      <c r="E1119" s="153"/>
      <c r="F1119" s="153"/>
      <c r="G1119" s="153"/>
      <c r="H1119" s="153"/>
      <c r="I1119" s="153"/>
      <c r="J1119" s="153"/>
      <c r="K1119" s="153"/>
      <c r="L1119" s="153"/>
      <c r="M1119" s="153"/>
      <c r="N1119" s="153"/>
      <c r="O1119" s="153"/>
      <c r="P1119" s="153"/>
      <c r="Q1119" s="153"/>
      <c r="R1119" s="153"/>
      <c r="S1119" s="153"/>
      <c r="T1119" s="153"/>
      <c r="U1119" s="153"/>
      <c r="V1119" s="153"/>
      <c r="W1119" s="153"/>
      <c r="X1119" s="153"/>
      <c r="Y1119" s="153"/>
      <c r="Z1119" s="153"/>
      <c r="AA1119" s="153"/>
      <c r="AB1119" s="153"/>
      <c r="AC1119" s="153"/>
      <c r="AD1119" s="153"/>
      <c r="AE1119" s="153"/>
      <c r="AF1119" s="153"/>
      <c r="AG1119" s="153"/>
      <c r="AH1119" s="153"/>
    </row>
    <row r="1120">
      <c r="A1120" s="153"/>
      <c r="B1120" s="156"/>
      <c r="C1120" s="171"/>
      <c r="D1120" s="153"/>
      <c r="E1120" s="153"/>
      <c r="F1120" s="153"/>
      <c r="G1120" s="153"/>
      <c r="H1120" s="153"/>
      <c r="I1120" s="153"/>
      <c r="J1120" s="153"/>
      <c r="K1120" s="153"/>
      <c r="L1120" s="153"/>
      <c r="M1120" s="153"/>
      <c r="N1120" s="153"/>
      <c r="O1120" s="153"/>
      <c r="P1120" s="153"/>
      <c r="Q1120" s="153"/>
      <c r="R1120" s="153"/>
      <c r="S1120" s="153"/>
      <c r="T1120" s="153"/>
      <c r="U1120" s="153"/>
      <c r="V1120" s="153"/>
      <c r="W1120" s="153"/>
      <c r="X1120" s="153"/>
      <c r="Y1120" s="153"/>
      <c r="Z1120" s="153"/>
      <c r="AA1120" s="153"/>
      <c r="AB1120" s="153"/>
      <c r="AC1120" s="153"/>
      <c r="AD1120" s="153"/>
      <c r="AE1120" s="153"/>
      <c r="AF1120" s="153"/>
      <c r="AG1120" s="153"/>
      <c r="AH1120" s="153"/>
    </row>
    <row r="1121">
      <c r="A1121" s="153"/>
      <c r="B1121" s="156"/>
      <c r="C1121" s="171"/>
      <c r="D1121" s="153"/>
      <c r="E1121" s="153"/>
      <c r="F1121" s="153"/>
      <c r="G1121" s="153"/>
      <c r="H1121" s="153"/>
      <c r="I1121" s="153"/>
      <c r="J1121" s="153"/>
      <c r="K1121" s="153"/>
      <c r="L1121" s="153"/>
      <c r="M1121" s="153"/>
      <c r="N1121" s="153"/>
      <c r="O1121" s="153"/>
      <c r="P1121" s="153"/>
      <c r="Q1121" s="153"/>
      <c r="R1121" s="153"/>
      <c r="S1121" s="153"/>
      <c r="T1121" s="153"/>
      <c r="U1121" s="153"/>
      <c r="V1121" s="153"/>
      <c r="W1121" s="153"/>
      <c r="X1121" s="153"/>
      <c r="Y1121" s="153"/>
      <c r="Z1121" s="153"/>
      <c r="AA1121" s="153"/>
      <c r="AB1121" s="153"/>
      <c r="AC1121" s="153"/>
      <c r="AD1121" s="153"/>
      <c r="AE1121" s="153"/>
      <c r="AF1121" s="153"/>
      <c r="AG1121" s="153"/>
      <c r="AH1121" s="153"/>
    </row>
    <row r="1122">
      <c r="A1122" s="153"/>
      <c r="B1122" s="156"/>
      <c r="C1122" s="171"/>
      <c r="D1122" s="153"/>
      <c r="E1122" s="153"/>
      <c r="F1122" s="153"/>
      <c r="G1122" s="153"/>
      <c r="H1122" s="153"/>
      <c r="I1122" s="153"/>
      <c r="J1122" s="153"/>
      <c r="K1122" s="153"/>
      <c r="L1122" s="153"/>
      <c r="M1122" s="153"/>
      <c r="N1122" s="153"/>
      <c r="O1122" s="153"/>
      <c r="P1122" s="153"/>
      <c r="Q1122" s="153"/>
      <c r="R1122" s="153"/>
      <c r="S1122" s="153"/>
      <c r="T1122" s="153"/>
      <c r="U1122" s="153"/>
      <c r="V1122" s="153"/>
      <c r="W1122" s="153"/>
      <c r="X1122" s="153"/>
      <c r="Y1122" s="153"/>
      <c r="Z1122" s="153"/>
      <c r="AA1122" s="153"/>
      <c r="AB1122" s="153"/>
      <c r="AC1122" s="153"/>
      <c r="AD1122" s="153"/>
      <c r="AE1122" s="153"/>
      <c r="AF1122" s="153"/>
      <c r="AG1122" s="153"/>
      <c r="AH1122" s="153"/>
    </row>
    <row r="1123">
      <c r="A1123" s="153"/>
      <c r="B1123" s="156"/>
      <c r="C1123" s="171"/>
      <c r="D1123" s="153"/>
      <c r="E1123" s="153"/>
      <c r="F1123" s="153"/>
      <c r="G1123" s="153"/>
      <c r="H1123" s="153"/>
      <c r="I1123" s="153"/>
      <c r="J1123" s="153"/>
      <c r="K1123" s="153"/>
      <c r="L1123" s="153"/>
      <c r="M1123" s="153"/>
      <c r="N1123" s="153"/>
      <c r="O1123" s="153"/>
      <c r="P1123" s="153"/>
      <c r="Q1123" s="153"/>
      <c r="R1123" s="153"/>
      <c r="S1123" s="153"/>
      <c r="T1123" s="153"/>
      <c r="U1123" s="153"/>
      <c r="V1123" s="153"/>
      <c r="W1123" s="153"/>
      <c r="X1123" s="153"/>
      <c r="Y1123" s="153"/>
      <c r="Z1123" s="153"/>
      <c r="AA1123" s="153"/>
      <c r="AB1123" s="153"/>
      <c r="AC1123" s="153"/>
      <c r="AD1123" s="153"/>
      <c r="AE1123" s="153"/>
      <c r="AF1123" s="153"/>
      <c r="AG1123" s="153"/>
      <c r="AH1123" s="153"/>
    </row>
    <row r="1124">
      <c r="A1124" s="153"/>
      <c r="B1124" s="156"/>
      <c r="C1124" s="171"/>
      <c r="D1124" s="153"/>
      <c r="E1124" s="153"/>
      <c r="F1124" s="153"/>
      <c r="G1124" s="153"/>
      <c r="H1124" s="153"/>
      <c r="I1124" s="153"/>
      <c r="J1124" s="153"/>
      <c r="K1124" s="153"/>
      <c r="L1124" s="153"/>
      <c r="M1124" s="153"/>
      <c r="N1124" s="153"/>
      <c r="O1124" s="153"/>
      <c r="P1124" s="153"/>
      <c r="Q1124" s="153"/>
      <c r="R1124" s="153"/>
      <c r="S1124" s="153"/>
      <c r="T1124" s="153"/>
      <c r="U1124" s="153"/>
      <c r="V1124" s="153"/>
      <c r="W1124" s="153"/>
      <c r="X1124" s="153"/>
      <c r="Y1124" s="153"/>
      <c r="Z1124" s="153"/>
      <c r="AA1124" s="153"/>
      <c r="AB1124" s="153"/>
      <c r="AC1124" s="153"/>
      <c r="AD1124" s="153"/>
      <c r="AE1124" s="153"/>
      <c r="AF1124" s="153"/>
      <c r="AG1124" s="153"/>
      <c r="AH1124" s="153"/>
    </row>
    <row r="1125">
      <c r="A1125" s="153"/>
      <c r="B1125" s="156"/>
      <c r="C1125" s="171"/>
      <c r="D1125" s="153"/>
      <c r="E1125" s="153"/>
      <c r="F1125" s="153"/>
      <c r="G1125" s="153"/>
      <c r="H1125" s="153"/>
      <c r="I1125" s="153"/>
      <c r="J1125" s="153"/>
      <c r="K1125" s="153"/>
      <c r="L1125" s="153"/>
      <c r="M1125" s="153"/>
      <c r="N1125" s="153"/>
      <c r="O1125" s="153"/>
      <c r="P1125" s="153"/>
      <c r="Q1125" s="153"/>
      <c r="R1125" s="153"/>
      <c r="S1125" s="153"/>
      <c r="T1125" s="153"/>
      <c r="U1125" s="153"/>
      <c r="V1125" s="153"/>
      <c r="W1125" s="153"/>
      <c r="X1125" s="153"/>
      <c r="Y1125" s="153"/>
      <c r="Z1125" s="153"/>
      <c r="AA1125" s="153"/>
      <c r="AB1125" s="153"/>
      <c r="AC1125" s="153"/>
      <c r="AD1125" s="153"/>
      <c r="AE1125" s="153"/>
      <c r="AF1125" s="153"/>
      <c r="AG1125" s="153"/>
      <c r="AH1125" s="153"/>
    </row>
    <row r="1126">
      <c r="A1126" s="153"/>
      <c r="B1126" s="156"/>
      <c r="C1126" s="171"/>
      <c r="D1126" s="153"/>
      <c r="E1126" s="153"/>
      <c r="F1126" s="153"/>
      <c r="G1126" s="153"/>
      <c r="H1126" s="153"/>
      <c r="I1126" s="153"/>
      <c r="J1126" s="153"/>
      <c r="K1126" s="153"/>
      <c r="L1126" s="153"/>
      <c r="M1126" s="153"/>
      <c r="N1126" s="153"/>
      <c r="O1126" s="153"/>
      <c r="P1126" s="153"/>
      <c r="Q1126" s="153"/>
      <c r="R1126" s="153"/>
      <c r="S1126" s="153"/>
      <c r="T1126" s="153"/>
      <c r="U1126" s="153"/>
      <c r="V1126" s="153"/>
      <c r="W1126" s="153"/>
      <c r="X1126" s="153"/>
      <c r="Y1126" s="153"/>
      <c r="Z1126" s="153"/>
      <c r="AA1126" s="153"/>
      <c r="AB1126" s="153"/>
      <c r="AC1126" s="153"/>
      <c r="AD1126" s="153"/>
      <c r="AE1126" s="153"/>
      <c r="AF1126" s="153"/>
      <c r="AG1126" s="153"/>
      <c r="AH1126" s="153"/>
    </row>
    <row r="1127">
      <c r="A1127" s="153"/>
      <c r="B1127" s="156"/>
      <c r="C1127" s="171"/>
      <c r="D1127" s="153"/>
      <c r="E1127" s="153"/>
      <c r="F1127" s="153"/>
      <c r="G1127" s="153"/>
      <c r="H1127" s="153"/>
      <c r="I1127" s="153"/>
      <c r="J1127" s="153"/>
      <c r="K1127" s="153"/>
      <c r="L1127" s="153"/>
      <c r="M1127" s="153"/>
      <c r="N1127" s="153"/>
      <c r="O1127" s="153"/>
      <c r="P1127" s="153"/>
      <c r="Q1127" s="153"/>
      <c r="R1127" s="153"/>
      <c r="S1127" s="153"/>
      <c r="T1127" s="153"/>
      <c r="U1127" s="153"/>
      <c r="V1127" s="153"/>
      <c r="W1127" s="153"/>
      <c r="X1127" s="153"/>
      <c r="Y1127" s="153"/>
      <c r="Z1127" s="153"/>
      <c r="AA1127" s="153"/>
      <c r="AB1127" s="153"/>
      <c r="AC1127" s="153"/>
      <c r="AD1127" s="153"/>
      <c r="AE1127" s="153"/>
      <c r="AF1127" s="153"/>
      <c r="AG1127" s="153"/>
      <c r="AH1127" s="153"/>
    </row>
    <row r="1128">
      <c r="A1128" s="153"/>
      <c r="B1128" s="156"/>
      <c r="C1128" s="171"/>
      <c r="D1128" s="153"/>
      <c r="E1128" s="153"/>
      <c r="F1128" s="153"/>
      <c r="G1128" s="153"/>
      <c r="H1128" s="153"/>
      <c r="I1128" s="153"/>
      <c r="J1128" s="153"/>
      <c r="K1128" s="153"/>
      <c r="L1128" s="153"/>
      <c r="M1128" s="153"/>
      <c r="N1128" s="153"/>
      <c r="O1128" s="153"/>
      <c r="P1128" s="153"/>
      <c r="Q1128" s="153"/>
      <c r="R1128" s="153"/>
      <c r="S1128" s="153"/>
      <c r="T1128" s="153"/>
      <c r="U1128" s="153"/>
      <c r="V1128" s="153"/>
      <c r="W1128" s="153"/>
      <c r="X1128" s="153"/>
      <c r="Y1128" s="153"/>
      <c r="Z1128" s="153"/>
      <c r="AA1128" s="153"/>
      <c r="AB1128" s="153"/>
      <c r="AC1128" s="153"/>
      <c r="AD1128" s="153"/>
      <c r="AE1128" s="153"/>
      <c r="AF1128" s="153"/>
      <c r="AG1128" s="153"/>
      <c r="AH1128" s="153"/>
    </row>
    <row r="1129">
      <c r="A1129" s="153"/>
      <c r="B1129" s="156"/>
      <c r="C1129" s="171"/>
      <c r="D1129" s="153"/>
      <c r="E1129" s="153"/>
      <c r="F1129" s="153"/>
      <c r="G1129" s="153"/>
      <c r="H1129" s="153"/>
      <c r="I1129" s="153"/>
      <c r="J1129" s="153"/>
      <c r="K1129" s="153"/>
      <c r="L1129" s="153"/>
      <c r="M1129" s="153"/>
      <c r="N1129" s="153"/>
      <c r="O1129" s="153"/>
      <c r="P1129" s="153"/>
      <c r="Q1129" s="153"/>
      <c r="R1129" s="153"/>
      <c r="S1129" s="153"/>
      <c r="T1129" s="153"/>
      <c r="U1129" s="153"/>
      <c r="V1129" s="153"/>
      <c r="W1129" s="153"/>
      <c r="X1129" s="153"/>
      <c r="Y1129" s="153"/>
      <c r="Z1129" s="153"/>
      <c r="AA1129" s="153"/>
      <c r="AB1129" s="153"/>
      <c r="AC1129" s="153"/>
      <c r="AD1129" s="153"/>
      <c r="AE1129" s="153"/>
      <c r="AF1129" s="153"/>
      <c r="AG1129" s="153"/>
      <c r="AH1129" s="153"/>
    </row>
    <row r="1130">
      <c r="A1130" s="153"/>
      <c r="B1130" s="156"/>
      <c r="C1130" s="171"/>
      <c r="D1130" s="153"/>
      <c r="E1130" s="153"/>
      <c r="F1130" s="153"/>
      <c r="G1130" s="153"/>
      <c r="H1130" s="153"/>
      <c r="I1130" s="153"/>
      <c r="J1130" s="153"/>
      <c r="K1130" s="153"/>
      <c r="L1130" s="153"/>
      <c r="M1130" s="153"/>
      <c r="N1130" s="153"/>
      <c r="O1130" s="153"/>
      <c r="P1130" s="153"/>
      <c r="Q1130" s="153"/>
      <c r="R1130" s="153"/>
      <c r="S1130" s="153"/>
      <c r="T1130" s="153"/>
      <c r="U1130" s="153"/>
      <c r="V1130" s="153"/>
      <c r="W1130" s="153"/>
      <c r="X1130" s="153"/>
      <c r="Y1130" s="153"/>
      <c r="Z1130" s="153"/>
      <c r="AA1130" s="153"/>
      <c r="AB1130" s="153"/>
      <c r="AC1130" s="153"/>
      <c r="AD1130" s="153"/>
      <c r="AE1130" s="153"/>
      <c r="AF1130" s="153"/>
      <c r="AG1130" s="153"/>
      <c r="AH1130" s="153"/>
    </row>
    <row r="1131">
      <c r="A1131" s="153"/>
      <c r="B1131" s="156"/>
      <c r="C1131" s="171"/>
      <c r="D1131" s="153"/>
      <c r="E1131" s="153"/>
      <c r="F1131" s="153"/>
      <c r="G1131" s="153"/>
      <c r="H1131" s="153"/>
      <c r="I1131" s="153"/>
      <c r="J1131" s="153"/>
      <c r="K1131" s="153"/>
      <c r="L1131" s="153"/>
      <c r="M1131" s="153"/>
      <c r="N1131" s="153"/>
      <c r="O1131" s="153"/>
      <c r="P1131" s="153"/>
      <c r="Q1131" s="153"/>
      <c r="R1131" s="153"/>
      <c r="S1131" s="153"/>
      <c r="T1131" s="153"/>
      <c r="U1131" s="153"/>
      <c r="V1131" s="153"/>
      <c r="W1131" s="153"/>
      <c r="X1131" s="153"/>
      <c r="Y1131" s="153"/>
      <c r="Z1131" s="153"/>
      <c r="AA1131" s="153"/>
      <c r="AB1131" s="153"/>
      <c r="AC1131" s="153"/>
      <c r="AD1131" s="153"/>
      <c r="AE1131" s="153"/>
      <c r="AF1131" s="153"/>
      <c r="AG1131" s="153"/>
      <c r="AH1131" s="153"/>
    </row>
    <row r="1132">
      <c r="A1132" s="153"/>
      <c r="B1132" s="156"/>
      <c r="C1132" s="171"/>
      <c r="D1132" s="153"/>
      <c r="E1132" s="153"/>
      <c r="F1132" s="153"/>
      <c r="G1132" s="153"/>
      <c r="H1132" s="153"/>
      <c r="I1132" s="153"/>
      <c r="J1132" s="153"/>
      <c r="K1132" s="153"/>
      <c r="L1132" s="153"/>
      <c r="M1132" s="153"/>
      <c r="N1132" s="153"/>
      <c r="O1132" s="153"/>
      <c r="P1132" s="153"/>
      <c r="Q1132" s="153"/>
      <c r="R1132" s="153"/>
      <c r="S1132" s="153"/>
      <c r="T1132" s="153"/>
      <c r="U1132" s="153"/>
      <c r="V1132" s="153"/>
      <c r="W1132" s="153"/>
      <c r="X1132" s="153"/>
      <c r="Y1132" s="153"/>
      <c r="Z1132" s="153"/>
      <c r="AA1132" s="153"/>
      <c r="AB1132" s="153"/>
      <c r="AC1132" s="153"/>
      <c r="AD1132" s="153"/>
      <c r="AE1132" s="153"/>
      <c r="AF1132" s="153"/>
      <c r="AG1132" s="153"/>
      <c r="AH1132" s="153"/>
    </row>
    <row r="1133">
      <c r="A1133" s="153"/>
      <c r="B1133" s="156"/>
      <c r="C1133" s="171"/>
      <c r="D1133" s="153"/>
      <c r="E1133" s="153"/>
      <c r="F1133" s="153"/>
      <c r="G1133" s="153"/>
      <c r="H1133" s="153"/>
      <c r="I1133" s="153"/>
      <c r="J1133" s="153"/>
      <c r="K1133" s="153"/>
      <c r="L1133" s="153"/>
      <c r="M1133" s="153"/>
      <c r="N1133" s="153"/>
      <c r="O1133" s="153"/>
      <c r="P1133" s="153"/>
      <c r="Q1133" s="153"/>
      <c r="R1133" s="153"/>
      <c r="S1133" s="153"/>
      <c r="T1133" s="153"/>
      <c r="U1133" s="153"/>
      <c r="V1133" s="153"/>
      <c r="W1133" s="153"/>
      <c r="X1133" s="153"/>
      <c r="Y1133" s="153"/>
      <c r="Z1133" s="153"/>
      <c r="AA1133" s="153"/>
      <c r="AB1133" s="153"/>
      <c r="AC1133" s="153"/>
      <c r="AD1133" s="153"/>
      <c r="AE1133" s="153"/>
      <c r="AF1133" s="153"/>
      <c r="AG1133" s="153"/>
      <c r="AH1133" s="153"/>
    </row>
    <row r="1134">
      <c r="A1134" s="153"/>
      <c r="B1134" s="156"/>
      <c r="C1134" s="171"/>
      <c r="D1134" s="153"/>
      <c r="E1134" s="153"/>
      <c r="F1134" s="153"/>
      <c r="G1134" s="153"/>
      <c r="H1134" s="153"/>
      <c r="I1134" s="153"/>
      <c r="J1134" s="153"/>
      <c r="K1134" s="153"/>
      <c r="L1134" s="153"/>
      <c r="M1134" s="153"/>
      <c r="N1134" s="153"/>
      <c r="O1134" s="153"/>
      <c r="P1134" s="153"/>
      <c r="Q1134" s="153"/>
      <c r="R1134" s="153"/>
      <c r="S1134" s="153"/>
      <c r="T1134" s="153"/>
      <c r="U1134" s="153"/>
      <c r="V1134" s="153"/>
      <c r="W1134" s="153"/>
      <c r="X1134" s="153"/>
      <c r="Y1134" s="153"/>
      <c r="Z1134" s="153"/>
      <c r="AA1134" s="153"/>
      <c r="AB1134" s="153"/>
      <c r="AC1134" s="153"/>
      <c r="AD1134" s="153"/>
      <c r="AE1134" s="153"/>
      <c r="AF1134" s="153"/>
      <c r="AG1134" s="153"/>
      <c r="AH1134" s="153"/>
    </row>
    <row r="1135">
      <c r="A1135" s="153"/>
      <c r="B1135" s="156"/>
      <c r="C1135" s="171"/>
      <c r="D1135" s="153"/>
      <c r="E1135" s="153"/>
      <c r="F1135" s="153"/>
      <c r="G1135" s="153"/>
      <c r="H1135" s="153"/>
      <c r="I1135" s="153"/>
      <c r="J1135" s="153"/>
      <c r="K1135" s="153"/>
      <c r="L1135" s="153"/>
      <c r="M1135" s="153"/>
      <c r="N1135" s="153"/>
      <c r="O1135" s="153"/>
      <c r="P1135" s="153"/>
      <c r="Q1135" s="153"/>
      <c r="R1135" s="153"/>
      <c r="S1135" s="153"/>
      <c r="T1135" s="153"/>
      <c r="U1135" s="153"/>
      <c r="V1135" s="153"/>
      <c r="W1135" s="153"/>
      <c r="X1135" s="153"/>
      <c r="Y1135" s="153"/>
      <c r="Z1135" s="153"/>
      <c r="AA1135" s="153"/>
      <c r="AB1135" s="153"/>
      <c r="AC1135" s="153"/>
      <c r="AD1135" s="153"/>
      <c r="AE1135" s="153"/>
      <c r="AF1135" s="153"/>
      <c r="AG1135" s="153"/>
      <c r="AH1135" s="153"/>
    </row>
    <row r="1136">
      <c r="A1136" s="153"/>
      <c r="B1136" s="156"/>
      <c r="C1136" s="171"/>
      <c r="D1136" s="153"/>
      <c r="E1136" s="153"/>
      <c r="F1136" s="153"/>
      <c r="G1136" s="153"/>
      <c r="H1136" s="153"/>
      <c r="I1136" s="153"/>
      <c r="J1136" s="153"/>
      <c r="K1136" s="153"/>
      <c r="L1136" s="153"/>
      <c r="M1136" s="153"/>
      <c r="N1136" s="153"/>
      <c r="O1136" s="153"/>
      <c r="P1136" s="153"/>
      <c r="Q1136" s="153"/>
      <c r="R1136" s="153"/>
      <c r="S1136" s="153"/>
      <c r="T1136" s="153"/>
      <c r="U1136" s="153"/>
      <c r="V1136" s="153"/>
      <c r="W1136" s="153"/>
      <c r="X1136" s="153"/>
      <c r="Y1136" s="153"/>
      <c r="Z1136" s="153"/>
      <c r="AA1136" s="153"/>
      <c r="AB1136" s="153"/>
      <c r="AC1136" s="153"/>
      <c r="AD1136" s="153"/>
      <c r="AE1136" s="153"/>
      <c r="AF1136" s="153"/>
      <c r="AG1136" s="153"/>
      <c r="AH1136" s="153"/>
    </row>
    <row r="1137">
      <c r="A1137" s="153"/>
      <c r="B1137" s="156"/>
      <c r="C1137" s="171"/>
      <c r="D1137" s="153"/>
      <c r="E1137" s="153"/>
      <c r="F1137" s="153"/>
      <c r="G1137" s="153"/>
      <c r="H1137" s="153"/>
      <c r="I1137" s="153"/>
      <c r="J1137" s="153"/>
      <c r="K1137" s="153"/>
      <c r="L1137" s="153"/>
      <c r="M1137" s="153"/>
      <c r="N1137" s="153"/>
      <c r="O1137" s="153"/>
      <c r="P1137" s="153"/>
      <c r="Q1137" s="153"/>
      <c r="R1137" s="153"/>
      <c r="S1137" s="153"/>
      <c r="T1137" s="153"/>
      <c r="U1137" s="153"/>
      <c r="V1137" s="153"/>
      <c r="W1137" s="153"/>
      <c r="X1137" s="153"/>
      <c r="Y1137" s="153"/>
      <c r="Z1137" s="153"/>
      <c r="AA1137" s="153"/>
      <c r="AB1137" s="153"/>
      <c r="AC1137" s="153"/>
      <c r="AD1137" s="153"/>
      <c r="AE1137" s="153"/>
      <c r="AF1137" s="153"/>
      <c r="AG1137" s="153"/>
      <c r="AH1137" s="153"/>
    </row>
    <row r="1138">
      <c r="A1138" s="153"/>
      <c r="B1138" s="156"/>
      <c r="C1138" s="171"/>
      <c r="D1138" s="153"/>
      <c r="E1138" s="153"/>
      <c r="F1138" s="153"/>
      <c r="G1138" s="153"/>
      <c r="H1138" s="153"/>
      <c r="I1138" s="153"/>
      <c r="J1138" s="153"/>
      <c r="K1138" s="153"/>
      <c r="L1138" s="153"/>
      <c r="M1138" s="153"/>
      <c r="N1138" s="153"/>
      <c r="O1138" s="153"/>
      <c r="P1138" s="153"/>
      <c r="Q1138" s="153"/>
      <c r="R1138" s="153"/>
      <c r="S1138" s="153"/>
      <c r="T1138" s="153"/>
      <c r="U1138" s="153"/>
      <c r="V1138" s="153"/>
      <c r="W1138" s="153"/>
      <c r="X1138" s="153"/>
      <c r="Y1138" s="153"/>
      <c r="Z1138" s="153"/>
      <c r="AA1138" s="153"/>
      <c r="AB1138" s="153"/>
      <c r="AC1138" s="153"/>
      <c r="AD1138" s="153"/>
      <c r="AE1138" s="153"/>
      <c r="AF1138" s="153"/>
      <c r="AG1138" s="153"/>
      <c r="AH1138" s="153"/>
    </row>
    <row r="1139">
      <c r="A1139" s="153"/>
      <c r="B1139" s="156"/>
      <c r="C1139" s="171"/>
      <c r="D1139" s="153"/>
      <c r="E1139" s="153"/>
      <c r="F1139" s="153"/>
      <c r="G1139" s="153"/>
      <c r="H1139" s="153"/>
      <c r="I1139" s="153"/>
      <c r="J1139" s="153"/>
      <c r="K1139" s="153"/>
      <c r="L1139" s="153"/>
      <c r="M1139" s="153"/>
      <c r="N1139" s="153"/>
      <c r="O1139" s="153"/>
      <c r="P1139" s="153"/>
      <c r="Q1139" s="153"/>
      <c r="R1139" s="153"/>
      <c r="S1139" s="153"/>
      <c r="T1139" s="153"/>
      <c r="U1139" s="153"/>
      <c r="V1139" s="153"/>
      <c r="W1139" s="153"/>
      <c r="X1139" s="153"/>
      <c r="Y1139" s="153"/>
      <c r="Z1139" s="153"/>
      <c r="AA1139" s="153"/>
      <c r="AB1139" s="153"/>
      <c r="AC1139" s="153"/>
      <c r="AD1139" s="153"/>
      <c r="AE1139" s="153"/>
      <c r="AF1139" s="153"/>
      <c r="AG1139" s="153"/>
      <c r="AH1139" s="153"/>
    </row>
    <row r="1140">
      <c r="A1140" s="153"/>
      <c r="B1140" s="156"/>
      <c r="C1140" s="171"/>
      <c r="D1140" s="153"/>
      <c r="E1140" s="153"/>
      <c r="F1140" s="153"/>
      <c r="G1140" s="153"/>
      <c r="H1140" s="153"/>
      <c r="I1140" s="153"/>
      <c r="J1140" s="153"/>
      <c r="K1140" s="153"/>
      <c r="L1140" s="153"/>
      <c r="M1140" s="153"/>
      <c r="N1140" s="153"/>
      <c r="O1140" s="153"/>
      <c r="P1140" s="153"/>
      <c r="Q1140" s="153"/>
      <c r="R1140" s="153"/>
      <c r="S1140" s="153"/>
      <c r="T1140" s="153"/>
      <c r="U1140" s="153"/>
      <c r="V1140" s="153"/>
      <c r="W1140" s="153"/>
      <c r="X1140" s="153"/>
      <c r="Y1140" s="153"/>
      <c r="Z1140" s="153"/>
      <c r="AA1140" s="153"/>
      <c r="AB1140" s="153"/>
      <c r="AC1140" s="153"/>
      <c r="AD1140" s="153"/>
      <c r="AE1140" s="153"/>
      <c r="AF1140" s="153"/>
      <c r="AG1140" s="153"/>
      <c r="AH1140" s="153"/>
    </row>
    <row r="1141">
      <c r="A1141" s="153"/>
      <c r="B1141" s="156"/>
      <c r="C1141" s="171"/>
      <c r="D1141" s="153"/>
      <c r="E1141" s="153"/>
      <c r="F1141" s="153"/>
      <c r="G1141" s="153"/>
      <c r="H1141" s="153"/>
      <c r="I1141" s="153"/>
      <c r="J1141" s="153"/>
      <c r="K1141" s="153"/>
      <c r="L1141" s="153"/>
      <c r="M1141" s="153"/>
      <c r="N1141" s="153"/>
      <c r="O1141" s="153"/>
      <c r="P1141" s="153"/>
      <c r="Q1141" s="153"/>
      <c r="R1141" s="153"/>
      <c r="S1141" s="153"/>
      <c r="T1141" s="153"/>
      <c r="U1141" s="153"/>
      <c r="V1141" s="153"/>
      <c r="W1141" s="153"/>
      <c r="X1141" s="153"/>
      <c r="Y1141" s="153"/>
      <c r="Z1141" s="153"/>
      <c r="AA1141" s="153"/>
      <c r="AB1141" s="153"/>
      <c r="AC1141" s="153"/>
      <c r="AD1141" s="153"/>
      <c r="AE1141" s="153"/>
      <c r="AF1141" s="153"/>
      <c r="AG1141" s="153"/>
      <c r="AH1141" s="153"/>
    </row>
    <row r="1142">
      <c r="A1142" s="153"/>
      <c r="B1142" s="156"/>
      <c r="C1142" s="171"/>
      <c r="D1142" s="153"/>
      <c r="E1142" s="153"/>
      <c r="F1142" s="153"/>
      <c r="G1142" s="153"/>
      <c r="H1142" s="153"/>
      <c r="I1142" s="153"/>
      <c r="J1142" s="153"/>
      <c r="K1142" s="153"/>
      <c r="L1142" s="153"/>
      <c r="M1142" s="153"/>
      <c r="N1142" s="153"/>
      <c r="O1142" s="153"/>
      <c r="P1142" s="153"/>
      <c r="Q1142" s="153"/>
      <c r="R1142" s="153"/>
      <c r="S1142" s="153"/>
      <c r="T1142" s="153"/>
      <c r="U1142" s="153"/>
      <c r="V1142" s="153"/>
      <c r="W1142" s="153"/>
      <c r="X1142" s="153"/>
      <c r="Y1142" s="153"/>
      <c r="Z1142" s="153"/>
      <c r="AA1142" s="153"/>
      <c r="AB1142" s="153"/>
      <c r="AC1142" s="153"/>
      <c r="AD1142" s="153"/>
      <c r="AE1142" s="153"/>
      <c r="AF1142" s="153"/>
      <c r="AG1142" s="153"/>
      <c r="AH1142" s="153"/>
    </row>
    <row r="1143">
      <c r="A1143" s="153"/>
      <c r="B1143" s="156"/>
      <c r="C1143" s="171"/>
      <c r="D1143" s="153"/>
      <c r="E1143" s="153"/>
      <c r="F1143" s="153"/>
      <c r="G1143" s="153"/>
      <c r="H1143" s="153"/>
      <c r="I1143" s="153"/>
      <c r="J1143" s="153"/>
      <c r="K1143" s="153"/>
      <c r="L1143" s="153"/>
      <c r="M1143" s="153"/>
      <c r="N1143" s="153"/>
      <c r="O1143" s="153"/>
      <c r="P1143" s="153"/>
      <c r="Q1143" s="153"/>
      <c r="R1143" s="153"/>
      <c r="S1143" s="153"/>
      <c r="T1143" s="153"/>
      <c r="U1143" s="153"/>
      <c r="V1143" s="153"/>
      <c r="W1143" s="153"/>
      <c r="X1143" s="153"/>
      <c r="Y1143" s="153"/>
      <c r="Z1143" s="153"/>
      <c r="AA1143" s="153"/>
      <c r="AB1143" s="153"/>
      <c r="AC1143" s="153"/>
      <c r="AD1143" s="153"/>
      <c r="AE1143" s="153"/>
      <c r="AF1143" s="153"/>
      <c r="AG1143" s="153"/>
      <c r="AH1143" s="153"/>
    </row>
    <row r="1144">
      <c r="A1144" s="153"/>
      <c r="B1144" s="156"/>
      <c r="C1144" s="171"/>
      <c r="D1144" s="153"/>
      <c r="E1144" s="153"/>
      <c r="F1144" s="153"/>
      <c r="G1144" s="153"/>
      <c r="H1144" s="153"/>
      <c r="I1144" s="153"/>
      <c r="J1144" s="153"/>
      <c r="K1144" s="153"/>
      <c r="L1144" s="153"/>
      <c r="M1144" s="153"/>
      <c r="N1144" s="153"/>
      <c r="O1144" s="153"/>
      <c r="P1144" s="153"/>
      <c r="Q1144" s="153"/>
      <c r="R1144" s="153"/>
      <c r="S1144" s="153"/>
      <c r="T1144" s="153"/>
      <c r="U1144" s="153"/>
      <c r="V1144" s="153"/>
      <c r="W1144" s="153"/>
      <c r="X1144" s="153"/>
      <c r="Y1144" s="153"/>
      <c r="Z1144" s="153"/>
      <c r="AA1144" s="153"/>
      <c r="AB1144" s="153"/>
      <c r="AC1144" s="153"/>
      <c r="AD1144" s="153"/>
      <c r="AE1144" s="153"/>
      <c r="AF1144" s="153"/>
      <c r="AG1144" s="153"/>
      <c r="AH1144" s="153"/>
    </row>
    <row r="1145">
      <c r="A1145" s="153"/>
      <c r="B1145" s="156"/>
      <c r="C1145" s="171"/>
      <c r="D1145" s="153"/>
      <c r="E1145" s="153"/>
      <c r="F1145" s="153"/>
      <c r="G1145" s="153"/>
      <c r="H1145" s="153"/>
      <c r="I1145" s="153"/>
      <c r="J1145" s="153"/>
      <c r="K1145" s="153"/>
      <c r="L1145" s="153"/>
      <c r="M1145" s="153"/>
      <c r="N1145" s="153"/>
      <c r="O1145" s="153"/>
      <c r="P1145" s="153"/>
      <c r="Q1145" s="153"/>
      <c r="R1145" s="153"/>
      <c r="S1145" s="153"/>
      <c r="T1145" s="153"/>
      <c r="U1145" s="153"/>
      <c r="V1145" s="153"/>
      <c r="W1145" s="153"/>
      <c r="X1145" s="153"/>
      <c r="Y1145" s="153"/>
      <c r="Z1145" s="153"/>
      <c r="AA1145" s="153"/>
      <c r="AB1145" s="153"/>
      <c r="AC1145" s="153"/>
      <c r="AD1145" s="153"/>
      <c r="AE1145" s="153"/>
      <c r="AF1145" s="153"/>
      <c r="AG1145" s="153"/>
      <c r="AH1145" s="153"/>
    </row>
    <row r="1146">
      <c r="A1146" s="153"/>
      <c r="B1146" s="156"/>
      <c r="C1146" s="171"/>
      <c r="D1146" s="153"/>
      <c r="E1146" s="153"/>
      <c r="F1146" s="153"/>
      <c r="G1146" s="153"/>
      <c r="H1146" s="153"/>
      <c r="I1146" s="153"/>
      <c r="J1146" s="153"/>
      <c r="K1146" s="153"/>
      <c r="L1146" s="153"/>
      <c r="M1146" s="153"/>
      <c r="N1146" s="153"/>
      <c r="O1146" s="153"/>
      <c r="P1146" s="153"/>
      <c r="Q1146" s="153"/>
      <c r="R1146" s="153"/>
      <c r="S1146" s="153"/>
      <c r="T1146" s="153"/>
      <c r="U1146" s="153"/>
      <c r="V1146" s="153"/>
      <c r="W1146" s="153"/>
      <c r="X1146" s="153"/>
      <c r="Y1146" s="153"/>
      <c r="Z1146" s="153"/>
      <c r="AA1146" s="153"/>
      <c r="AB1146" s="153"/>
      <c r="AC1146" s="153"/>
      <c r="AD1146" s="153"/>
      <c r="AE1146" s="153"/>
      <c r="AF1146" s="153"/>
      <c r="AG1146" s="153"/>
      <c r="AH1146" s="153"/>
    </row>
    <row r="1147">
      <c r="A1147" s="153"/>
      <c r="B1147" s="156"/>
      <c r="C1147" s="171"/>
      <c r="D1147" s="153"/>
      <c r="E1147" s="153"/>
      <c r="F1147" s="153"/>
      <c r="G1147" s="153"/>
      <c r="H1147" s="153"/>
      <c r="I1147" s="153"/>
      <c r="J1147" s="153"/>
      <c r="K1147" s="153"/>
      <c r="L1147" s="153"/>
      <c r="M1147" s="153"/>
      <c r="N1147" s="153"/>
      <c r="O1147" s="153"/>
      <c r="P1147" s="153"/>
      <c r="Q1147" s="153"/>
      <c r="R1147" s="153"/>
      <c r="S1147" s="153"/>
      <c r="T1147" s="153"/>
      <c r="U1147" s="153"/>
      <c r="V1147" s="153"/>
      <c r="W1147" s="153"/>
      <c r="X1147" s="153"/>
      <c r="Y1147" s="153"/>
      <c r="Z1147" s="153"/>
      <c r="AA1147" s="153"/>
      <c r="AB1147" s="153"/>
      <c r="AC1147" s="153"/>
      <c r="AD1147" s="153"/>
      <c r="AE1147" s="153"/>
      <c r="AF1147" s="153"/>
      <c r="AG1147" s="153"/>
      <c r="AH1147" s="153"/>
    </row>
    <row r="1148">
      <c r="A1148" s="153"/>
      <c r="B1148" s="156"/>
      <c r="C1148" s="171"/>
      <c r="D1148" s="153"/>
      <c r="E1148" s="153"/>
      <c r="F1148" s="153"/>
      <c r="G1148" s="153"/>
      <c r="H1148" s="153"/>
      <c r="I1148" s="153"/>
      <c r="J1148" s="153"/>
      <c r="K1148" s="153"/>
      <c r="L1148" s="153"/>
      <c r="M1148" s="153"/>
      <c r="N1148" s="153"/>
      <c r="O1148" s="153"/>
      <c r="P1148" s="153"/>
      <c r="Q1148" s="153"/>
      <c r="R1148" s="153"/>
      <c r="S1148" s="153"/>
      <c r="T1148" s="153"/>
      <c r="U1148" s="153"/>
      <c r="V1148" s="153"/>
      <c r="W1148" s="153"/>
      <c r="X1148" s="153"/>
      <c r="Y1148" s="153"/>
      <c r="Z1148" s="153"/>
      <c r="AA1148" s="153"/>
      <c r="AB1148" s="153"/>
      <c r="AC1148" s="153"/>
      <c r="AD1148" s="153"/>
      <c r="AE1148" s="153"/>
      <c r="AF1148" s="153"/>
      <c r="AG1148" s="153"/>
      <c r="AH1148" s="153"/>
    </row>
    <row r="1149">
      <c r="A1149" s="153"/>
      <c r="B1149" s="156"/>
      <c r="C1149" s="171"/>
      <c r="D1149" s="153"/>
      <c r="E1149" s="153"/>
      <c r="F1149" s="153"/>
      <c r="G1149" s="153"/>
      <c r="H1149" s="153"/>
      <c r="I1149" s="153"/>
      <c r="J1149" s="153"/>
      <c r="K1149" s="153"/>
      <c r="L1149" s="153"/>
      <c r="M1149" s="153"/>
      <c r="N1149" s="153"/>
      <c r="O1149" s="153"/>
      <c r="P1149" s="153"/>
      <c r="Q1149" s="153"/>
      <c r="R1149" s="153"/>
      <c r="S1149" s="153"/>
      <c r="T1149" s="153"/>
      <c r="U1149" s="153"/>
      <c r="V1149" s="153"/>
      <c r="W1149" s="153"/>
      <c r="X1149" s="153"/>
      <c r="Y1149" s="153"/>
      <c r="Z1149" s="153"/>
      <c r="AA1149" s="153"/>
      <c r="AB1149" s="153"/>
      <c r="AC1149" s="153"/>
      <c r="AD1149" s="153"/>
      <c r="AE1149" s="153"/>
      <c r="AF1149" s="153"/>
      <c r="AG1149" s="153"/>
      <c r="AH1149" s="153"/>
    </row>
    <row r="1150">
      <c r="A1150" s="153"/>
      <c r="B1150" s="156"/>
      <c r="C1150" s="171"/>
      <c r="D1150" s="153"/>
      <c r="E1150" s="153"/>
      <c r="F1150" s="153"/>
      <c r="G1150" s="153"/>
      <c r="H1150" s="153"/>
      <c r="I1150" s="153"/>
      <c r="J1150" s="153"/>
      <c r="K1150" s="153"/>
      <c r="L1150" s="153"/>
      <c r="M1150" s="153"/>
      <c r="N1150" s="153"/>
      <c r="O1150" s="153"/>
      <c r="P1150" s="153"/>
      <c r="Q1150" s="153"/>
      <c r="R1150" s="153"/>
      <c r="S1150" s="153"/>
      <c r="T1150" s="153"/>
      <c r="U1150" s="153"/>
      <c r="V1150" s="153"/>
      <c r="W1150" s="153"/>
      <c r="X1150" s="153"/>
      <c r="Y1150" s="153"/>
      <c r="Z1150" s="153"/>
      <c r="AA1150" s="153"/>
      <c r="AB1150" s="153"/>
      <c r="AC1150" s="153"/>
      <c r="AD1150" s="153"/>
      <c r="AE1150" s="153"/>
      <c r="AF1150" s="153"/>
      <c r="AG1150" s="153"/>
      <c r="AH1150" s="153"/>
    </row>
    <row r="1151">
      <c r="A1151" s="153"/>
      <c r="B1151" s="156"/>
      <c r="C1151" s="171"/>
      <c r="D1151" s="153"/>
      <c r="E1151" s="153"/>
      <c r="F1151" s="153"/>
      <c r="G1151" s="153"/>
      <c r="H1151" s="153"/>
      <c r="I1151" s="153"/>
      <c r="J1151" s="153"/>
      <c r="K1151" s="153"/>
      <c r="L1151" s="153"/>
      <c r="M1151" s="153"/>
      <c r="N1151" s="153"/>
      <c r="O1151" s="153"/>
      <c r="P1151" s="153"/>
      <c r="Q1151" s="153"/>
      <c r="R1151" s="153"/>
      <c r="S1151" s="153"/>
      <c r="T1151" s="153"/>
      <c r="U1151" s="153"/>
      <c r="V1151" s="153"/>
      <c r="W1151" s="153"/>
      <c r="X1151" s="153"/>
      <c r="Y1151" s="153"/>
      <c r="Z1151" s="153"/>
      <c r="AA1151" s="153"/>
      <c r="AB1151" s="153"/>
      <c r="AC1151" s="153"/>
      <c r="AD1151" s="153"/>
      <c r="AE1151" s="153"/>
      <c r="AF1151" s="153"/>
      <c r="AG1151" s="153"/>
      <c r="AH1151" s="153"/>
    </row>
    <row r="1152">
      <c r="A1152" s="153"/>
      <c r="B1152" s="156"/>
      <c r="C1152" s="171"/>
      <c r="D1152" s="153"/>
      <c r="E1152" s="153"/>
      <c r="F1152" s="153"/>
      <c r="G1152" s="153"/>
      <c r="H1152" s="153"/>
      <c r="I1152" s="153"/>
      <c r="J1152" s="153"/>
      <c r="K1152" s="153"/>
      <c r="L1152" s="153"/>
      <c r="M1152" s="153"/>
      <c r="N1152" s="153"/>
      <c r="O1152" s="153"/>
      <c r="P1152" s="153"/>
      <c r="Q1152" s="153"/>
      <c r="R1152" s="153"/>
      <c r="S1152" s="153"/>
      <c r="T1152" s="153"/>
      <c r="U1152" s="153"/>
      <c r="V1152" s="153"/>
      <c r="W1152" s="153"/>
      <c r="X1152" s="153"/>
      <c r="Y1152" s="153"/>
      <c r="Z1152" s="153"/>
      <c r="AA1152" s="153"/>
      <c r="AB1152" s="153"/>
      <c r="AC1152" s="153"/>
      <c r="AD1152" s="153"/>
      <c r="AE1152" s="153"/>
      <c r="AF1152" s="153"/>
      <c r="AG1152" s="153"/>
      <c r="AH1152" s="153"/>
    </row>
    <row r="1153">
      <c r="A1153" s="153"/>
      <c r="B1153" s="156"/>
      <c r="C1153" s="171"/>
      <c r="D1153" s="153"/>
      <c r="E1153" s="153"/>
      <c r="F1153" s="153"/>
      <c r="G1153" s="153"/>
      <c r="H1153" s="153"/>
      <c r="I1153" s="153"/>
      <c r="J1153" s="153"/>
      <c r="K1153" s="153"/>
      <c r="L1153" s="153"/>
      <c r="M1153" s="153"/>
      <c r="N1153" s="153"/>
      <c r="O1153" s="153"/>
      <c r="P1153" s="153"/>
      <c r="Q1153" s="153"/>
      <c r="R1153" s="153"/>
      <c r="S1153" s="153"/>
      <c r="T1153" s="153"/>
      <c r="U1153" s="153"/>
      <c r="V1153" s="153"/>
      <c r="W1153" s="153"/>
      <c r="X1153" s="153"/>
      <c r="Y1153" s="153"/>
      <c r="Z1153" s="153"/>
      <c r="AA1153" s="153"/>
      <c r="AB1153" s="153"/>
      <c r="AC1153" s="153"/>
      <c r="AD1153" s="153"/>
      <c r="AE1153" s="153"/>
      <c r="AF1153" s="153"/>
      <c r="AG1153" s="153"/>
      <c r="AH1153" s="153"/>
    </row>
    <row r="1154">
      <c r="A1154" s="153"/>
      <c r="B1154" s="156"/>
      <c r="C1154" s="171"/>
      <c r="D1154" s="153"/>
      <c r="E1154" s="153"/>
      <c r="F1154" s="153"/>
      <c r="G1154" s="153"/>
      <c r="H1154" s="153"/>
      <c r="I1154" s="153"/>
      <c r="J1154" s="153"/>
      <c r="K1154" s="153"/>
      <c r="L1154" s="153"/>
      <c r="M1154" s="153"/>
      <c r="N1154" s="153"/>
      <c r="O1154" s="153"/>
      <c r="P1154" s="153"/>
      <c r="Q1154" s="153"/>
      <c r="R1154" s="153"/>
      <c r="S1154" s="153"/>
      <c r="T1154" s="153"/>
      <c r="U1154" s="153"/>
      <c r="V1154" s="153"/>
      <c r="W1154" s="153"/>
      <c r="X1154" s="153"/>
      <c r="Y1154" s="153"/>
      <c r="Z1154" s="153"/>
      <c r="AA1154" s="153"/>
      <c r="AB1154" s="153"/>
      <c r="AC1154" s="153"/>
      <c r="AD1154" s="153"/>
      <c r="AE1154" s="153"/>
      <c r="AF1154" s="153"/>
      <c r="AG1154" s="153"/>
      <c r="AH1154" s="153"/>
    </row>
    <row r="1155">
      <c r="A1155" s="153"/>
      <c r="B1155" s="156"/>
      <c r="C1155" s="171"/>
      <c r="D1155" s="153"/>
      <c r="E1155" s="153"/>
      <c r="F1155" s="153"/>
      <c r="G1155" s="153"/>
      <c r="H1155" s="153"/>
      <c r="I1155" s="153"/>
      <c r="J1155" s="153"/>
      <c r="K1155" s="153"/>
      <c r="L1155" s="153"/>
      <c r="M1155" s="153"/>
      <c r="N1155" s="153"/>
      <c r="O1155" s="153"/>
      <c r="P1155" s="153"/>
      <c r="Q1155" s="153"/>
      <c r="R1155" s="153"/>
      <c r="S1155" s="153"/>
      <c r="T1155" s="153"/>
      <c r="U1155" s="153"/>
      <c r="V1155" s="153"/>
      <c r="W1155" s="153"/>
      <c r="X1155" s="153"/>
      <c r="Y1155" s="153"/>
      <c r="Z1155" s="153"/>
      <c r="AA1155" s="153"/>
      <c r="AB1155" s="153"/>
      <c r="AC1155" s="153"/>
      <c r="AD1155" s="153"/>
      <c r="AE1155" s="153"/>
      <c r="AF1155" s="153"/>
      <c r="AG1155" s="153"/>
      <c r="AH1155" s="153"/>
    </row>
    <row r="1156">
      <c r="A1156" s="153"/>
      <c r="B1156" s="156"/>
      <c r="C1156" s="171"/>
      <c r="D1156" s="153"/>
      <c r="E1156" s="153"/>
      <c r="F1156" s="153"/>
      <c r="G1156" s="153"/>
      <c r="H1156" s="153"/>
      <c r="I1156" s="153"/>
      <c r="J1156" s="153"/>
      <c r="K1156" s="153"/>
      <c r="L1156" s="153"/>
      <c r="M1156" s="153"/>
      <c r="N1156" s="153"/>
      <c r="O1156" s="153"/>
      <c r="P1156" s="153"/>
      <c r="Q1156" s="153"/>
      <c r="R1156" s="153"/>
      <c r="S1156" s="153"/>
      <c r="T1156" s="153"/>
      <c r="U1156" s="153"/>
      <c r="V1156" s="153"/>
      <c r="W1156" s="153"/>
      <c r="X1156" s="153"/>
      <c r="Y1156" s="153"/>
      <c r="Z1156" s="153"/>
      <c r="AA1156" s="153"/>
      <c r="AB1156" s="153"/>
      <c r="AC1156" s="153"/>
      <c r="AD1156" s="153"/>
      <c r="AE1156" s="153"/>
      <c r="AF1156" s="153"/>
      <c r="AG1156" s="153"/>
      <c r="AH1156" s="153"/>
    </row>
    <row r="1157">
      <c r="A1157" s="153"/>
      <c r="B1157" s="156"/>
      <c r="C1157" s="171"/>
      <c r="D1157" s="153"/>
      <c r="E1157" s="153"/>
      <c r="F1157" s="153"/>
      <c r="G1157" s="153"/>
      <c r="H1157" s="153"/>
      <c r="I1157" s="153"/>
      <c r="J1157" s="153"/>
      <c r="K1157" s="153"/>
      <c r="L1157" s="153"/>
      <c r="M1157" s="153"/>
      <c r="N1157" s="153"/>
      <c r="O1157" s="153"/>
      <c r="P1157" s="153"/>
      <c r="Q1157" s="153"/>
      <c r="R1157" s="153"/>
      <c r="S1157" s="153"/>
      <c r="T1157" s="153"/>
      <c r="U1157" s="153"/>
      <c r="V1157" s="153"/>
      <c r="W1157" s="153"/>
      <c r="X1157" s="153"/>
      <c r="Y1157" s="153"/>
      <c r="Z1157" s="153"/>
      <c r="AA1157" s="153"/>
      <c r="AB1157" s="153"/>
      <c r="AC1157" s="153"/>
      <c r="AD1157" s="153"/>
      <c r="AE1157" s="153"/>
      <c r="AF1157" s="153"/>
      <c r="AG1157" s="153"/>
      <c r="AH1157" s="153"/>
    </row>
    <row r="1158">
      <c r="A1158" s="153"/>
      <c r="B1158" s="156"/>
      <c r="C1158" s="171"/>
      <c r="D1158" s="153"/>
      <c r="E1158" s="153"/>
      <c r="F1158" s="153"/>
      <c r="G1158" s="153"/>
      <c r="H1158" s="153"/>
      <c r="I1158" s="153"/>
      <c r="J1158" s="153"/>
      <c r="K1158" s="153"/>
      <c r="L1158" s="153"/>
      <c r="M1158" s="153"/>
      <c r="N1158" s="153"/>
      <c r="O1158" s="153"/>
      <c r="P1158" s="153"/>
      <c r="Q1158" s="153"/>
      <c r="R1158" s="153"/>
      <c r="S1158" s="153"/>
      <c r="T1158" s="153"/>
      <c r="U1158" s="153"/>
      <c r="V1158" s="153"/>
      <c r="W1158" s="153"/>
      <c r="X1158" s="153"/>
      <c r="Y1158" s="153"/>
      <c r="Z1158" s="153"/>
      <c r="AA1158" s="153"/>
      <c r="AB1158" s="153"/>
      <c r="AC1158" s="153"/>
      <c r="AD1158" s="153"/>
      <c r="AE1158" s="153"/>
      <c r="AF1158" s="153"/>
      <c r="AG1158" s="153"/>
      <c r="AH1158" s="153"/>
    </row>
    <row r="1159">
      <c r="A1159" s="153"/>
      <c r="B1159" s="156"/>
      <c r="C1159" s="171"/>
      <c r="D1159" s="153"/>
      <c r="E1159" s="153"/>
      <c r="F1159" s="153"/>
      <c r="G1159" s="153"/>
      <c r="H1159" s="153"/>
      <c r="I1159" s="153"/>
      <c r="J1159" s="153"/>
      <c r="K1159" s="153"/>
      <c r="L1159" s="153"/>
      <c r="M1159" s="153"/>
      <c r="N1159" s="153"/>
      <c r="O1159" s="153"/>
      <c r="P1159" s="153"/>
      <c r="Q1159" s="153"/>
      <c r="R1159" s="153"/>
      <c r="S1159" s="153"/>
      <c r="T1159" s="153"/>
      <c r="U1159" s="153"/>
      <c r="V1159" s="153"/>
      <c r="W1159" s="153"/>
      <c r="X1159" s="153"/>
      <c r="Y1159" s="153"/>
      <c r="Z1159" s="153"/>
      <c r="AA1159" s="153"/>
      <c r="AB1159" s="153"/>
      <c r="AC1159" s="153"/>
      <c r="AD1159" s="153"/>
      <c r="AE1159" s="153"/>
      <c r="AF1159" s="153"/>
      <c r="AG1159" s="153"/>
      <c r="AH1159" s="153"/>
    </row>
    <row r="1160">
      <c r="A1160" s="153"/>
      <c r="B1160" s="156"/>
      <c r="C1160" s="171"/>
      <c r="D1160" s="153"/>
      <c r="E1160" s="153"/>
      <c r="F1160" s="153"/>
      <c r="G1160" s="153"/>
      <c r="H1160" s="153"/>
      <c r="I1160" s="153"/>
      <c r="J1160" s="153"/>
      <c r="K1160" s="153"/>
      <c r="L1160" s="153"/>
      <c r="M1160" s="153"/>
      <c r="N1160" s="153"/>
      <c r="O1160" s="153"/>
      <c r="P1160" s="153"/>
      <c r="Q1160" s="153"/>
      <c r="R1160" s="153"/>
      <c r="S1160" s="153"/>
      <c r="T1160" s="153"/>
      <c r="U1160" s="153"/>
      <c r="V1160" s="153"/>
      <c r="W1160" s="153"/>
      <c r="X1160" s="153"/>
      <c r="Y1160" s="153"/>
      <c r="Z1160" s="153"/>
      <c r="AA1160" s="153"/>
      <c r="AB1160" s="153"/>
      <c r="AC1160" s="153"/>
      <c r="AD1160" s="153"/>
      <c r="AE1160" s="153"/>
      <c r="AF1160" s="153"/>
      <c r="AG1160" s="153"/>
      <c r="AH1160" s="153"/>
    </row>
    <row r="1161">
      <c r="A1161" s="153"/>
      <c r="B1161" s="156"/>
      <c r="C1161" s="171"/>
      <c r="D1161" s="153"/>
      <c r="E1161" s="153"/>
      <c r="F1161" s="153"/>
      <c r="G1161" s="153"/>
      <c r="H1161" s="153"/>
      <c r="I1161" s="153"/>
      <c r="J1161" s="153"/>
      <c r="K1161" s="153"/>
      <c r="L1161" s="153"/>
      <c r="M1161" s="153"/>
      <c r="N1161" s="153"/>
      <c r="O1161" s="153"/>
      <c r="P1161" s="153"/>
      <c r="Q1161" s="153"/>
      <c r="R1161" s="153"/>
      <c r="S1161" s="153"/>
      <c r="T1161" s="153"/>
      <c r="U1161" s="153"/>
      <c r="V1161" s="153"/>
      <c r="W1161" s="153"/>
      <c r="X1161" s="153"/>
      <c r="Y1161" s="153"/>
      <c r="Z1161" s="153"/>
      <c r="AA1161" s="153"/>
      <c r="AB1161" s="153"/>
      <c r="AC1161" s="153"/>
      <c r="AD1161" s="153"/>
      <c r="AE1161" s="153"/>
      <c r="AF1161" s="153"/>
      <c r="AG1161" s="153"/>
      <c r="AH1161" s="153"/>
    </row>
    <row r="1162">
      <c r="A1162" s="153"/>
      <c r="B1162" s="156"/>
      <c r="C1162" s="171"/>
      <c r="D1162" s="153"/>
      <c r="E1162" s="153"/>
      <c r="F1162" s="153"/>
      <c r="G1162" s="153"/>
      <c r="H1162" s="153"/>
      <c r="I1162" s="153"/>
      <c r="J1162" s="153"/>
      <c r="K1162" s="153"/>
      <c r="L1162" s="153"/>
      <c r="M1162" s="153"/>
      <c r="N1162" s="153"/>
      <c r="O1162" s="153"/>
      <c r="P1162" s="153"/>
      <c r="Q1162" s="153"/>
      <c r="R1162" s="153"/>
      <c r="S1162" s="153"/>
      <c r="T1162" s="153"/>
      <c r="U1162" s="153"/>
      <c r="V1162" s="153"/>
      <c r="W1162" s="153"/>
      <c r="X1162" s="153"/>
      <c r="Y1162" s="153"/>
      <c r="Z1162" s="153"/>
      <c r="AA1162" s="153"/>
      <c r="AB1162" s="153"/>
      <c r="AC1162" s="153"/>
      <c r="AD1162" s="153"/>
      <c r="AE1162" s="153"/>
      <c r="AF1162" s="153"/>
      <c r="AG1162" s="153"/>
      <c r="AH1162" s="153"/>
    </row>
    <row r="1163">
      <c r="A1163" s="153"/>
      <c r="B1163" s="156"/>
      <c r="C1163" s="171"/>
      <c r="D1163" s="153"/>
      <c r="E1163" s="153"/>
      <c r="F1163" s="153"/>
      <c r="G1163" s="153"/>
      <c r="H1163" s="153"/>
      <c r="I1163" s="153"/>
      <c r="J1163" s="153"/>
      <c r="K1163" s="153"/>
      <c r="L1163" s="153"/>
      <c r="M1163" s="153"/>
      <c r="N1163" s="153"/>
      <c r="O1163" s="153"/>
      <c r="P1163" s="153"/>
      <c r="Q1163" s="153"/>
      <c r="R1163" s="153"/>
      <c r="S1163" s="153"/>
      <c r="T1163" s="153"/>
      <c r="U1163" s="153"/>
      <c r="V1163" s="153"/>
      <c r="W1163" s="153"/>
      <c r="X1163" s="153"/>
      <c r="Y1163" s="153"/>
      <c r="Z1163" s="153"/>
      <c r="AA1163" s="153"/>
      <c r="AB1163" s="153"/>
      <c r="AC1163" s="153"/>
      <c r="AD1163" s="153"/>
      <c r="AE1163" s="153"/>
      <c r="AF1163" s="153"/>
      <c r="AG1163" s="153"/>
      <c r="AH1163" s="153"/>
    </row>
  </sheetData>
  <autoFilter ref="$A$1:$I$1163"/>
  <drawing r:id="rId1"/>
</worksheet>
</file>